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2970" yWindow="0" windowWidth="3405" windowHeight="1215" activeTab="1"/>
  </bookViews>
  <sheets>
    <sheet name="SD" sheetId="1" r:id="rId1"/>
    <sheet name="PN" sheetId="6" r:id="rId2"/>
    <sheet name="Ref" sheetId="7" r:id="rId3"/>
    <sheet name="BasInt" sheetId="8" r:id="rId4"/>
    <sheet name="Bio" sheetId="9" r:id="rId5"/>
    <sheet name="Elev" sheetId="10" r:id="rId6"/>
    <sheet name="MD" sheetId="3" r:id="rId7"/>
    <sheet name="Observations" sheetId="13" r:id="rId8"/>
  </sheets>
  <definedNames>
    <definedName name="_xlnm._FilterDatabase" localSheetId="3" hidden="1">BasInt!$A$1:$G$1008</definedName>
    <definedName name="_xlnm._FilterDatabase" localSheetId="4" hidden="1">Bio!$A$1:$F$996</definedName>
    <definedName name="_xlnm._FilterDatabase" localSheetId="5" hidden="1">Elev!$A$1:$G$1019</definedName>
    <definedName name="_xlnm._FilterDatabase" localSheetId="7" hidden="1">Observations!$A$1:$H$662</definedName>
    <definedName name="_xlnm._FilterDatabase" localSheetId="1" hidden="1">PN!$A$1:$G$1014</definedName>
    <definedName name="_xlnm._FilterDatabase" localSheetId="2" hidden="1">Ref!$A$1:$G$1012</definedName>
    <definedName name="_xlnm._FilterDatabase" localSheetId="0" hidden="1">SD!$A$1:$G$1037</definedName>
    <definedName name="Ajout_engrais">MD!$H$2:$H$22</definedName>
    <definedName name="Ajout_phyto">MD!$I$2:$I$9</definedName>
    <definedName name="Ajout_semence">MD!$G$2:$G$4</definedName>
    <definedName name="Listes_des_grandes_opérations">MD!$A$2:$A$11</definedName>
    <definedName name="OC_Autre">MD!$C$2:$C$30</definedName>
    <definedName name="OC_Engrais">MD!$F$2:$F$9</definedName>
    <definedName name="OC_Semis">MD!$E$2:$E$9</definedName>
    <definedName name="OC_Travail">MD!$D$2:$D$17</definedName>
    <definedName name="Récolte">MD!$J$2:$J$6</definedName>
  </definedNames>
  <calcPr calcId="125725"/>
</workbook>
</file>

<file path=xl/calcChain.xml><?xml version="1.0" encoding="utf-8"?>
<calcChain xmlns="http://schemas.openxmlformats.org/spreadsheetml/2006/main">
  <c r="D54" i="9"/>
  <c r="D52"/>
  <c r="D53"/>
  <c r="I167" i="10"/>
  <c r="J166" l="1"/>
  <c r="D166"/>
  <c r="D167"/>
  <c r="D168"/>
  <c r="D169"/>
  <c r="D170"/>
  <c r="D165"/>
  <c r="J157" i="7"/>
  <c r="D157"/>
  <c r="J164" i="6"/>
  <c r="D164"/>
  <c r="J165" i="10"/>
  <c r="I165"/>
  <c r="J170"/>
  <c r="I170"/>
  <c r="J169"/>
  <c r="I169"/>
  <c r="J168"/>
  <c r="I168"/>
  <c r="J167"/>
  <c r="D164"/>
  <c r="D163"/>
  <c r="D162"/>
  <c r="D161"/>
  <c r="D160"/>
  <c r="J164"/>
  <c r="J163"/>
  <c r="J162"/>
  <c r="J161"/>
  <c r="D155" l="1"/>
  <c r="D156"/>
  <c r="D157"/>
  <c r="D158"/>
  <c r="D159"/>
  <c r="D154"/>
  <c r="D153"/>
  <c r="D51" i="9"/>
  <c r="D50"/>
  <c r="D49"/>
  <c r="D47"/>
  <c r="D48"/>
  <c r="J46"/>
  <c r="D46"/>
  <c r="J119" i="8"/>
  <c r="D119"/>
  <c r="J118"/>
  <c r="D118"/>
  <c r="J117"/>
  <c r="D117"/>
  <c r="J116"/>
  <c r="D116"/>
  <c r="J115"/>
  <c r="D115"/>
  <c r="J114"/>
  <c r="D114"/>
  <c r="J113"/>
  <c r="D113"/>
  <c r="J112"/>
  <c r="I112"/>
  <c r="D112"/>
  <c r="J111"/>
  <c r="D111"/>
  <c r="J110"/>
  <c r="D110"/>
  <c r="J109"/>
  <c r="D109"/>
  <c r="J108"/>
  <c r="D108"/>
  <c r="J107"/>
  <c r="D107"/>
  <c r="J154" i="7" l="1"/>
  <c r="I154"/>
  <c r="D154"/>
  <c r="J152"/>
  <c r="J161"/>
  <c r="I161"/>
  <c r="D161"/>
  <c r="J160"/>
  <c r="I160"/>
  <c r="D160"/>
  <c r="J159"/>
  <c r="I159"/>
  <c r="D159"/>
  <c r="J158"/>
  <c r="I158"/>
  <c r="D158"/>
  <c r="J156"/>
  <c r="D156"/>
  <c r="J155"/>
  <c r="D155"/>
  <c r="J153"/>
  <c r="D153"/>
  <c r="D152"/>
  <c r="J151"/>
  <c r="D151"/>
  <c r="J150"/>
  <c r="D150"/>
  <c r="J149"/>
  <c r="D149"/>
  <c r="J148"/>
  <c r="I148"/>
  <c r="D148"/>
  <c r="J147"/>
  <c r="D147"/>
  <c r="J146"/>
  <c r="D146"/>
  <c r="J145"/>
  <c r="D145"/>
  <c r="J144"/>
  <c r="D144"/>
  <c r="J143"/>
  <c r="D143"/>
  <c r="J162" i="6" l="1"/>
  <c r="J163"/>
  <c r="D163"/>
  <c r="D162"/>
  <c r="D168"/>
  <c r="D167"/>
  <c r="I168"/>
  <c r="I167"/>
  <c r="D166"/>
  <c r="I166"/>
  <c r="I165"/>
  <c r="D165"/>
  <c r="D161"/>
  <c r="D160"/>
  <c r="D159"/>
  <c r="D158"/>
  <c r="D157"/>
  <c r="D156"/>
  <c r="D155"/>
  <c r="J161"/>
  <c r="I161"/>
  <c r="J160"/>
  <c r="J159"/>
  <c r="J158"/>
  <c r="J157"/>
  <c r="J156"/>
  <c r="I155"/>
  <c r="D154"/>
  <c r="D153"/>
  <c r="D152"/>
  <c r="D151"/>
  <c r="D150"/>
  <c r="I194" i="1" l="1"/>
  <c r="I188"/>
  <c r="D187"/>
  <c r="D188"/>
  <c r="D189"/>
  <c r="D190"/>
  <c r="D191"/>
  <c r="D192"/>
  <c r="D193"/>
  <c r="D194"/>
  <c r="D186"/>
  <c r="I186"/>
  <c r="D185" l="1"/>
  <c r="D184"/>
  <c r="D152" i="10"/>
  <c r="J151"/>
  <c r="D151"/>
  <c r="J150"/>
  <c r="D150"/>
  <c r="J149"/>
  <c r="D149"/>
  <c r="J148"/>
  <c r="D148"/>
  <c r="J147"/>
  <c r="D147"/>
  <c r="J146"/>
  <c r="D146"/>
  <c r="D45" i="9"/>
  <c r="D44"/>
  <c r="J43"/>
  <c r="D43"/>
  <c r="J42"/>
  <c r="D42"/>
  <c r="J106" i="8"/>
  <c r="D106"/>
  <c r="D105"/>
  <c r="D104"/>
  <c r="J103"/>
  <c r="D103"/>
  <c r="J142" i="7"/>
  <c r="D142"/>
  <c r="D141"/>
  <c r="D140"/>
  <c r="J139"/>
  <c r="D139"/>
  <c r="J149" i="6"/>
  <c r="D149"/>
  <c r="D148"/>
  <c r="D147"/>
  <c r="J146"/>
  <c r="D146"/>
  <c r="D183" i="1"/>
  <c r="J182"/>
  <c r="D182"/>
  <c r="D181"/>
  <c r="J180"/>
  <c r="D180"/>
  <c r="D176"/>
  <c r="D177"/>
  <c r="D178"/>
  <c r="D179"/>
  <c r="D175"/>
  <c r="J109" i="10" l="1"/>
  <c r="J110"/>
  <c r="J111"/>
  <c r="J112"/>
  <c r="J104"/>
  <c r="J105"/>
  <c r="J106"/>
  <c r="J107"/>
  <c r="J108"/>
  <c r="J87" i="8"/>
  <c r="J88"/>
  <c r="J89"/>
  <c r="J82"/>
  <c r="J83"/>
  <c r="J84"/>
  <c r="J85"/>
  <c r="J86"/>
  <c r="J96" i="7"/>
  <c r="J97"/>
  <c r="J98"/>
  <c r="J99"/>
  <c r="J100"/>
  <c r="J101"/>
  <c r="J102"/>
  <c r="J103"/>
  <c r="J103" i="6"/>
  <c r="J104"/>
  <c r="J105"/>
  <c r="J106"/>
  <c r="J107"/>
  <c r="J108"/>
  <c r="J109"/>
  <c r="J110"/>
  <c r="J111"/>
  <c r="J112"/>
  <c r="J113"/>
  <c r="J139" i="1"/>
  <c r="J140"/>
  <c r="J141"/>
  <c r="J142"/>
  <c r="J143"/>
  <c r="J144"/>
  <c r="J145"/>
  <c r="J140" i="10"/>
  <c r="J40" i="9"/>
  <c r="J137" i="7"/>
  <c r="J144" i="6"/>
  <c r="J173" i="1"/>
  <c r="J101" i="8"/>
  <c r="J145" i="10"/>
  <c r="D145"/>
  <c r="J144"/>
  <c r="D144"/>
  <c r="J143"/>
  <c r="D143"/>
  <c r="J142"/>
  <c r="D142"/>
  <c r="J141"/>
  <c r="D141"/>
  <c r="D140"/>
  <c r="J41" i="9"/>
  <c r="D41"/>
  <c r="D40"/>
  <c r="J102" i="8"/>
  <c r="D102"/>
  <c r="D101"/>
  <c r="J138" i="7"/>
  <c r="D138"/>
  <c r="D137"/>
  <c r="J145" i="6"/>
  <c r="D145"/>
  <c r="D144"/>
  <c r="J174" i="1" l="1"/>
  <c r="D174"/>
  <c r="D173"/>
  <c r="J30" i="9"/>
  <c r="D30"/>
  <c r="N139" i="10" l="1"/>
  <c r="J139"/>
  <c r="I139"/>
  <c r="D139"/>
  <c r="N138"/>
  <c r="J138"/>
  <c r="I138"/>
  <c r="D138"/>
  <c r="J137"/>
  <c r="D137"/>
  <c r="N136"/>
  <c r="J136"/>
  <c r="I136"/>
  <c r="D136"/>
  <c r="N135"/>
  <c r="J135"/>
  <c r="I135"/>
  <c r="D135"/>
  <c r="J134"/>
  <c r="D134"/>
  <c r="J133"/>
  <c r="D133"/>
  <c r="J132"/>
  <c r="D132"/>
  <c r="N131"/>
  <c r="J131"/>
  <c r="I131"/>
  <c r="D131"/>
  <c r="N130"/>
  <c r="J130"/>
  <c r="I130"/>
  <c r="D130"/>
  <c r="N129"/>
  <c r="J129"/>
  <c r="I129"/>
  <c r="D129"/>
  <c r="N128"/>
  <c r="J128"/>
  <c r="I128"/>
  <c r="D128"/>
  <c r="J127"/>
  <c r="D127"/>
  <c r="N126"/>
  <c r="J126"/>
  <c r="I126"/>
  <c r="D126"/>
  <c r="N125"/>
  <c r="J125"/>
  <c r="I125"/>
  <c r="D125"/>
  <c r="J124"/>
  <c r="D124"/>
  <c r="J115"/>
  <c r="D115"/>
  <c r="J114"/>
  <c r="I114"/>
  <c r="D114"/>
  <c r="J113"/>
  <c r="I113"/>
  <c r="D113"/>
  <c r="D112"/>
  <c r="N111"/>
  <c r="D111"/>
  <c r="N110"/>
  <c r="D110"/>
  <c r="N109"/>
  <c r="D109"/>
  <c r="D108"/>
  <c r="D107"/>
  <c r="K39" i="9"/>
  <c r="D39"/>
  <c r="N100" i="8"/>
  <c r="J100"/>
  <c r="I100"/>
  <c r="D100"/>
  <c r="N99"/>
  <c r="J99"/>
  <c r="I99"/>
  <c r="D99"/>
  <c r="J98"/>
  <c r="D98"/>
  <c r="J97"/>
  <c r="D97"/>
  <c r="J96"/>
  <c r="D96"/>
  <c r="I95"/>
  <c r="I94"/>
  <c r="J95"/>
  <c r="D95"/>
  <c r="J94"/>
  <c r="D94"/>
  <c r="J93"/>
  <c r="D93"/>
  <c r="N89"/>
  <c r="N88"/>
  <c r="N87"/>
  <c r="N136" i="7"/>
  <c r="J136"/>
  <c r="I136"/>
  <c r="D136"/>
  <c r="N135"/>
  <c r="J135"/>
  <c r="I135"/>
  <c r="D135"/>
  <c r="J134"/>
  <c r="D134"/>
  <c r="N133"/>
  <c r="J133"/>
  <c r="I133"/>
  <c r="D133"/>
  <c r="N132"/>
  <c r="J132"/>
  <c r="I132"/>
  <c r="D132"/>
  <c r="J131"/>
  <c r="D131"/>
  <c r="D124"/>
  <c r="K128"/>
  <c r="K129"/>
  <c r="K130"/>
  <c r="K127"/>
  <c r="D130"/>
  <c r="J129"/>
  <c r="I129"/>
  <c r="D129"/>
  <c r="J128"/>
  <c r="I128"/>
  <c r="D128"/>
  <c r="J127"/>
  <c r="D127"/>
  <c r="J126"/>
  <c r="D126"/>
  <c r="J125"/>
  <c r="D125"/>
  <c r="J124"/>
  <c r="N123"/>
  <c r="J123"/>
  <c r="I123"/>
  <c r="D123"/>
  <c r="N122"/>
  <c r="J122"/>
  <c r="I122"/>
  <c r="D122"/>
  <c r="N121"/>
  <c r="J121"/>
  <c r="I121"/>
  <c r="D121"/>
  <c r="N120"/>
  <c r="J120"/>
  <c r="I120"/>
  <c r="D120"/>
  <c r="J119"/>
  <c r="D119"/>
  <c r="N118"/>
  <c r="J118"/>
  <c r="I118"/>
  <c r="D118"/>
  <c r="N117"/>
  <c r="J117"/>
  <c r="I117"/>
  <c r="D117"/>
  <c r="J116"/>
  <c r="D116"/>
  <c r="N142" i="6"/>
  <c r="N141"/>
  <c r="I142"/>
  <c r="I141"/>
  <c r="J142"/>
  <c r="D142"/>
  <c r="J141"/>
  <c r="D141"/>
  <c r="J140"/>
  <c r="D140"/>
  <c r="N139"/>
  <c r="J139"/>
  <c r="I139"/>
  <c r="D139"/>
  <c r="N138"/>
  <c r="J138"/>
  <c r="I138"/>
  <c r="D138"/>
  <c r="J137"/>
  <c r="D137"/>
  <c r="D136"/>
  <c r="J135"/>
  <c r="I135"/>
  <c r="D135"/>
  <c r="J134"/>
  <c r="I134"/>
  <c r="D134"/>
  <c r="J133"/>
  <c r="D133"/>
  <c r="J132"/>
  <c r="D132"/>
  <c r="J131"/>
  <c r="D131"/>
  <c r="N130"/>
  <c r="I130"/>
  <c r="J130"/>
  <c r="D130"/>
  <c r="N127"/>
  <c r="N128"/>
  <c r="N129"/>
  <c r="I129"/>
  <c r="I128"/>
  <c r="I127"/>
  <c r="J129"/>
  <c r="D129"/>
  <c r="J128"/>
  <c r="D128"/>
  <c r="J127"/>
  <c r="D127"/>
  <c r="J126"/>
  <c r="D126"/>
  <c r="N125"/>
  <c r="J125"/>
  <c r="I125"/>
  <c r="D125"/>
  <c r="N124"/>
  <c r="J124"/>
  <c r="I124"/>
  <c r="D124"/>
  <c r="J123"/>
  <c r="D123"/>
  <c r="D143"/>
  <c r="J175" i="1"/>
  <c r="N171"/>
  <c r="N170"/>
  <c r="I171"/>
  <c r="I170"/>
  <c r="J171"/>
  <c r="D171"/>
  <c r="J170"/>
  <c r="D170"/>
  <c r="J169"/>
  <c r="D169"/>
  <c r="N168"/>
  <c r="J168"/>
  <c r="I168"/>
  <c r="D168"/>
  <c r="N167"/>
  <c r="J167"/>
  <c r="I167"/>
  <c r="D167"/>
  <c r="J166"/>
  <c r="D166"/>
  <c r="J165"/>
  <c r="D165"/>
  <c r="J164"/>
  <c r="D164"/>
  <c r="D163"/>
  <c r="I162"/>
  <c r="I161"/>
  <c r="D162"/>
  <c r="J161"/>
  <c r="J162"/>
  <c r="J160"/>
  <c r="D161"/>
  <c r="D160"/>
  <c r="I150"/>
  <c r="N147"/>
  <c r="I147"/>
  <c r="D38" i="9"/>
  <c r="D172" i="1"/>
  <c r="N143" l="1"/>
  <c r="N142"/>
  <c r="N141"/>
  <c r="N110" i="6"/>
  <c r="N109"/>
  <c r="N108"/>
  <c r="N103" i="7"/>
  <c r="N102"/>
  <c r="N101"/>
  <c r="J123" i="10"/>
  <c r="D123"/>
  <c r="J122"/>
  <c r="D122"/>
  <c r="N150" i="1"/>
  <c r="N148"/>
  <c r="N149"/>
  <c r="I144"/>
  <c r="D89" i="8" l="1"/>
  <c r="D88"/>
  <c r="D87"/>
  <c r="D121" i="10" l="1"/>
  <c r="D120"/>
  <c r="J119"/>
  <c r="D119"/>
  <c r="J118"/>
  <c r="D118"/>
  <c r="J117"/>
  <c r="D117"/>
  <c r="J116"/>
  <c r="D116"/>
  <c r="D34" i="9"/>
  <c r="D35"/>
  <c r="D36"/>
  <c r="D37"/>
  <c r="D29"/>
  <c r="J33"/>
  <c r="D33"/>
  <c r="J32"/>
  <c r="D32"/>
  <c r="J31"/>
  <c r="D31"/>
  <c r="D91" i="8"/>
  <c r="D92"/>
  <c r="D85"/>
  <c r="D86"/>
  <c r="D90"/>
  <c r="D84"/>
  <c r="J115" i="7"/>
  <c r="D115"/>
  <c r="J114"/>
  <c r="D114"/>
  <c r="J113"/>
  <c r="D113"/>
  <c r="J112"/>
  <c r="D112"/>
  <c r="J111"/>
  <c r="D111"/>
  <c r="J110"/>
  <c r="D110"/>
  <c r="J109"/>
  <c r="D109"/>
  <c r="J108"/>
  <c r="D108"/>
  <c r="J107"/>
  <c r="D107"/>
  <c r="J106"/>
  <c r="I106"/>
  <c r="D106"/>
  <c r="J105"/>
  <c r="I105"/>
  <c r="D105"/>
  <c r="J104"/>
  <c r="D104"/>
  <c r="D119" i="6"/>
  <c r="D120"/>
  <c r="D121"/>
  <c r="D122"/>
  <c r="J118"/>
  <c r="D118"/>
  <c r="J117"/>
  <c r="D117"/>
  <c r="J116"/>
  <c r="D116"/>
  <c r="J115"/>
  <c r="D115"/>
  <c r="J114"/>
  <c r="D114"/>
  <c r="I113"/>
  <c r="D113"/>
  <c r="I112"/>
  <c r="D112"/>
  <c r="D111"/>
  <c r="D158" i="1"/>
  <c r="D159"/>
  <c r="J157"/>
  <c r="I149"/>
  <c r="I148"/>
  <c r="D149"/>
  <c r="D150"/>
  <c r="D151"/>
  <c r="D152"/>
  <c r="D153"/>
  <c r="D154"/>
  <c r="D155"/>
  <c r="D156"/>
  <c r="D157"/>
  <c r="D148"/>
  <c r="D147"/>
  <c r="D146"/>
  <c r="J120" i="10"/>
  <c r="M97" i="1"/>
  <c r="L78" i="10"/>
  <c r="L70" i="6"/>
  <c r="L94" i="1"/>
  <c r="L67" i="7"/>
  <c r="L55" i="8"/>
  <c r="L67" l="1"/>
  <c r="L84" i="10"/>
  <c r="I96"/>
  <c r="D97" i="7" l="1"/>
  <c r="D96"/>
  <c r="D106" i="10" l="1"/>
  <c r="D103" i="7"/>
  <c r="D102"/>
  <c r="D101"/>
  <c r="D100"/>
  <c r="D99"/>
  <c r="D98"/>
  <c r="D110" i="6"/>
  <c r="D109"/>
  <c r="D108"/>
  <c r="D107"/>
  <c r="D106"/>
  <c r="D105"/>
  <c r="D145" i="1" l="1"/>
  <c r="D144"/>
  <c r="D143"/>
  <c r="D142"/>
  <c r="D141"/>
  <c r="D140"/>
  <c r="D139"/>
  <c r="I28" i="9"/>
  <c r="J27" l="1"/>
  <c r="D27"/>
  <c r="D26"/>
  <c r="J24" l="1"/>
  <c r="D24"/>
  <c r="D25"/>
  <c r="J28" l="1"/>
  <c r="D28"/>
  <c r="D105" i="10"/>
  <c r="D104"/>
  <c r="D83" i="8"/>
  <c r="D82"/>
  <c r="J1012" i="7"/>
  <c r="D1012"/>
  <c r="D1011"/>
  <c r="D104" i="6"/>
  <c r="D103"/>
  <c r="D137" i="1"/>
  <c r="D138" l="1"/>
  <c r="N103" i="10"/>
  <c r="J103"/>
  <c r="I103"/>
  <c r="D103"/>
  <c r="N102"/>
  <c r="J102"/>
  <c r="I102"/>
  <c r="D102"/>
  <c r="N101"/>
  <c r="J101"/>
  <c r="I101"/>
  <c r="D101"/>
  <c r="J100"/>
  <c r="D100"/>
  <c r="N99"/>
  <c r="J99"/>
  <c r="I99"/>
  <c r="D99"/>
  <c r="N98"/>
  <c r="J98"/>
  <c r="I98"/>
  <c r="D98"/>
  <c r="J97"/>
  <c r="D97"/>
  <c r="N96"/>
  <c r="J96"/>
  <c r="D96"/>
  <c r="J95"/>
  <c r="D95"/>
  <c r="D23" i="9"/>
  <c r="N81" i="8"/>
  <c r="J81"/>
  <c r="I81"/>
  <c r="D81"/>
  <c r="N80"/>
  <c r="J80"/>
  <c r="I80"/>
  <c r="D80"/>
  <c r="N79"/>
  <c r="N78"/>
  <c r="I79"/>
  <c r="I78"/>
  <c r="J79"/>
  <c r="D79"/>
  <c r="J78"/>
  <c r="D78"/>
  <c r="J77"/>
  <c r="D77"/>
  <c r="N76"/>
  <c r="J76"/>
  <c r="I76"/>
  <c r="D76"/>
  <c r="J75"/>
  <c r="D75"/>
  <c r="N98" i="6"/>
  <c r="N97"/>
  <c r="I98"/>
  <c r="I97"/>
  <c r="N95" i="7"/>
  <c r="J95"/>
  <c r="I95"/>
  <c r="D95"/>
  <c r="N94"/>
  <c r="J94"/>
  <c r="I94"/>
  <c r="D94"/>
  <c r="N93"/>
  <c r="J93"/>
  <c r="I93"/>
  <c r="D93"/>
  <c r="J92"/>
  <c r="D92"/>
  <c r="N91"/>
  <c r="J91"/>
  <c r="I91"/>
  <c r="D91"/>
  <c r="N90"/>
  <c r="J90"/>
  <c r="I90"/>
  <c r="D90"/>
  <c r="J89"/>
  <c r="D89"/>
  <c r="N88"/>
  <c r="J88"/>
  <c r="I88"/>
  <c r="D88"/>
  <c r="J87"/>
  <c r="D87"/>
  <c r="N86"/>
  <c r="J86"/>
  <c r="I86"/>
  <c r="D86"/>
  <c r="J85"/>
  <c r="D85"/>
  <c r="N102" i="6"/>
  <c r="I102"/>
  <c r="J102"/>
  <c r="D102"/>
  <c r="N101"/>
  <c r="N100"/>
  <c r="I101"/>
  <c r="I100"/>
  <c r="J101"/>
  <c r="D101"/>
  <c r="J100"/>
  <c r="D100"/>
  <c r="J99"/>
  <c r="D99"/>
  <c r="J98"/>
  <c r="D98"/>
  <c r="J97"/>
  <c r="D97"/>
  <c r="J96"/>
  <c r="D96"/>
  <c r="N95"/>
  <c r="J95"/>
  <c r="I95"/>
  <c r="D95"/>
  <c r="J94"/>
  <c r="D94"/>
  <c r="N93"/>
  <c r="J93"/>
  <c r="I93"/>
  <c r="D93"/>
  <c r="J92"/>
  <c r="D92"/>
  <c r="N136" i="1"/>
  <c r="N135" l="1"/>
  <c r="I136"/>
  <c r="I135"/>
  <c r="J136"/>
  <c r="D136"/>
  <c r="J135"/>
  <c r="D135"/>
  <c r="J134"/>
  <c r="D134"/>
  <c r="N133"/>
  <c r="J133"/>
  <c r="I133"/>
  <c r="D133"/>
  <c r="N132"/>
  <c r="I132"/>
  <c r="J132"/>
  <c r="D132"/>
  <c r="J131"/>
  <c r="D131"/>
  <c r="N130"/>
  <c r="J130"/>
  <c r="I130"/>
  <c r="D130"/>
  <c r="J129"/>
  <c r="D129"/>
  <c r="N128"/>
  <c r="I128"/>
  <c r="D128"/>
  <c r="D127"/>
  <c r="N22" i="8"/>
  <c r="N21"/>
  <c r="N20"/>
  <c r="J22"/>
  <c r="J21"/>
  <c r="J20"/>
  <c r="N30" i="10"/>
  <c r="J30"/>
  <c r="N29"/>
  <c r="J29"/>
  <c r="N28"/>
  <c r="J28"/>
  <c r="N32" i="7"/>
  <c r="J32"/>
  <c r="N31"/>
  <c r="J31"/>
  <c r="N30"/>
  <c r="J30"/>
  <c r="N34" i="6"/>
  <c r="J34"/>
  <c r="N33"/>
  <c r="J33"/>
  <c r="N32"/>
  <c r="J32"/>
  <c r="N36" i="1"/>
  <c r="N35"/>
  <c r="N34"/>
  <c r="J36"/>
  <c r="J35"/>
  <c r="N24" i="10"/>
  <c r="J24"/>
  <c r="N23"/>
  <c r="J23"/>
  <c r="N22"/>
  <c r="J22"/>
  <c r="N16" i="8"/>
  <c r="J16"/>
  <c r="N15"/>
  <c r="J15"/>
  <c r="N14"/>
  <c r="J14"/>
  <c r="N24" i="7"/>
  <c r="J24"/>
  <c r="N23"/>
  <c r="J23"/>
  <c r="N22"/>
  <c r="J22"/>
  <c r="N17" i="1"/>
  <c r="N26" i="6"/>
  <c r="J26"/>
  <c r="N25"/>
  <c r="J25"/>
  <c r="N24"/>
  <c r="J24"/>
  <c r="N30" i="1"/>
  <c r="N29"/>
  <c r="N28"/>
  <c r="N27"/>
  <c r="J30"/>
  <c r="J29"/>
  <c r="J28"/>
  <c r="N20" i="10"/>
  <c r="J20"/>
  <c r="N19"/>
  <c r="J19"/>
  <c r="N18"/>
  <c r="J18"/>
  <c r="I18"/>
  <c r="N17"/>
  <c r="J17"/>
  <c r="I17"/>
  <c r="N16"/>
  <c r="J16"/>
  <c r="I16"/>
  <c r="N20" i="7"/>
  <c r="J20"/>
  <c r="N19"/>
  <c r="J19"/>
  <c r="N18"/>
  <c r="J18"/>
  <c r="I18"/>
  <c r="N17"/>
  <c r="J17"/>
  <c r="I17"/>
  <c r="N16"/>
  <c r="J16"/>
  <c r="I16"/>
  <c r="N20" i="6"/>
  <c r="J20"/>
  <c r="N19"/>
  <c r="J19"/>
  <c r="N18"/>
  <c r="J18"/>
  <c r="I18"/>
  <c r="N17"/>
  <c r="J17"/>
  <c r="I17"/>
  <c r="N16"/>
  <c r="J16"/>
  <c r="I16"/>
  <c r="N23" i="1"/>
  <c r="N22"/>
  <c r="J23"/>
  <c r="N21"/>
  <c r="N20"/>
  <c r="N19"/>
  <c r="I21"/>
  <c r="I20"/>
  <c r="I19"/>
  <c r="J21"/>
  <c r="J20"/>
  <c r="J22"/>
  <c r="N16"/>
  <c r="J17"/>
  <c r="N5" i="10"/>
  <c r="N5" i="8"/>
  <c r="N8" i="10"/>
  <c r="J8"/>
  <c r="I8"/>
  <c r="N7"/>
  <c r="J7"/>
  <c r="I7"/>
  <c r="N8" i="8"/>
  <c r="N7"/>
  <c r="I8"/>
  <c r="I7"/>
  <c r="J8"/>
  <c r="J7"/>
  <c r="N8" i="7"/>
  <c r="J8"/>
  <c r="I8"/>
  <c r="N7"/>
  <c r="J7"/>
  <c r="I7"/>
  <c r="N8" i="6"/>
  <c r="J8"/>
  <c r="I8"/>
  <c r="N7"/>
  <c r="J7"/>
  <c r="I7"/>
  <c r="N8" i="1"/>
  <c r="N7"/>
  <c r="J8"/>
  <c r="I8"/>
  <c r="J94" i="10" l="1"/>
  <c r="D94"/>
  <c r="J93"/>
  <c r="D93"/>
  <c r="J92"/>
  <c r="D92"/>
  <c r="J91"/>
  <c r="D91"/>
  <c r="N90"/>
  <c r="J90"/>
  <c r="I90"/>
  <c r="D90"/>
  <c r="N89"/>
  <c r="J89"/>
  <c r="I89"/>
  <c r="D89"/>
  <c r="J88"/>
  <c r="D88"/>
  <c r="J74" i="8"/>
  <c r="D74"/>
  <c r="J73"/>
  <c r="D73"/>
  <c r="J72"/>
  <c r="D72"/>
  <c r="J71"/>
  <c r="D71"/>
  <c r="N69"/>
  <c r="I69" l="1"/>
  <c r="J70"/>
  <c r="D70"/>
  <c r="J69"/>
  <c r="D69"/>
  <c r="J68"/>
  <c r="D68"/>
  <c r="J67"/>
  <c r="D67"/>
  <c r="J66"/>
  <c r="D66"/>
  <c r="J84" i="7"/>
  <c r="D84"/>
  <c r="J83"/>
  <c r="D83"/>
  <c r="J82"/>
  <c r="D82"/>
  <c r="J81"/>
  <c r="D81"/>
  <c r="J80"/>
  <c r="D80"/>
  <c r="J79"/>
  <c r="D79"/>
  <c r="N78"/>
  <c r="J78"/>
  <c r="I78"/>
  <c r="D78"/>
  <c r="N77"/>
  <c r="J77"/>
  <c r="I77"/>
  <c r="D77"/>
  <c r="J76"/>
  <c r="D76"/>
  <c r="J91" i="6"/>
  <c r="D91"/>
  <c r="J90"/>
  <c r="D90"/>
  <c r="J89"/>
  <c r="D89"/>
  <c r="J88"/>
  <c r="D88"/>
  <c r="J87"/>
  <c r="D87"/>
  <c r="J86"/>
  <c r="D86"/>
  <c r="J85"/>
  <c r="D85"/>
  <c r="J84"/>
  <c r="D84"/>
  <c r="N83"/>
  <c r="I83"/>
  <c r="D83"/>
  <c r="N82"/>
  <c r="N81"/>
  <c r="I82"/>
  <c r="I81"/>
  <c r="J82"/>
  <c r="D82"/>
  <c r="J81"/>
  <c r="D81"/>
  <c r="J80"/>
  <c r="D80"/>
  <c r="J126" i="1"/>
  <c r="D126"/>
  <c r="J125"/>
  <c r="D125"/>
  <c r="J124" l="1"/>
  <c r="D124"/>
  <c r="J123"/>
  <c r="D123"/>
  <c r="J122"/>
  <c r="D122"/>
  <c r="J121"/>
  <c r="D121"/>
  <c r="D120"/>
  <c r="D119"/>
  <c r="N117"/>
  <c r="J117"/>
  <c r="I117"/>
  <c r="D117"/>
  <c r="N116"/>
  <c r="I116"/>
  <c r="J116"/>
  <c r="D116"/>
  <c r="D118"/>
  <c r="D115"/>
  <c r="I22" i="9"/>
  <c r="J22"/>
  <c r="D22"/>
  <c r="J21"/>
  <c r="D21"/>
  <c r="J20"/>
  <c r="D20"/>
  <c r="D19"/>
  <c r="N79" i="6" l="1"/>
  <c r="J79"/>
  <c r="D79"/>
  <c r="J78"/>
  <c r="I78"/>
  <c r="D78"/>
  <c r="N87" i="10"/>
  <c r="J87"/>
  <c r="D87"/>
  <c r="J86"/>
  <c r="I86"/>
  <c r="D86"/>
  <c r="N85"/>
  <c r="J85"/>
  <c r="D85"/>
  <c r="J84"/>
  <c r="D84"/>
  <c r="J83"/>
  <c r="D83"/>
  <c r="J82"/>
  <c r="D82"/>
  <c r="N81"/>
  <c r="J81"/>
  <c r="D81"/>
  <c r="J80"/>
  <c r="I80"/>
  <c r="D80"/>
  <c r="N79"/>
  <c r="J79"/>
  <c r="D79"/>
  <c r="J78"/>
  <c r="D78"/>
  <c r="J77"/>
  <c r="D77"/>
  <c r="J76"/>
  <c r="D76"/>
  <c r="D75"/>
  <c r="D74"/>
  <c r="J73"/>
  <c r="D73"/>
  <c r="I64" i="8" l="1"/>
  <c r="I62"/>
  <c r="I61"/>
  <c r="I60"/>
  <c r="I59"/>
  <c r="N56"/>
  <c r="J65"/>
  <c r="D65"/>
  <c r="J64"/>
  <c r="D64"/>
  <c r="J63"/>
  <c r="D63"/>
  <c r="J62"/>
  <c r="D62"/>
  <c r="J61"/>
  <c r="D61"/>
  <c r="J60"/>
  <c r="D60"/>
  <c r="J59"/>
  <c r="D59"/>
  <c r="N58"/>
  <c r="J58"/>
  <c r="D58"/>
  <c r="J57"/>
  <c r="I57"/>
  <c r="D57"/>
  <c r="J56"/>
  <c r="D56"/>
  <c r="J55"/>
  <c r="D55"/>
  <c r="J54"/>
  <c r="D54"/>
  <c r="J53"/>
  <c r="D53"/>
  <c r="J52"/>
  <c r="D52"/>
  <c r="I74" i="7"/>
  <c r="I73"/>
  <c r="I72"/>
  <c r="I71"/>
  <c r="J75"/>
  <c r="D75"/>
  <c r="J74"/>
  <c r="D74"/>
  <c r="J73"/>
  <c r="D73"/>
  <c r="J72"/>
  <c r="D72"/>
  <c r="J71"/>
  <c r="D71"/>
  <c r="N70"/>
  <c r="J70"/>
  <c r="D70"/>
  <c r="J69"/>
  <c r="I69"/>
  <c r="D69"/>
  <c r="N68"/>
  <c r="J68"/>
  <c r="D68"/>
  <c r="J67"/>
  <c r="D67"/>
  <c r="J66"/>
  <c r="D66"/>
  <c r="J65"/>
  <c r="D65"/>
  <c r="J64"/>
  <c r="D64"/>
  <c r="N77" i="6"/>
  <c r="J77"/>
  <c r="D77"/>
  <c r="J76"/>
  <c r="D76"/>
  <c r="D75"/>
  <c r="J74"/>
  <c r="D74"/>
  <c r="N71"/>
  <c r="N73"/>
  <c r="J73"/>
  <c r="D73"/>
  <c r="J72"/>
  <c r="I72"/>
  <c r="D72"/>
  <c r="J71"/>
  <c r="D71"/>
  <c r="J70"/>
  <c r="D70"/>
  <c r="J69"/>
  <c r="D69"/>
  <c r="J68"/>
  <c r="D68"/>
  <c r="J67"/>
  <c r="D67"/>
  <c r="N113" i="1"/>
  <c r="I113"/>
  <c r="N114"/>
  <c r="D114"/>
  <c r="J113"/>
  <c r="D113"/>
  <c r="J112"/>
  <c r="D112"/>
  <c r="N111"/>
  <c r="J111"/>
  <c r="I111"/>
  <c r="D111"/>
  <c r="J110"/>
  <c r="D110"/>
  <c r="N109"/>
  <c r="J109"/>
  <c r="I109"/>
  <c r="D109"/>
  <c r="J108"/>
  <c r="D108"/>
  <c r="N98"/>
  <c r="N96"/>
  <c r="I97"/>
  <c r="I107"/>
  <c r="J107"/>
  <c r="D107"/>
  <c r="I106"/>
  <c r="N106"/>
  <c r="J106"/>
  <c r="D106"/>
  <c r="N105"/>
  <c r="I105"/>
  <c r="J105"/>
  <c r="D105"/>
  <c r="J104"/>
  <c r="D104"/>
  <c r="D103"/>
  <c r="N102"/>
  <c r="I102"/>
  <c r="D102"/>
  <c r="D101"/>
  <c r="J98"/>
  <c r="D98"/>
  <c r="J96"/>
  <c r="D96"/>
  <c r="J97"/>
  <c r="D97"/>
  <c r="D100"/>
  <c r="D99"/>
  <c r="D95"/>
  <c r="D94"/>
  <c r="N93"/>
  <c r="N92"/>
  <c r="K93"/>
  <c r="K92"/>
  <c r="I92"/>
  <c r="J93"/>
  <c r="D93"/>
  <c r="J92"/>
  <c r="D92"/>
  <c r="N91"/>
  <c r="J91"/>
  <c r="D91"/>
  <c r="N90"/>
  <c r="I90"/>
  <c r="D90"/>
  <c r="D89"/>
  <c r="P58" i="6"/>
  <c r="P57"/>
  <c r="L40"/>
  <c r="L44" i="7"/>
  <c r="S49" i="1" l="1"/>
  <c r="R49"/>
  <c r="P63"/>
  <c r="M42" i="10" l="1"/>
  <c r="N53" i="6"/>
  <c r="N52"/>
  <c r="I53"/>
  <c r="I52"/>
  <c r="N61" i="10"/>
  <c r="J61"/>
  <c r="I61"/>
  <c r="N60"/>
  <c r="J60"/>
  <c r="I60"/>
  <c r="N77" i="1"/>
  <c r="N76"/>
  <c r="I76"/>
  <c r="I77"/>
  <c r="D18" i="9"/>
  <c r="D9"/>
  <c r="D10"/>
  <c r="D11"/>
  <c r="D12"/>
  <c r="D13"/>
  <c r="D14"/>
  <c r="D15"/>
  <c r="J17"/>
  <c r="D17"/>
  <c r="J16"/>
  <c r="D16"/>
  <c r="D29" i="8"/>
  <c r="D30"/>
  <c r="D31"/>
  <c r="D32"/>
  <c r="D33"/>
  <c r="D34"/>
  <c r="D35"/>
  <c r="D36"/>
  <c r="D37"/>
  <c r="D38"/>
  <c r="D39"/>
  <c r="D40"/>
  <c r="D41"/>
  <c r="D42"/>
  <c r="D43"/>
  <c r="D44"/>
  <c r="D45"/>
  <c r="D46"/>
  <c r="D47"/>
  <c r="D48"/>
  <c r="D49"/>
  <c r="J51"/>
  <c r="D51"/>
  <c r="J50"/>
  <c r="D50"/>
  <c r="D39" i="7"/>
  <c r="D40"/>
  <c r="D41"/>
  <c r="D42"/>
  <c r="D43"/>
  <c r="D44"/>
  <c r="D45"/>
  <c r="D46"/>
  <c r="D47"/>
  <c r="D48"/>
  <c r="D49"/>
  <c r="D50"/>
  <c r="D51"/>
  <c r="D52"/>
  <c r="D53"/>
  <c r="D54"/>
  <c r="D55"/>
  <c r="D56"/>
  <c r="D57"/>
  <c r="D58"/>
  <c r="D59"/>
  <c r="D60"/>
  <c r="D61"/>
  <c r="J63"/>
  <c r="D63"/>
  <c r="J62"/>
  <c r="D62"/>
  <c r="D37" i="6"/>
  <c r="D38"/>
  <c r="D39"/>
  <c r="D40"/>
  <c r="D41"/>
  <c r="D42"/>
  <c r="D43"/>
  <c r="D44"/>
  <c r="D45"/>
  <c r="D46"/>
  <c r="D47"/>
  <c r="D48"/>
  <c r="D49"/>
  <c r="D50"/>
  <c r="D51"/>
  <c r="D52"/>
  <c r="D53"/>
  <c r="D54"/>
  <c r="D55"/>
  <c r="D56"/>
  <c r="D57"/>
  <c r="D58"/>
  <c r="D59"/>
  <c r="D60"/>
  <c r="D61"/>
  <c r="D62"/>
  <c r="D63"/>
  <c r="D64"/>
  <c r="J66"/>
  <c r="D66"/>
  <c r="J65"/>
  <c r="D65"/>
  <c r="D40" i="10"/>
  <c r="D41"/>
  <c r="D42"/>
  <c r="D43"/>
  <c r="D44"/>
  <c r="D45"/>
  <c r="D46"/>
  <c r="D47"/>
  <c r="D48"/>
  <c r="D49"/>
  <c r="D50"/>
  <c r="D51"/>
  <c r="D52"/>
  <c r="D53"/>
  <c r="D54"/>
  <c r="D55"/>
  <c r="D56"/>
  <c r="D57"/>
  <c r="D58"/>
  <c r="D59"/>
  <c r="D60"/>
  <c r="D61"/>
  <c r="D62"/>
  <c r="D63"/>
  <c r="D64"/>
  <c r="D65"/>
  <c r="D66"/>
  <c r="D67"/>
  <c r="D68"/>
  <c r="D69"/>
  <c r="D70"/>
  <c r="D71"/>
  <c r="D72"/>
  <c r="D38"/>
  <c r="D39"/>
  <c r="D37"/>
  <c r="D52" i="1" l="1"/>
  <c r="D53"/>
  <c r="D54"/>
  <c r="D55"/>
  <c r="D56"/>
  <c r="D57"/>
  <c r="D58"/>
  <c r="D59"/>
  <c r="D60"/>
  <c r="D61"/>
  <c r="D62"/>
  <c r="D63"/>
  <c r="D64"/>
  <c r="D65"/>
  <c r="D66"/>
  <c r="D67"/>
  <c r="D68"/>
  <c r="D69"/>
  <c r="D70"/>
  <c r="D71"/>
  <c r="D72"/>
  <c r="D73"/>
  <c r="D74"/>
  <c r="D75"/>
  <c r="D76"/>
  <c r="D77"/>
  <c r="D78"/>
  <c r="D79"/>
  <c r="D80"/>
  <c r="D81"/>
  <c r="D82"/>
  <c r="D83"/>
  <c r="D84"/>
  <c r="D85"/>
  <c r="D86"/>
  <c r="D87"/>
  <c r="D88"/>
  <c r="D44"/>
  <c r="D45"/>
  <c r="D46"/>
  <c r="D47"/>
  <c r="D48"/>
  <c r="D49"/>
  <c r="D50"/>
  <c r="D51"/>
  <c r="D43"/>
  <c r="N45" i="10"/>
  <c r="J67"/>
  <c r="J83" i="1"/>
  <c r="J72" i="10"/>
  <c r="J71"/>
  <c r="J70"/>
  <c r="J69"/>
  <c r="J68"/>
  <c r="J49" i="8"/>
  <c r="I49"/>
  <c r="J48"/>
  <c r="I48"/>
  <c r="J47"/>
  <c r="I47"/>
  <c r="J46"/>
  <c r="I46"/>
  <c r="J45"/>
  <c r="I45"/>
  <c r="J44"/>
  <c r="J61" i="7"/>
  <c r="I61"/>
  <c r="J60"/>
  <c r="I60"/>
  <c r="J59"/>
  <c r="I59"/>
  <c r="J58"/>
  <c r="I58"/>
  <c r="J57"/>
  <c r="I57"/>
  <c r="J56"/>
  <c r="I64" i="6"/>
  <c r="J64"/>
  <c r="J63"/>
  <c r="I63"/>
  <c r="I62"/>
  <c r="J62"/>
  <c r="I61"/>
  <c r="J60"/>
  <c r="J88" i="1"/>
  <c r="J87"/>
  <c r="J86"/>
  <c r="J85"/>
  <c r="J84"/>
  <c r="J43" i="8"/>
  <c r="I43"/>
  <c r="J42"/>
  <c r="I42"/>
  <c r="J41"/>
  <c r="J55" i="7"/>
  <c r="I55"/>
  <c r="J54"/>
  <c r="I54"/>
  <c r="J53"/>
  <c r="J66" i="10"/>
  <c r="I66"/>
  <c r="N65"/>
  <c r="J65"/>
  <c r="I65"/>
  <c r="N64"/>
  <c r="J64"/>
  <c r="I64"/>
  <c r="N63"/>
  <c r="J63"/>
  <c r="I63"/>
  <c r="J62"/>
  <c r="I59"/>
  <c r="I58"/>
  <c r="I56"/>
  <c r="I55"/>
  <c r="J59"/>
  <c r="J58"/>
  <c r="J57"/>
  <c r="J56"/>
  <c r="J55"/>
  <c r="J54"/>
  <c r="J40" i="8"/>
  <c r="J39"/>
  <c r="J38"/>
  <c r="J52" i="7"/>
  <c r="J51"/>
  <c r="J50"/>
  <c r="I59" i="6"/>
  <c r="I58"/>
  <c r="K56"/>
  <c r="K59"/>
  <c r="K58"/>
  <c r="K57"/>
  <c r="I57"/>
  <c r="J56"/>
  <c r="J55"/>
  <c r="J54"/>
  <c r="J53"/>
  <c r="J52"/>
  <c r="J51"/>
  <c r="I82" i="1"/>
  <c r="N81"/>
  <c r="N80"/>
  <c r="I81"/>
  <c r="I80"/>
  <c r="N79"/>
  <c r="I79"/>
  <c r="J78"/>
  <c r="J77"/>
  <c r="J76"/>
  <c r="I75"/>
  <c r="I74"/>
  <c r="J51" i="10"/>
  <c r="J53"/>
  <c r="J52"/>
  <c r="J37" i="8"/>
  <c r="J36"/>
  <c r="J49" i="7"/>
  <c r="J48"/>
  <c r="J50" i="6"/>
  <c r="J49"/>
  <c r="J72" i="1"/>
  <c r="J71"/>
  <c r="N35" i="8"/>
  <c r="J35"/>
  <c r="N34"/>
  <c r="J34"/>
  <c r="N33"/>
  <c r="J33"/>
  <c r="J32"/>
  <c r="J31"/>
  <c r="J41" i="7"/>
  <c r="N47"/>
  <c r="J47"/>
  <c r="N46"/>
  <c r="J46"/>
  <c r="N45"/>
  <c r="J45"/>
  <c r="J44"/>
  <c r="J43"/>
  <c r="N42"/>
  <c r="J42"/>
  <c r="J15" i="9"/>
  <c r="J14"/>
  <c r="J30" i="8"/>
  <c r="J40" i="7"/>
  <c r="J50" i="10"/>
  <c r="J48" i="6"/>
  <c r="J47"/>
  <c r="N68" i="1"/>
  <c r="I68"/>
  <c r="J68"/>
  <c r="N44" i="10"/>
  <c r="N43"/>
  <c r="J45"/>
  <c r="J44"/>
  <c r="J43"/>
  <c r="J42" i="6"/>
  <c r="J41"/>
  <c r="N42"/>
  <c r="N41"/>
  <c r="N50" i="1"/>
  <c r="N52"/>
  <c r="N51"/>
  <c r="N64"/>
  <c r="K52"/>
  <c r="J52"/>
  <c r="K51"/>
  <c r="J51"/>
  <c r="N66"/>
  <c r="N65"/>
  <c r="N59"/>
  <c r="J64"/>
  <c r="K50"/>
  <c r="J50"/>
  <c r="I59"/>
  <c r="J58"/>
  <c r="J59"/>
  <c r="K63"/>
  <c r="I63"/>
  <c r="J49" i="10"/>
  <c r="I49"/>
  <c r="J48"/>
  <c r="I48"/>
  <c r="J47"/>
  <c r="J46" i="6"/>
  <c r="I46"/>
  <c r="J45"/>
  <c r="I45"/>
  <c r="J44"/>
  <c r="J62" i="1"/>
  <c r="I62"/>
  <c r="I61"/>
  <c r="J61"/>
  <c r="J60"/>
  <c r="K49"/>
  <c r="I49"/>
  <c r="J53"/>
  <c r="I55"/>
  <c r="J37" i="10"/>
  <c r="J29" i="8"/>
  <c r="J26"/>
  <c r="J25"/>
  <c r="K26" i="7"/>
  <c r="K25"/>
  <c r="J39"/>
  <c r="J35"/>
  <c r="J36" i="10"/>
  <c r="J35"/>
  <c r="J34"/>
  <c r="J33"/>
  <c r="J31"/>
  <c r="J7" i="9"/>
  <c r="J23" i="8"/>
  <c r="J33" i="7"/>
  <c r="J35" i="6"/>
  <c r="J42" i="1"/>
  <c r="J34"/>
  <c r="J41"/>
  <c r="J8" i="9"/>
  <c r="J32" i="10"/>
  <c r="J24" i="8"/>
  <c r="J34" i="7"/>
  <c r="J36" i="6"/>
  <c r="J38" i="1"/>
  <c r="J19" i="8"/>
  <c r="J27" i="10"/>
  <c r="J29" i="7"/>
  <c r="J31" i="6"/>
  <c r="J33" i="1"/>
  <c r="J26" i="10"/>
  <c r="J25"/>
  <c r="J18" i="8"/>
  <c r="J17"/>
  <c r="J28" i="7"/>
  <c r="J27"/>
  <c r="J30" i="6"/>
  <c r="J29"/>
  <c r="J32" i="1"/>
  <c r="J31"/>
  <c r="J21" i="10"/>
  <c r="J15"/>
  <c r="J13" i="8"/>
  <c r="J26" i="7"/>
  <c r="J25"/>
  <c r="J21"/>
  <c r="J15"/>
  <c r="J28" i="6"/>
  <c r="J27"/>
  <c r="J23"/>
  <c r="J22"/>
  <c r="J21"/>
  <c r="J25" i="1"/>
  <c r="J24"/>
  <c r="J13"/>
  <c r="J14" i="6"/>
  <c r="J13"/>
  <c r="J12" i="8"/>
  <c r="J11"/>
  <c r="J14" i="7"/>
  <c r="J13"/>
  <c r="J14" i="10"/>
  <c r="J13"/>
  <c r="J10" i="8"/>
  <c r="J9"/>
  <c r="J12" i="10"/>
  <c r="J11"/>
  <c r="J12" i="7"/>
  <c r="J11"/>
  <c r="J12" i="6"/>
  <c r="J11"/>
  <c r="J12" i="1"/>
  <c r="J11"/>
  <c r="J6" i="9"/>
  <c r="J5"/>
  <c r="J3"/>
  <c r="J6" i="10"/>
  <c r="J6" i="7"/>
  <c r="J6" i="6"/>
  <c r="J7" i="1"/>
  <c r="I7"/>
  <c r="J1019" i="10"/>
  <c r="J1018"/>
  <c r="J1017"/>
  <c r="J1016"/>
  <c r="J1015"/>
  <c r="J1014"/>
  <c r="J1013"/>
  <c r="J1012"/>
  <c r="J1011"/>
  <c r="J1010"/>
  <c r="J1009"/>
  <c r="J1008"/>
  <c r="J1007"/>
  <c r="J1006"/>
  <c r="J1005"/>
  <c r="J1004"/>
  <c r="J1003"/>
  <c r="J1002"/>
  <c r="J1001"/>
  <c r="J1000"/>
  <c r="J999"/>
  <c r="J998"/>
  <c r="J997"/>
  <c r="J996"/>
  <c r="J995"/>
  <c r="J994"/>
  <c r="J993"/>
  <c r="J992"/>
  <c r="J991"/>
  <c r="J990"/>
  <c r="J989"/>
  <c r="J988"/>
  <c r="J987"/>
  <c r="J986"/>
  <c r="J985"/>
  <c r="J984"/>
  <c r="J983"/>
  <c r="J982"/>
  <c r="J981"/>
  <c r="J980"/>
  <c r="J979"/>
  <c r="J978"/>
  <c r="J977"/>
  <c r="J976"/>
  <c r="J975"/>
  <c r="J974"/>
  <c r="J973"/>
  <c r="J972"/>
  <c r="J971"/>
  <c r="J970"/>
  <c r="J969"/>
  <c r="J968"/>
  <c r="J967"/>
  <c r="J966"/>
  <c r="J965"/>
  <c r="J964"/>
  <c r="J963"/>
  <c r="J962"/>
  <c r="J961"/>
  <c r="J960"/>
  <c r="J959"/>
  <c r="J958"/>
  <c r="J957"/>
  <c r="J956"/>
  <c r="J955"/>
  <c r="J954"/>
  <c r="J953"/>
  <c r="J952"/>
  <c r="J951"/>
  <c r="J950"/>
  <c r="J949"/>
  <c r="J948"/>
  <c r="J947"/>
  <c r="J946"/>
  <c r="J945"/>
  <c r="J944"/>
  <c r="J943"/>
  <c r="J942"/>
  <c r="J941"/>
  <c r="J940"/>
  <c r="J939"/>
  <c r="J938"/>
  <c r="J937"/>
  <c r="J936"/>
  <c r="J935"/>
  <c r="J934"/>
  <c r="J933"/>
  <c r="J932"/>
  <c r="J931"/>
  <c r="J930"/>
  <c r="J929"/>
  <c r="J928"/>
  <c r="J927"/>
  <c r="J926"/>
  <c r="J925"/>
  <c r="J924"/>
  <c r="J923"/>
  <c r="J922"/>
  <c r="J921"/>
  <c r="J920"/>
  <c r="J919"/>
  <c r="J918"/>
  <c r="J917"/>
  <c r="J916"/>
  <c r="J915"/>
  <c r="J914"/>
  <c r="J913"/>
  <c r="J912"/>
  <c r="J911"/>
  <c r="J910"/>
  <c r="J909"/>
  <c r="J908"/>
  <c r="J907"/>
  <c r="J906"/>
  <c r="J905"/>
  <c r="J904"/>
  <c r="J903"/>
  <c r="J902"/>
  <c r="J901"/>
  <c r="J900"/>
  <c r="J899"/>
  <c r="J898"/>
  <c r="J897"/>
  <c r="J896"/>
  <c r="J895"/>
  <c r="J894"/>
  <c r="J893"/>
  <c r="J892"/>
  <c r="J891"/>
  <c r="J890"/>
  <c r="J889"/>
  <c r="J888"/>
  <c r="J887"/>
  <c r="J886"/>
  <c r="J885"/>
  <c r="J884"/>
  <c r="J883"/>
  <c r="J882"/>
  <c r="J881"/>
  <c r="J880"/>
  <c r="J879"/>
  <c r="J878"/>
  <c r="J877"/>
  <c r="J876"/>
  <c r="J875"/>
  <c r="J874"/>
  <c r="J873"/>
  <c r="J872"/>
  <c r="J871"/>
  <c r="J870"/>
  <c r="J869"/>
  <c r="J868"/>
  <c r="J867"/>
  <c r="J866"/>
  <c r="J865"/>
  <c r="J864"/>
  <c r="J863"/>
  <c r="J862"/>
  <c r="J861"/>
  <c r="J860"/>
  <c r="J859"/>
  <c r="J858"/>
  <c r="J857"/>
  <c r="J856"/>
  <c r="J855"/>
  <c r="J854"/>
  <c r="J853"/>
  <c r="J852"/>
  <c r="J851"/>
  <c r="J850"/>
  <c r="J849"/>
  <c r="J848"/>
  <c r="J847"/>
  <c r="J846"/>
  <c r="J845"/>
  <c r="J844"/>
  <c r="J843"/>
  <c r="J842"/>
  <c r="J841"/>
  <c r="J840"/>
  <c r="J839"/>
  <c r="J838"/>
  <c r="J837"/>
  <c r="J836"/>
  <c r="J835"/>
  <c r="J834"/>
  <c r="J833"/>
  <c r="J832"/>
  <c r="J831"/>
  <c r="J830"/>
  <c r="J829"/>
  <c r="J828"/>
  <c r="J827"/>
  <c r="J826"/>
  <c r="J825"/>
  <c r="J824"/>
  <c r="J823"/>
  <c r="J822"/>
  <c r="J821"/>
  <c r="J820"/>
  <c r="J819"/>
  <c r="J818"/>
  <c r="J817"/>
  <c r="J816"/>
  <c r="J815"/>
  <c r="J814"/>
  <c r="J813"/>
  <c r="J812"/>
  <c r="J811"/>
  <c r="J810"/>
  <c r="J809"/>
  <c r="J808"/>
  <c r="J807"/>
  <c r="J806"/>
  <c r="J805"/>
  <c r="J804"/>
  <c r="J803"/>
  <c r="J802"/>
  <c r="J801"/>
  <c r="J800"/>
  <c r="J799"/>
  <c r="J798"/>
  <c r="J797"/>
  <c r="J796"/>
  <c r="J795"/>
  <c r="J794"/>
  <c r="J793"/>
  <c r="J792"/>
  <c r="J791"/>
  <c r="J790"/>
  <c r="J789"/>
  <c r="J788"/>
  <c r="J787"/>
  <c r="J786"/>
  <c r="J785"/>
  <c r="J784"/>
  <c r="J783"/>
  <c r="J782"/>
  <c r="J781"/>
  <c r="J780"/>
  <c r="J779"/>
  <c r="J778"/>
  <c r="J777"/>
  <c r="J776"/>
  <c r="J775"/>
  <c r="J774"/>
  <c r="J773"/>
  <c r="J772"/>
  <c r="J771"/>
  <c r="J770"/>
  <c r="J769"/>
  <c r="J768"/>
  <c r="J767"/>
  <c r="J766"/>
  <c r="J765"/>
  <c r="J764"/>
  <c r="J763"/>
  <c r="J762"/>
  <c r="J761"/>
  <c r="J760"/>
  <c r="J759"/>
  <c r="J758"/>
  <c r="J757"/>
  <c r="J756"/>
  <c r="J755"/>
  <c r="J754"/>
  <c r="J753"/>
  <c r="J752"/>
  <c r="J751"/>
  <c r="J750"/>
  <c r="J749"/>
  <c r="J748"/>
  <c r="J747"/>
  <c r="J746"/>
  <c r="J745"/>
  <c r="J744"/>
  <c r="J743"/>
  <c r="J742"/>
  <c r="J741"/>
  <c r="J740"/>
  <c r="J739"/>
  <c r="J738"/>
  <c r="J737"/>
  <c r="J736"/>
  <c r="J735"/>
  <c r="J734"/>
  <c r="J733"/>
  <c r="J732"/>
  <c r="J731"/>
  <c r="J730"/>
  <c r="J729"/>
  <c r="J728"/>
  <c r="J727"/>
  <c r="J726"/>
  <c r="J725"/>
  <c r="J724"/>
  <c r="J723"/>
  <c r="J722"/>
  <c r="J721"/>
  <c r="J720"/>
  <c r="J719"/>
  <c r="J718"/>
  <c r="J717"/>
  <c r="J716"/>
  <c r="J715"/>
  <c r="J714"/>
  <c r="J713"/>
  <c r="J712"/>
  <c r="J711"/>
  <c r="J710"/>
  <c r="J709"/>
  <c r="J708"/>
  <c r="J707"/>
  <c r="J706"/>
  <c r="J705"/>
  <c r="J704"/>
  <c r="J703"/>
  <c r="J702"/>
  <c r="J701"/>
  <c r="J700"/>
  <c r="J699"/>
  <c r="J698"/>
  <c r="J697"/>
  <c r="J696"/>
  <c r="J695"/>
  <c r="J694"/>
  <c r="J693"/>
  <c r="J692"/>
  <c r="J691"/>
  <c r="J690"/>
  <c r="J689"/>
  <c r="J688"/>
  <c r="J687"/>
  <c r="J686"/>
  <c r="J685"/>
  <c r="J684"/>
  <c r="J683"/>
  <c r="J682"/>
  <c r="J681"/>
  <c r="J680"/>
  <c r="J679"/>
  <c r="J678"/>
  <c r="J677"/>
  <c r="J676"/>
  <c r="J675"/>
  <c r="J674"/>
  <c r="J673"/>
  <c r="J672"/>
  <c r="J671"/>
  <c r="J670"/>
  <c r="J669"/>
  <c r="J668"/>
  <c r="J667"/>
  <c r="J666"/>
  <c r="J665"/>
  <c r="J664"/>
  <c r="J663"/>
  <c r="J662"/>
  <c r="J661"/>
  <c r="J660"/>
  <c r="J659"/>
  <c r="J658"/>
  <c r="J657"/>
  <c r="J656"/>
  <c r="J655"/>
  <c r="J654"/>
  <c r="J653"/>
  <c r="J652"/>
  <c r="J651"/>
  <c r="J650"/>
  <c r="J649"/>
  <c r="J648"/>
  <c r="J647"/>
  <c r="J646"/>
  <c r="J645"/>
  <c r="J644"/>
  <c r="J643"/>
  <c r="J642"/>
  <c r="J641"/>
  <c r="J640"/>
  <c r="J639"/>
  <c r="J638"/>
  <c r="J637"/>
  <c r="J636"/>
  <c r="J635"/>
  <c r="J634"/>
  <c r="J633"/>
  <c r="J632"/>
  <c r="J631"/>
  <c r="J630"/>
  <c r="J629"/>
  <c r="J628"/>
  <c r="J627"/>
  <c r="J626"/>
  <c r="J625"/>
  <c r="J624"/>
  <c r="J623"/>
  <c r="J622"/>
  <c r="J621"/>
  <c r="J620"/>
  <c r="J619"/>
  <c r="J618"/>
  <c r="J617"/>
  <c r="J616"/>
  <c r="J615"/>
  <c r="J614"/>
  <c r="J613"/>
  <c r="J612"/>
  <c r="J611"/>
  <c r="J610"/>
  <c r="J609"/>
  <c r="J608"/>
  <c r="J607"/>
  <c r="J606"/>
  <c r="J605"/>
  <c r="J604"/>
  <c r="J603"/>
  <c r="J602"/>
  <c r="J601"/>
  <c r="J600"/>
  <c r="J599"/>
  <c r="J598"/>
  <c r="J597"/>
  <c r="J596"/>
  <c r="J595"/>
  <c r="J594"/>
  <c r="J593"/>
  <c r="J592"/>
  <c r="J591"/>
  <c r="J590"/>
  <c r="J589"/>
  <c r="J588"/>
  <c r="J587"/>
  <c r="J586"/>
  <c r="J585"/>
  <c r="J584"/>
  <c r="J583"/>
  <c r="J582"/>
  <c r="J581"/>
  <c r="J580"/>
  <c r="J579"/>
  <c r="J578"/>
  <c r="J577"/>
  <c r="J576"/>
  <c r="J575"/>
  <c r="J574"/>
  <c r="J573"/>
  <c r="J572"/>
  <c r="J571"/>
  <c r="J570"/>
  <c r="J569"/>
  <c r="J568"/>
  <c r="J567"/>
  <c r="J566"/>
  <c r="J565"/>
  <c r="J564"/>
  <c r="J563"/>
  <c r="J562"/>
  <c r="J561"/>
  <c r="J560"/>
  <c r="J559"/>
  <c r="J558"/>
  <c r="J557"/>
  <c r="J556"/>
  <c r="J555"/>
  <c r="J554"/>
  <c r="J553"/>
  <c r="J552"/>
  <c r="J551"/>
  <c r="J550"/>
  <c r="J549"/>
  <c r="J548"/>
  <c r="J547"/>
  <c r="J546"/>
  <c r="J545"/>
  <c r="J544"/>
  <c r="J543"/>
  <c r="J542"/>
  <c r="J541"/>
  <c r="J540"/>
  <c r="J539"/>
  <c r="J538"/>
  <c r="J537"/>
  <c r="J536"/>
  <c r="J535"/>
  <c r="J534"/>
  <c r="J533"/>
  <c r="J532"/>
  <c r="J531"/>
  <c r="J530"/>
  <c r="J529"/>
  <c r="J528"/>
  <c r="J527"/>
  <c r="J526"/>
  <c r="J525"/>
  <c r="J524"/>
  <c r="J523"/>
  <c r="J522"/>
  <c r="J521"/>
  <c r="J520"/>
  <c r="J519"/>
  <c r="J518"/>
  <c r="J517"/>
  <c r="J516"/>
  <c r="J515"/>
  <c r="J514"/>
  <c r="J513"/>
  <c r="J512"/>
  <c r="J511"/>
  <c r="J510"/>
  <c r="J509"/>
  <c r="J508"/>
  <c r="J507"/>
  <c r="J506"/>
  <c r="J505"/>
  <c r="J504"/>
  <c r="J503"/>
  <c r="J502"/>
  <c r="J501"/>
  <c r="J500"/>
  <c r="J499"/>
  <c r="J498"/>
  <c r="J497"/>
  <c r="J496"/>
  <c r="J495"/>
  <c r="J494"/>
  <c r="J493"/>
  <c r="J492"/>
  <c r="J491"/>
  <c r="J490"/>
  <c r="J489"/>
  <c r="J488"/>
  <c r="J487"/>
  <c r="J486"/>
  <c r="J485"/>
  <c r="J484"/>
  <c r="J483"/>
  <c r="J482"/>
  <c r="J481"/>
  <c r="J480"/>
  <c r="J479"/>
  <c r="J478"/>
  <c r="J477"/>
  <c r="J476"/>
  <c r="J475"/>
  <c r="J474"/>
  <c r="J473"/>
  <c r="J472"/>
  <c r="J471"/>
  <c r="J470"/>
  <c r="J469"/>
  <c r="J468"/>
  <c r="J467"/>
  <c r="J466"/>
  <c r="J465"/>
  <c r="J464"/>
  <c r="J463"/>
  <c r="J462"/>
  <c r="J461"/>
  <c r="J460"/>
  <c r="J459"/>
  <c r="J458"/>
  <c r="J457"/>
  <c r="J456"/>
  <c r="J455"/>
  <c r="J454"/>
  <c r="J453"/>
  <c r="J452"/>
  <c r="J451"/>
  <c r="J450"/>
  <c r="J449"/>
  <c r="J448"/>
  <c r="J447"/>
  <c r="J446"/>
  <c r="J445"/>
  <c r="J444"/>
  <c r="J443"/>
  <c r="J442"/>
  <c r="J441"/>
  <c r="J440"/>
  <c r="J439"/>
  <c r="J438"/>
  <c r="J437"/>
  <c r="J436"/>
  <c r="J435"/>
  <c r="J434"/>
  <c r="J433"/>
  <c r="J432"/>
  <c r="J431"/>
  <c r="J430"/>
  <c r="J429"/>
  <c r="J428"/>
  <c r="J427"/>
  <c r="J426"/>
  <c r="J425"/>
  <c r="J424"/>
  <c r="J423"/>
  <c r="J422"/>
  <c r="J421"/>
  <c r="J420"/>
  <c r="J419"/>
  <c r="J418"/>
  <c r="J417"/>
  <c r="J416"/>
  <c r="J415"/>
  <c r="J414"/>
  <c r="J413"/>
  <c r="J412"/>
  <c r="J411"/>
  <c r="J410"/>
  <c r="J409"/>
  <c r="J408"/>
  <c r="J407"/>
  <c r="J406"/>
  <c r="J405"/>
  <c r="J404"/>
  <c r="J403"/>
  <c r="J402"/>
  <c r="J401"/>
  <c r="J400"/>
  <c r="J399"/>
  <c r="J398"/>
  <c r="J397"/>
  <c r="J396"/>
  <c r="J395"/>
  <c r="J394"/>
  <c r="J393"/>
  <c r="J392"/>
  <c r="J391"/>
  <c r="J390"/>
  <c r="J389"/>
  <c r="J388"/>
  <c r="J387"/>
  <c r="J386"/>
  <c r="J385"/>
  <c r="J384"/>
  <c r="J383"/>
  <c r="J382"/>
  <c r="J381"/>
  <c r="J380"/>
  <c r="J379"/>
  <c r="J378"/>
  <c r="J377"/>
  <c r="J376"/>
  <c r="J375"/>
  <c r="J374"/>
  <c r="J373"/>
  <c r="J372"/>
  <c r="J371"/>
  <c r="J370"/>
  <c r="J369"/>
  <c r="J368"/>
  <c r="J367"/>
  <c r="J366"/>
  <c r="J365"/>
  <c r="J364"/>
  <c r="J363"/>
  <c r="J362"/>
  <c r="J361"/>
  <c r="J360"/>
  <c r="J359"/>
  <c r="J358"/>
  <c r="J357"/>
  <c r="J356"/>
  <c r="J355"/>
  <c r="J354"/>
  <c r="J353"/>
  <c r="J352"/>
  <c r="J351"/>
  <c r="J350"/>
  <c r="J349"/>
  <c r="J348"/>
  <c r="J347"/>
  <c r="J346"/>
  <c r="J345"/>
  <c r="J344"/>
  <c r="J343"/>
  <c r="J342"/>
  <c r="J341"/>
  <c r="J340"/>
  <c r="J339"/>
  <c r="J338"/>
  <c r="J337"/>
  <c r="J336"/>
  <c r="J335"/>
  <c r="J334"/>
  <c r="J333"/>
  <c r="J332"/>
  <c r="J331"/>
  <c r="J330"/>
  <c r="J329"/>
  <c r="J328"/>
  <c r="J327"/>
  <c r="J326"/>
  <c r="J325"/>
  <c r="J324"/>
  <c r="J323"/>
  <c r="J322"/>
  <c r="J321"/>
  <c r="J320"/>
  <c r="J319"/>
  <c r="J318"/>
  <c r="J317"/>
  <c r="J316"/>
  <c r="J315"/>
  <c r="J314"/>
  <c r="J313"/>
  <c r="J312"/>
  <c r="J311"/>
  <c r="J310"/>
  <c r="J309"/>
  <c r="J308"/>
  <c r="J307"/>
  <c r="J306"/>
  <c r="J305"/>
  <c r="J304"/>
  <c r="J303"/>
  <c r="J302"/>
  <c r="J301"/>
  <c r="J300"/>
  <c r="J299"/>
  <c r="J298"/>
  <c r="J297"/>
  <c r="J296"/>
  <c r="J295"/>
  <c r="J294"/>
  <c r="J293"/>
  <c r="J292"/>
  <c r="J291"/>
  <c r="J290"/>
  <c r="J289"/>
  <c r="J288"/>
  <c r="J287"/>
  <c r="J286"/>
  <c r="J285"/>
  <c r="J284"/>
  <c r="J283"/>
  <c r="J282"/>
  <c r="J281"/>
  <c r="J280"/>
  <c r="J279"/>
  <c r="J278"/>
  <c r="J277"/>
  <c r="J276"/>
  <c r="J275"/>
  <c r="J274"/>
  <c r="J273"/>
  <c r="J272"/>
  <c r="J271"/>
  <c r="J270"/>
  <c r="J269"/>
  <c r="J268"/>
  <c r="J267"/>
  <c r="J266"/>
  <c r="J265"/>
  <c r="J264"/>
  <c r="J263"/>
  <c r="J262"/>
  <c r="J261"/>
  <c r="J260"/>
  <c r="J259"/>
  <c r="J258"/>
  <c r="J257"/>
  <c r="J256"/>
  <c r="J255"/>
  <c r="J254"/>
  <c r="J253"/>
  <c r="J252"/>
  <c r="J251"/>
  <c r="J250"/>
  <c r="J249"/>
  <c r="J248"/>
  <c r="J247"/>
  <c r="J246"/>
  <c r="J245"/>
  <c r="J244"/>
  <c r="J243"/>
  <c r="J242"/>
  <c r="J241"/>
  <c r="J240"/>
  <c r="J239"/>
  <c r="J238"/>
  <c r="J237"/>
  <c r="J236"/>
  <c r="J235"/>
  <c r="J234"/>
  <c r="J233"/>
  <c r="J232"/>
  <c r="J231"/>
  <c r="J230"/>
  <c r="J229"/>
  <c r="J228"/>
  <c r="J227"/>
  <c r="J226"/>
  <c r="J225"/>
  <c r="J224"/>
  <c r="J223"/>
  <c r="J222"/>
  <c r="J221"/>
  <c r="J220"/>
  <c r="J219"/>
  <c r="J218"/>
  <c r="J217"/>
  <c r="J216"/>
  <c r="J215"/>
  <c r="J214"/>
  <c r="J213"/>
  <c r="J212"/>
  <c r="J211"/>
  <c r="J210"/>
  <c r="J209"/>
  <c r="J208"/>
  <c r="J207"/>
  <c r="J206"/>
  <c r="J205"/>
  <c r="J204"/>
  <c r="J203"/>
  <c r="J202"/>
  <c r="J201"/>
  <c r="J200"/>
  <c r="J199"/>
  <c r="J198"/>
  <c r="J197"/>
  <c r="J196"/>
  <c r="J195"/>
  <c r="J194"/>
  <c r="J193"/>
  <c r="J192"/>
  <c r="J191"/>
  <c r="J190"/>
  <c r="J189"/>
  <c r="J188"/>
  <c r="J187"/>
  <c r="J186"/>
  <c r="J185"/>
  <c r="J184"/>
  <c r="J183"/>
  <c r="J182"/>
  <c r="J181"/>
  <c r="J180"/>
  <c r="J179"/>
  <c r="J178"/>
  <c r="J177"/>
  <c r="J176"/>
  <c r="J175"/>
  <c r="J174"/>
  <c r="J173"/>
  <c r="J172"/>
  <c r="J171"/>
  <c r="J160"/>
  <c r="J159"/>
  <c r="J158"/>
  <c r="J157"/>
  <c r="J156"/>
  <c r="J155"/>
  <c r="J154"/>
  <c r="J153"/>
  <c r="J121"/>
  <c r="J75"/>
  <c r="J74"/>
  <c r="J46"/>
  <c r="J42"/>
  <c r="J41"/>
  <c r="J40"/>
  <c r="J39"/>
  <c r="J38"/>
  <c r="J10"/>
  <c r="J9"/>
  <c r="J4"/>
  <c r="J3"/>
  <c r="J2"/>
  <c r="J996" i="9"/>
  <c r="J995"/>
  <c r="J994"/>
  <c r="J993"/>
  <c r="J992"/>
  <c r="J991"/>
  <c r="J990"/>
  <c r="J989"/>
  <c r="J988"/>
  <c r="J987"/>
  <c r="J986"/>
  <c r="J985"/>
  <c r="J984"/>
  <c r="J983"/>
  <c r="J982"/>
  <c r="J981"/>
  <c r="J980"/>
  <c r="J979"/>
  <c r="J978"/>
  <c r="J977"/>
  <c r="J976"/>
  <c r="J975"/>
  <c r="J974"/>
  <c r="J973"/>
  <c r="J972"/>
  <c r="J971"/>
  <c r="J970"/>
  <c r="J969"/>
  <c r="J968"/>
  <c r="J967"/>
  <c r="J966"/>
  <c r="J965"/>
  <c r="J964"/>
  <c r="J963"/>
  <c r="J962"/>
  <c r="J961"/>
  <c r="J960"/>
  <c r="J959"/>
  <c r="J958"/>
  <c r="J957"/>
  <c r="J956"/>
  <c r="J955"/>
  <c r="J954"/>
  <c r="J953"/>
  <c r="J952"/>
  <c r="J951"/>
  <c r="J950"/>
  <c r="J949"/>
  <c r="J948"/>
  <c r="J947"/>
  <c r="J946"/>
  <c r="J945"/>
  <c r="J944"/>
  <c r="J943"/>
  <c r="J942"/>
  <c r="J941"/>
  <c r="J940"/>
  <c r="J939"/>
  <c r="J938"/>
  <c r="J937"/>
  <c r="J936"/>
  <c r="J935"/>
  <c r="J934"/>
  <c r="J933"/>
  <c r="J932"/>
  <c r="J931"/>
  <c r="J930"/>
  <c r="J929"/>
  <c r="J928"/>
  <c r="J927"/>
  <c r="J926"/>
  <c r="J925"/>
  <c r="J924"/>
  <c r="J923"/>
  <c r="J922"/>
  <c r="J921"/>
  <c r="J920"/>
  <c r="J919"/>
  <c r="J918"/>
  <c r="J917"/>
  <c r="J916"/>
  <c r="J915"/>
  <c r="J914"/>
  <c r="J913"/>
  <c r="J912"/>
  <c r="J911"/>
  <c r="J910"/>
  <c r="J909"/>
  <c r="J908"/>
  <c r="J907"/>
  <c r="J906"/>
  <c r="J905"/>
  <c r="J904"/>
  <c r="J903"/>
  <c r="J902"/>
  <c r="J901"/>
  <c r="J900"/>
  <c r="J899"/>
  <c r="J898"/>
  <c r="J897"/>
  <c r="J896"/>
  <c r="J895"/>
  <c r="J894"/>
  <c r="J893"/>
  <c r="J892"/>
  <c r="J891"/>
  <c r="J890"/>
  <c r="J889"/>
  <c r="J888"/>
  <c r="J887"/>
  <c r="J886"/>
  <c r="J885"/>
  <c r="J884"/>
  <c r="J883"/>
  <c r="J882"/>
  <c r="J881"/>
  <c r="J880"/>
  <c r="J879"/>
  <c r="J878"/>
  <c r="J877"/>
  <c r="J876"/>
  <c r="J875"/>
  <c r="J874"/>
  <c r="J873"/>
  <c r="J872"/>
  <c r="J871"/>
  <c r="J870"/>
  <c r="J869"/>
  <c r="J868"/>
  <c r="J867"/>
  <c r="J866"/>
  <c r="J865"/>
  <c r="J864"/>
  <c r="J863"/>
  <c r="J862"/>
  <c r="J861"/>
  <c r="J860"/>
  <c r="J859"/>
  <c r="J858"/>
  <c r="J857"/>
  <c r="J856"/>
  <c r="J855"/>
  <c r="J854"/>
  <c r="J853"/>
  <c r="J852"/>
  <c r="J851"/>
  <c r="J850"/>
  <c r="J849"/>
  <c r="J848"/>
  <c r="J847"/>
  <c r="J846"/>
  <c r="J845"/>
  <c r="J844"/>
  <c r="J843"/>
  <c r="J842"/>
  <c r="J841"/>
  <c r="J840"/>
  <c r="J839"/>
  <c r="J838"/>
  <c r="J837"/>
  <c r="J836"/>
  <c r="J835"/>
  <c r="J834"/>
  <c r="J833"/>
  <c r="J832"/>
  <c r="J831"/>
  <c r="J830"/>
  <c r="J829"/>
  <c r="J828"/>
  <c r="J827"/>
  <c r="J826"/>
  <c r="J825"/>
  <c r="J824"/>
  <c r="J823"/>
  <c r="J822"/>
  <c r="J821"/>
  <c r="J820"/>
  <c r="J819"/>
  <c r="J818"/>
  <c r="J817"/>
  <c r="J816"/>
  <c r="J815"/>
  <c r="J814"/>
  <c r="J813"/>
  <c r="J812"/>
  <c r="J811"/>
  <c r="J810"/>
  <c r="J809"/>
  <c r="J808"/>
  <c r="J807"/>
  <c r="J806"/>
  <c r="J805"/>
  <c r="J804"/>
  <c r="J803"/>
  <c r="J802"/>
  <c r="J801"/>
  <c r="J800"/>
  <c r="J799"/>
  <c r="J798"/>
  <c r="J797"/>
  <c r="J796"/>
  <c r="J795"/>
  <c r="J794"/>
  <c r="J793"/>
  <c r="J792"/>
  <c r="J791"/>
  <c r="J790"/>
  <c r="J789"/>
  <c r="J788"/>
  <c r="J787"/>
  <c r="J786"/>
  <c r="J785"/>
  <c r="J784"/>
  <c r="J783"/>
  <c r="J782"/>
  <c r="J781"/>
  <c r="J780"/>
  <c r="J779"/>
  <c r="J778"/>
  <c r="J777"/>
  <c r="J776"/>
  <c r="J775"/>
  <c r="J774"/>
  <c r="J773"/>
  <c r="J772"/>
  <c r="J771"/>
  <c r="J770"/>
  <c r="J769"/>
  <c r="J768"/>
  <c r="J767"/>
  <c r="J766"/>
  <c r="J765"/>
  <c r="J764"/>
  <c r="J763"/>
  <c r="J762"/>
  <c r="J761"/>
  <c r="J760"/>
  <c r="J759"/>
  <c r="J758"/>
  <c r="J757"/>
  <c r="J756"/>
  <c r="J755"/>
  <c r="J754"/>
  <c r="J753"/>
  <c r="J752"/>
  <c r="J751"/>
  <c r="J750"/>
  <c r="J749"/>
  <c r="J748"/>
  <c r="J747"/>
  <c r="J746"/>
  <c r="J745"/>
  <c r="J744"/>
  <c r="J743"/>
  <c r="J742"/>
  <c r="J741"/>
  <c r="J740"/>
  <c r="J739"/>
  <c r="J738"/>
  <c r="J737"/>
  <c r="J736"/>
  <c r="J735"/>
  <c r="J734"/>
  <c r="J733"/>
  <c r="J732"/>
  <c r="J731"/>
  <c r="J730"/>
  <c r="J729"/>
  <c r="J728"/>
  <c r="J727"/>
  <c r="J726"/>
  <c r="J725"/>
  <c r="J724"/>
  <c r="J723"/>
  <c r="J722"/>
  <c r="J721"/>
  <c r="J720"/>
  <c r="J719"/>
  <c r="J718"/>
  <c r="J717"/>
  <c r="J716"/>
  <c r="J715"/>
  <c r="J714"/>
  <c r="J713"/>
  <c r="J712"/>
  <c r="J711"/>
  <c r="J710"/>
  <c r="J709"/>
  <c r="J708"/>
  <c r="J707"/>
  <c r="J706"/>
  <c r="J705"/>
  <c r="J704"/>
  <c r="J703"/>
  <c r="J702"/>
  <c r="J701"/>
  <c r="J700"/>
  <c r="J699"/>
  <c r="J698"/>
  <c r="J697"/>
  <c r="J696"/>
  <c r="J695"/>
  <c r="J694"/>
  <c r="J693"/>
  <c r="J692"/>
  <c r="J691"/>
  <c r="J690"/>
  <c r="J689"/>
  <c r="J688"/>
  <c r="J687"/>
  <c r="J686"/>
  <c r="J685"/>
  <c r="J684"/>
  <c r="J683"/>
  <c r="J682"/>
  <c r="J681"/>
  <c r="J680"/>
  <c r="J679"/>
  <c r="J678"/>
  <c r="J677"/>
  <c r="J676"/>
  <c r="J675"/>
  <c r="J674"/>
  <c r="J673"/>
  <c r="J672"/>
  <c r="J671"/>
  <c r="J670"/>
  <c r="J669"/>
  <c r="J668"/>
  <c r="J667"/>
  <c r="J666"/>
  <c r="J665"/>
  <c r="J664"/>
  <c r="J663"/>
  <c r="J662"/>
  <c r="J661"/>
  <c r="J660"/>
  <c r="J659"/>
  <c r="J658"/>
  <c r="J657"/>
  <c r="J656"/>
  <c r="J655"/>
  <c r="J654"/>
  <c r="J653"/>
  <c r="J652"/>
  <c r="J651"/>
  <c r="J650"/>
  <c r="J649"/>
  <c r="J648"/>
  <c r="J647"/>
  <c r="J646"/>
  <c r="J645"/>
  <c r="J644"/>
  <c r="J643"/>
  <c r="J642"/>
  <c r="J641"/>
  <c r="J640"/>
  <c r="J639"/>
  <c r="J638"/>
  <c r="J637"/>
  <c r="J636"/>
  <c r="J635"/>
  <c r="J634"/>
  <c r="J633"/>
  <c r="J632"/>
  <c r="J631"/>
  <c r="J630"/>
  <c r="J629"/>
  <c r="J628"/>
  <c r="J627"/>
  <c r="J626"/>
  <c r="J625"/>
  <c r="J624"/>
  <c r="J623"/>
  <c r="J622"/>
  <c r="J621"/>
  <c r="J620"/>
  <c r="J619"/>
  <c r="J618"/>
  <c r="J617"/>
  <c r="J616"/>
  <c r="J615"/>
  <c r="J614"/>
  <c r="J613"/>
  <c r="J612"/>
  <c r="J611"/>
  <c r="J610"/>
  <c r="J609"/>
  <c r="J608"/>
  <c r="J607"/>
  <c r="J606"/>
  <c r="J605"/>
  <c r="J604"/>
  <c r="J603"/>
  <c r="J602"/>
  <c r="J601"/>
  <c r="J600"/>
  <c r="J599"/>
  <c r="J598"/>
  <c r="J597"/>
  <c r="J596"/>
  <c r="J595"/>
  <c r="J594"/>
  <c r="J593"/>
  <c r="J592"/>
  <c r="J591"/>
  <c r="J590"/>
  <c r="J589"/>
  <c r="J588"/>
  <c r="J587"/>
  <c r="J586"/>
  <c r="J585"/>
  <c r="J584"/>
  <c r="J583"/>
  <c r="J582"/>
  <c r="J581"/>
  <c r="J580"/>
  <c r="J579"/>
  <c r="J578"/>
  <c r="J577"/>
  <c r="J576"/>
  <c r="J575"/>
  <c r="J574"/>
  <c r="J573"/>
  <c r="J572"/>
  <c r="J571"/>
  <c r="J570"/>
  <c r="J569"/>
  <c r="J568"/>
  <c r="J567"/>
  <c r="J566"/>
  <c r="J565"/>
  <c r="J564"/>
  <c r="J563"/>
  <c r="J562"/>
  <c r="J561"/>
  <c r="J560"/>
  <c r="J559"/>
  <c r="J558"/>
  <c r="J557"/>
  <c r="J556"/>
  <c r="J555"/>
  <c r="J554"/>
  <c r="J553"/>
  <c r="J552"/>
  <c r="J551"/>
  <c r="J550"/>
  <c r="J549"/>
  <c r="J548"/>
  <c r="J547"/>
  <c r="J546"/>
  <c r="J545"/>
  <c r="J544"/>
  <c r="J543"/>
  <c r="J542"/>
  <c r="J541"/>
  <c r="J540"/>
  <c r="J539"/>
  <c r="J538"/>
  <c r="J537"/>
  <c r="J536"/>
  <c r="J535"/>
  <c r="J534"/>
  <c r="J533"/>
  <c r="J532"/>
  <c r="J531"/>
  <c r="J530"/>
  <c r="J529"/>
  <c r="J528"/>
  <c r="J527"/>
  <c r="J526"/>
  <c r="J525"/>
  <c r="J524"/>
  <c r="J523"/>
  <c r="J522"/>
  <c r="J521"/>
  <c r="J520"/>
  <c r="J519"/>
  <c r="J518"/>
  <c r="J517"/>
  <c r="J516"/>
  <c r="J515"/>
  <c r="J514"/>
  <c r="J513"/>
  <c r="J512"/>
  <c r="J511"/>
  <c r="J510"/>
  <c r="J509"/>
  <c r="J508"/>
  <c r="J507"/>
  <c r="J506"/>
  <c r="J505"/>
  <c r="J504"/>
  <c r="J503"/>
  <c r="J502"/>
  <c r="J501"/>
  <c r="J500"/>
  <c r="J499"/>
  <c r="J498"/>
  <c r="J497"/>
  <c r="J496"/>
  <c r="J495"/>
  <c r="J494"/>
  <c r="J493"/>
  <c r="J492"/>
  <c r="J491"/>
  <c r="J490"/>
  <c r="J489"/>
  <c r="J488"/>
  <c r="J487"/>
  <c r="J486"/>
  <c r="J485"/>
  <c r="J484"/>
  <c r="J483"/>
  <c r="J482"/>
  <c r="J481"/>
  <c r="J480"/>
  <c r="J479"/>
  <c r="J478"/>
  <c r="J477"/>
  <c r="J476"/>
  <c r="J475"/>
  <c r="J474"/>
  <c r="J473"/>
  <c r="J472"/>
  <c r="J471"/>
  <c r="J470"/>
  <c r="J469"/>
  <c r="J468"/>
  <c r="J467"/>
  <c r="J466"/>
  <c r="J465"/>
  <c r="J464"/>
  <c r="J463"/>
  <c r="J462"/>
  <c r="J461"/>
  <c r="J460"/>
  <c r="J459"/>
  <c r="J458"/>
  <c r="J457"/>
  <c r="J456"/>
  <c r="J455"/>
  <c r="J454"/>
  <c r="J453"/>
  <c r="J452"/>
  <c r="J451"/>
  <c r="J450"/>
  <c r="J449"/>
  <c r="J448"/>
  <c r="J447"/>
  <c r="J446"/>
  <c r="J445"/>
  <c r="J444"/>
  <c r="J443"/>
  <c r="J442"/>
  <c r="J441"/>
  <c r="J440"/>
  <c r="J439"/>
  <c r="J438"/>
  <c r="J437"/>
  <c r="J436"/>
  <c r="J435"/>
  <c r="J434"/>
  <c r="J433"/>
  <c r="J432"/>
  <c r="J431"/>
  <c r="J430"/>
  <c r="J429"/>
  <c r="J428"/>
  <c r="J427"/>
  <c r="J426"/>
  <c r="J425"/>
  <c r="J424"/>
  <c r="J423"/>
  <c r="J422"/>
  <c r="J421"/>
  <c r="J420"/>
  <c r="J419"/>
  <c r="J418"/>
  <c r="J417"/>
  <c r="J416"/>
  <c r="J415"/>
  <c r="J414"/>
  <c r="J413"/>
  <c r="J412"/>
  <c r="J411"/>
  <c r="J410"/>
  <c r="J409"/>
  <c r="J408"/>
  <c r="J407"/>
  <c r="J406"/>
  <c r="J405"/>
  <c r="J404"/>
  <c r="J403"/>
  <c r="J402"/>
  <c r="J401"/>
  <c r="J400"/>
  <c r="J399"/>
  <c r="J398"/>
  <c r="J397"/>
  <c r="J396"/>
  <c r="J395"/>
  <c r="J394"/>
  <c r="J393"/>
  <c r="J392"/>
  <c r="J391"/>
  <c r="J390"/>
  <c r="J389"/>
  <c r="J388"/>
  <c r="J387"/>
  <c r="J386"/>
  <c r="J385"/>
  <c r="J384"/>
  <c r="J383"/>
  <c r="J382"/>
  <c r="J381"/>
  <c r="J380"/>
  <c r="J379"/>
  <c r="J378"/>
  <c r="J377"/>
  <c r="J376"/>
  <c r="J375"/>
  <c r="J374"/>
  <c r="J373"/>
  <c r="J372"/>
  <c r="J371"/>
  <c r="J370"/>
  <c r="J369"/>
  <c r="J368"/>
  <c r="J367"/>
  <c r="J366"/>
  <c r="J365"/>
  <c r="J364"/>
  <c r="J363"/>
  <c r="J362"/>
  <c r="J361"/>
  <c r="J360"/>
  <c r="J359"/>
  <c r="J358"/>
  <c r="J357"/>
  <c r="J356"/>
  <c r="J355"/>
  <c r="J354"/>
  <c r="J353"/>
  <c r="J352"/>
  <c r="J351"/>
  <c r="J350"/>
  <c r="J349"/>
  <c r="J348"/>
  <c r="J347"/>
  <c r="J346"/>
  <c r="J345"/>
  <c r="J344"/>
  <c r="J343"/>
  <c r="J342"/>
  <c r="J341"/>
  <c r="J340"/>
  <c r="J339"/>
  <c r="J338"/>
  <c r="J337"/>
  <c r="J336"/>
  <c r="J335"/>
  <c r="J334"/>
  <c r="J333"/>
  <c r="J332"/>
  <c r="J331"/>
  <c r="J330"/>
  <c r="J329"/>
  <c r="J328"/>
  <c r="J327"/>
  <c r="J326"/>
  <c r="J325"/>
  <c r="J324"/>
  <c r="J323"/>
  <c r="J322"/>
  <c r="J321"/>
  <c r="J320"/>
  <c r="J319"/>
  <c r="J318"/>
  <c r="J317"/>
  <c r="J316"/>
  <c r="J315"/>
  <c r="J314"/>
  <c r="J313"/>
  <c r="J312"/>
  <c r="J311"/>
  <c r="J310"/>
  <c r="J309"/>
  <c r="J308"/>
  <c r="J307"/>
  <c r="J306"/>
  <c r="J305"/>
  <c r="J304"/>
  <c r="J303"/>
  <c r="J302"/>
  <c r="J301"/>
  <c r="J300"/>
  <c r="J299"/>
  <c r="J298"/>
  <c r="J297"/>
  <c r="J296"/>
  <c r="J295"/>
  <c r="J294"/>
  <c r="J293"/>
  <c r="J292"/>
  <c r="J291"/>
  <c r="J290"/>
  <c r="J289"/>
  <c r="J288"/>
  <c r="J287"/>
  <c r="J286"/>
  <c r="J285"/>
  <c r="J284"/>
  <c r="J283"/>
  <c r="J282"/>
  <c r="J281"/>
  <c r="J280"/>
  <c r="J279"/>
  <c r="J278"/>
  <c r="J277"/>
  <c r="J276"/>
  <c r="J275"/>
  <c r="J274"/>
  <c r="J273"/>
  <c r="J272"/>
  <c r="J271"/>
  <c r="J270"/>
  <c r="J269"/>
  <c r="J268"/>
  <c r="J267"/>
  <c r="J266"/>
  <c r="J265"/>
  <c r="J264"/>
  <c r="J263"/>
  <c r="J262"/>
  <c r="J261"/>
  <c r="J260"/>
  <c r="J259"/>
  <c r="J258"/>
  <c r="J257"/>
  <c r="J256"/>
  <c r="J255"/>
  <c r="J254"/>
  <c r="J253"/>
  <c r="J252"/>
  <c r="J251"/>
  <c r="J250"/>
  <c r="J249"/>
  <c r="J248"/>
  <c r="J247"/>
  <c r="J246"/>
  <c r="J245"/>
  <c r="J244"/>
  <c r="J243"/>
  <c r="J242"/>
  <c r="J241"/>
  <c r="J240"/>
  <c r="J239"/>
  <c r="J238"/>
  <c r="J237"/>
  <c r="J236"/>
  <c r="J235"/>
  <c r="J234"/>
  <c r="J233"/>
  <c r="J232"/>
  <c r="J231"/>
  <c r="J230"/>
  <c r="J229"/>
  <c r="J228"/>
  <c r="J227"/>
  <c r="J226"/>
  <c r="J225"/>
  <c r="J224"/>
  <c r="J223"/>
  <c r="J222"/>
  <c r="J221"/>
  <c r="J220"/>
  <c r="J219"/>
  <c r="J218"/>
  <c r="J217"/>
  <c r="J216"/>
  <c r="J215"/>
  <c r="J214"/>
  <c r="J213"/>
  <c r="J212"/>
  <c r="J211"/>
  <c r="J210"/>
  <c r="J209"/>
  <c r="J208"/>
  <c r="J207"/>
  <c r="J206"/>
  <c r="J205"/>
  <c r="J204"/>
  <c r="J203"/>
  <c r="J202"/>
  <c r="J201"/>
  <c r="J200"/>
  <c r="J199"/>
  <c r="J198"/>
  <c r="J197"/>
  <c r="J196"/>
  <c r="J195"/>
  <c r="J194"/>
  <c r="J193"/>
  <c r="J192"/>
  <c r="J191"/>
  <c r="J190"/>
  <c r="J189"/>
  <c r="J188"/>
  <c r="J187"/>
  <c r="J186"/>
  <c r="J185"/>
  <c r="J184"/>
  <c r="J183"/>
  <c r="J182"/>
  <c r="J181"/>
  <c r="J180"/>
  <c r="J179"/>
  <c r="J178"/>
  <c r="J177"/>
  <c r="J176"/>
  <c r="J175"/>
  <c r="J174"/>
  <c r="J173"/>
  <c r="J172"/>
  <c r="J171"/>
  <c r="J170"/>
  <c r="J169"/>
  <c r="J168"/>
  <c r="J167"/>
  <c r="J166"/>
  <c r="J165"/>
  <c r="J164"/>
  <c r="J163"/>
  <c r="J162"/>
  <c r="J161"/>
  <c r="J160"/>
  <c r="J159"/>
  <c r="J158"/>
  <c r="J157"/>
  <c r="J156"/>
  <c r="J155"/>
  <c r="J154"/>
  <c r="J153"/>
  <c r="J152"/>
  <c r="J151"/>
  <c r="J150"/>
  <c r="J149"/>
  <c r="J148"/>
  <c r="J147"/>
  <c r="J146"/>
  <c r="J145"/>
  <c r="J144"/>
  <c r="J143"/>
  <c r="J142"/>
  <c r="J141"/>
  <c r="J140"/>
  <c r="J139"/>
  <c r="J138"/>
  <c r="J137"/>
  <c r="J136"/>
  <c r="J135"/>
  <c r="J134"/>
  <c r="J133"/>
  <c r="J132"/>
  <c r="J131"/>
  <c r="J130"/>
  <c r="J129"/>
  <c r="J128"/>
  <c r="J127"/>
  <c r="J126"/>
  <c r="J125"/>
  <c r="J124"/>
  <c r="J123"/>
  <c r="J122"/>
  <c r="J121"/>
  <c r="J120"/>
  <c r="J119"/>
  <c r="J118"/>
  <c r="J117"/>
  <c r="J116"/>
  <c r="J115"/>
  <c r="J114"/>
  <c r="J113"/>
  <c r="J112"/>
  <c r="J111"/>
  <c r="J110"/>
  <c r="J109"/>
  <c r="J108"/>
  <c r="J107"/>
  <c r="J106"/>
  <c r="J105"/>
  <c r="J104"/>
  <c r="J103"/>
  <c r="J102"/>
  <c r="J101"/>
  <c r="J100"/>
  <c r="J99"/>
  <c r="J98"/>
  <c r="J97"/>
  <c r="J96"/>
  <c r="J95"/>
  <c r="J94"/>
  <c r="J93"/>
  <c r="J92"/>
  <c r="J91"/>
  <c r="J90"/>
  <c r="J89"/>
  <c r="J88"/>
  <c r="J87"/>
  <c r="J86"/>
  <c r="J85"/>
  <c r="J84"/>
  <c r="J83"/>
  <c r="J82"/>
  <c r="J81"/>
  <c r="J80"/>
  <c r="J79"/>
  <c r="J78"/>
  <c r="J77"/>
  <c r="J76"/>
  <c r="J75"/>
  <c r="J74"/>
  <c r="J73"/>
  <c r="J72"/>
  <c r="J71"/>
  <c r="J70"/>
  <c r="J69"/>
  <c r="J68"/>
  <c r="J67"/>
  <c r="J66"/>
  <c r="J65"/>
  <c r="J64"/>
  <c r="J63"/>
  <c r="J62"/>
  <c r="J61"/>
  <c r="J60"/>
  <c r="J59"/>
  <c r="J58"/>
  <c r="J57"/>
  <c r="J56"/>
  <c r="J55"/>
  <c r="J54"/>
  <c r="J53"/>
  <c r="J52"/>
  <c r="J51"/>
  <c r="J50"/>
  <c r="J49"/>
  <c r="J48"/>
  <c r="J47"/>
  <c r="J39"/>
  <c r="J37"/>
  <c r="J36"/>
  <c r="J35"/>
  <c r="J34"/>
  <c r="J29"/>
  <c r="J26"/>
  <c r="J25"/>
  <c r="J23"/>
  <c r="J19"/>
  <c r="J18"/>
  <c r="J13"/>
  <c r="J12"/>
  <c r="J11"/>
  <c r="J10"/>
  <c r="J9"/>
  <c r="J4"/>
  <c r="J2"/>
  <c r="J1008" i="8"/>
  <c r="J1007"/>
  <c r="J1006"/>
  <c r="J1005"/>
  <c r="J1004"/>
  <c r="J1003"/>
  <c r="J1002"/>
  <c r="J1001"/>
  <c r="J1000"/>
  <c r="J999"/>
  <c r="J998"/>
  <c r="J997"/>
  <c r="J996"/>
  <c r="J995"/>
  <c r="J994"/>
  <c r="J993"/>
  <c r="J992"/>
  <c r="J991"/>
  <c r="J990"/>
  <c r="J989"/>
  <c r="J988"/>
  <c r="J987"/>
  <c r="J986"/>
  <c r="J985"/>
  <c r="J984"/>
  <c r="J983"/>
  <c r="J982"/>
  <c r="J981"/>
  <c r="J980"/>
  <c r="J979"/>
  <c r="J978"/>
  <c r="J977"/>
  <c r="J976"/>
  <c r="J975"/>
  <c r="J974"/>
  <c r="J973"/>
  <c r="J972"/>
  <c r="J971"/>
  <c r="J970"/>
  <c r="J969"/>
  <c r="J968"/>
  <c r="J967"/>
  <c r="J966"/>
  <c r="J965"/>
  <c r="J964"/>
  <c r="J963"/>
  <c r="J962"/>
  <c r="J961"/>
  <c r="J960"/>
  <c r="J959"/>
  <c r="J958"/>
  <c r="J957"/>
  <c r="J956"/>
  <c r="J955"/>
  <c r="J954"/>
  <c r="J953"/>
  <c r="J952"/>
  <c r="J951"/>
  <c r="J950"/>
  <c r="J949"/>
  <c r="J948"/>
  <c r="J947"/>
  <c r="J946"/>
  <c r="J945"/>
  <c r="J944"/>
  <c r="J943"/>
  <c r="J942"/>
  <c r="J941"/>
  <c r="J940"/>
  <c r="J939"/>
  <c r="J938"/>
  <c r="J937"/>
  <c r="J936"/>
  <c r="J935"/>
  <c r="J934"/>
  <c r="J933"/>
  <c r="J932"/>
  <c r="J931"/>
  <c r="J930"/>
  <c r="J929"/>
  <c r="J928"/>
  <c r="J927"/>
  <c r="J926"/>
  <c r="J925"/>
  <c r="J924"/>
  <c r="J923"/>
  <c r="J922"/>
  <c r="J921"/>
  <c r="J920"/>
  <c r="J919"/>
  <c r="J918"/>
  <c r="J917"/>
  <c r="J916"/>
  <c r="J915"/>
  <c r="J914"/>
  <c r="J913"/>
  <c r="J912"/>
  <c r="J911"/>
  <c r="J910"/>
  <c r="J909"/>
  <c r="J908"/>
  <c r="J907"/>
  <c r="J906"/>
  <c r="J905"/>
  <c r="J904"/>
  <c r="J903"/>
  <c r="J902"/>
  <c r="J901"/>
  <c r="J900"/>
  <c r="J899"/>
  <c r="J898"/>
  <c r="J897"/>
  <c r="J896"/>
  <c r="J895"/>
  <c r="J894"/>
  <c r="J893"/>
  <c r="J892"/>
  <c r="J891"/>
  <c r="J890"/>
  <c r="J889"/>
  <c r="J888"/>
  <c r="J887"/>
  <c r="J886"/>
  <c r="J885"/>
  <c r="J884"/>
  <c r="J883"/>
  <c r="J882"/>
  <c r="J881"/>
  <c r="J880"/>
  <c r="J879"/>
  <c r="J878"/>
  <c r="J877"/>
  <c r="J876"/>
  <c r="J875"/>
  <c r="J874"/>
  <c r="J873"/>
  <c r="J872"/>
  <c r="J871"/>
  <c r="J870"/>
  <c r="J869"/>
  <c r="J868"/>
  <c r="J867"/>
  <c r="J866"/>
  <c r="J865"/>
  <c r="J864"/>
  <c r="J863"/>
  <c r="J862"/>
  <c r="J861"/>
  <c r="J860"/>
  <c r="J859"/>
  <c r="J858"/>
  <c r="J857"/>
  <c r="J856"/>
  <c r="J855"/>
  <c r="J854"/>
  <c r="J853"/>
  <c r="J852"/>
  <c r="J851"/>
  <c r="J850"/>
  <c r="J849"/>
  <c r="J848"/>
  <c r="J847"/>
  <c r="J846"/>
  <c r="J845"/>
  <c r="J844"/>
  <c r="J843"/>
  <c r="J842"/>
  <c r="J841"/>
  <c r="J840"/>
  <c r="J839"/>
  <c r="J838"/>
  <c r="J837"/>
  <c r="J836"/>
  <c r="J835"/>
  <c r="J834"/>
  <c r="J833"/>
  <c r="J832"/>
  <c r="J831"/>
  <c r="J830"/>
  <c r="J829"/>
  <c r="J828"/>
  <c r="J827"/>
  <c r="J826"/>
  <c r="J825"/>
  <c r="J824"/>
  <c r="J823"/>
  <c r="J822"/>
  <c r="J821"/>
  <c r="J820"/>
  <c r="J819"/>
  <c r="J818"/>
  <c r="J817"/>
  <c r="J816"/>
  <c r="J815"/>
  <c r="J814"/>
  <c r="J813"/>
  <c r="J812"/>
  <c r="J811"/>
  <c r="J810"/>
  <c r="J809"/>
  <c r="J808"/>
  <c r="J807"/>
  <c r="J806"/>
  <c r="J805"/>
  <c r="J804"/>
  <c r="J803"/>
  <c r="J802"/>
  <c r="J801"/>
  <c r="J800"/>
  <c r="J799"/>
  <c r="J798"/>
  <c r="J797"/>
  <c r="J796"/>
  <c r="J795"/>
  <c r="J794"/>
  <c r="J793"/>
  <c r="J792"/>
  <c r="J791"/>
  <c r="J790"/>
  <c r="J789"/>
  <c r="J788"/>
  <c r="J787"/>
  <c r="J786"/>
  <c r="J785"/>
  <c r="J784"/>
  <c r="J783"/>
  <c r="J782"/>
  <c r="J781"/>
  <c r="J780"/>
  <c r="J779"/>
  <c r="J778"/>
  <c r="J777"/>
  <c r="J776"/>
  <c r="J775"/>
  <c r="J774"/>
  <c r="J773"/>
  <c r="J772"/>
  <c r="J771"/>
  <c r="J770"/>
  <c r="J769"/>
  <c r="J768"/>
  <c r="J767"/>
  <c r="J766"/>
  <c r="J765"/>
  <c r="J764"/>
  <c r="J763"/>
  <c r="J762"/>
  <c r="J761"/>
  <c r="J760"/>
  <c r="J759"/>
  <c r="J758"/>
  <c r="J757"/>
  <c r="J756"/>
  <c r="J755"/>
  <c r="J754"/>
  <c r="J753"/>
  <c r="J752"/>
  <c r="J751"/>
  <c r="J750"/>
  <c r="J749"/>
  <c r="J748"/>
  <c r="J747"/>
  <c r="J746"/>
  <c r="J745"/>
  <c r="J744"/>
  <c r="J743"/>
  <c r="J742"/>
  <c r="J741"/>
  <c r="J740"/>
  <c r="J739"/>
  <c r="J738"/>
  <c r="J737"/>
  <c r="J736"/>
  <c r="J735"/>
  <c r="J734"/>
  <c r="J733"/>
  <c r="J732"/>
  <c r="J731"/>
  <c r="J730"/>
  <c r="J729"/>
  <c r="J728"/>
  <c r="J727"/>
  <c r="J726"/>
  <c r="J725"/>
  <c r="J724"/>
  <c r="J723"/>
  <c r="J722"/>
  <c r="J721"/>
  <c r="J720"/>
  <c r="J719"/>
  <c r="J718"/>
  <c r="J717"/>
  <c r="J716"/>
  <c r="J715"/>
  <c r="J714"/>
  <c r="J713"/>
  <c r="J712"/>
  <c r="J711"/>
  <c r="J710"/>
  <c r="J709"/>
  <c r="J708"/>
  <c r="J707"/>
  <c r="J706"/>
  <c r="J705"/>
  <c r="J704"/>
  <c r="J703"/>
  <c r="J702"/>
  <c r="J701"/>
  <c r="J700"/>
  <c r="J699"/>
  <c r="J698"/>
  <c r="J697"/>
  <c r="J696"/>
  <c r="J695"/>
  <c r="J694"/>
  <c r="J693"/>
  <c r="J692"/>
  <c r="J691"/>
  <c r="J690"/>
  <c r="J689"/>
  <c r="J688"/>
  <c r="J687"/>
  <c r="J686"/>
  <c r="J685"/>
  <c r="J684"/>
  <c r="J683"/>
  <c r="J682"/>
  <c r="J681"/>
  <c r="J680"/>
  <c r="J679"/>
  <c r="J678"/>
  <c r="J677"/>
  <c r="J676"/>
  <c r="J675"/>
  <c r="J674"/>
  <c r="J673"/>
  <c r="J672"/>
  <c r="J671"/>
  <c r="J670"/>
  <c r="J669"/>
  <c r="J668"/>
  <c r="J667"/>
  <c r="J666"/>
  <c r="J665"/>
  <c r="J664"/>
  <c r="J663"/>
  <c r="J662"/>
  <c r="J661"/>
  <c r="J660"/>
  <c r="J659"/>
  <c r="J658"/>
  <c r="J657"/>
  <c r="J656"/>
  <c r="J655"/>
  <c r="J654"/>
  <c r="J653"/>
  <c r="J652"/>
  <c r="J651"/>
  <c r="J650"/>
  <c r="J649"/>
  <c r="J648"/>
  <c r="J647"/>
  <c r="J646"/>
  <c r="J645"/>
  <c r="J644"/>
  <c r="J643"/>
  <c r="J642"/>
  <c r="J641"/>
  <c r="J640"/>
  <c r="J639"/>
  <c r="J638"/>
  <c r="J637"/>
  <c r="J636"/>
  <c r="J635"/>
  <c r="J634"/>
  <c r="J633"/>
  <c r="J632"/>
  <c r="J631"/>
  <c r="J630"/>
  <c r="J629"/>
  <c r="J628"/>
  <c r="J627"/>
  <c r="J626"/>
  <c r="J625"/>
  <c r="J624"/>
  <c r="J623"/>
  <c r="J622"/>
  <c r="J621"/>
  <c r="J620"/>
  <c r="J619"/>
  <c r="J618"/>
  <c r="J617"/>
  <c r="J616"/>
  <c r="J615"/>
  <c r="J614"/>
  <c r="J613"/>
  <c r="J612"/>
  <c r="J611"/>
  <c r="J610"/>
  <c r="J609"/>
  <c r="J608"/>
  <c r="J607"/>
  <c r="J606"/>
  <c r="J605"/>
  <c r="J604"/>
  <c r="J603"/>
  <c r="J602"/>
  <c r="J601"/>
  <c r="J600"/>
  <c r="J599"/>
  <c r="J598"/>
  <c r="J597"/>
  <c r="J596"/>
  <c r="J595"/>
  <c r="J594"/>
  <c r="J593"/>
  <c r="J592"/>
  <c r="J591"/>
  <c r="J590"/>
  <c r="J589"/>
  <c r="J588"/>
  <c r="J587"/>
  <c r="J586"/>
  <c r="J585"/>
  <c r="J584"/>
  <c r="J583"/>
  <c r="J582"/>
  <c r="J581"/>
  <c r="J580"/>
  <c r="J579"/>
  <c r="J578"/>
  <c r="J577"/>
  <c r="J576"/>
  <c r="J575"/>
  <c r="J574"/>
  <c r="J573"/>
  <c r="J572"/>
  <c r="J571"/>
  <c r="J570"/>
  <c r="J569"/>
  <c r="J568"/>
  <c r="J567"/>
  <c r="J566"/>
  <c r="J565"/>
  <c r="J564"/>
  <c r="J563"/>
  <c r="J562"/>
  <c r="J561"/>
  <c r="J560"/>
  <c r="J559"/>
  <c r="J558"/>
  <c r="J557"/>
  <c r="J556"/>
  <c r="J555"/>
  <c r="J554"/>
  <c r="J553"/>
  <c r="J552"/>
  <c r="J551"/>
  <c r="J550"/>
  <c r="J549"/>
  <c r="J548"/>
  <c r="J547"/>
  <c r="J546"/>
  <c r="J545"/>
  <c r="J544"/>
  <c r="J543"/>
  <c r="J542"/>
  <c r="J541"/>
  <c r="J540"/>
  <c r="J539"/>
  <c r="J538"/>
  <c r="J537"/>
  <c r="J536"/>
  <c r="J535"/>
  <c r="J534"/>
  <c r="J533"/>
  <c r="J532"/>
  <c r="J531"/>
  <c r="J530"/>
  <c r="J529"/>
  <c r="J528"/>
  <c r="J527"/>
  <c r="J526"/>
  <c r="J525"/>
  <c r="J524"/>
  <c r="J523"/>
  <c r="J522"/>
  <c r="J521"/>
  <c r="J520"/>
  <c r="J519"/>
  <c r="J518"/>
  <c r="J517"/>
  <c r="J516"/>
  <c r="J515"/>
  <c r="J514"/>
  <c r="J513"/>
  <c r="J512"/>
  <c r="J511"/>
  <c r="J510"/>
  <c r="J509"/>
  <c r="J508"/>
  <c r="J507"/>
  <c r="J506"/>
  <c r="J505"/>
  <c r="J504"/>
  <c r="J503"/>
  <c r="J502"/>
  <c r="J501"/>
  <c r="J500"/>
  <c r="J499"/>
  <c r="J498"/>
  <c r="J497"/>
  <c r="J496"/>
  <c r="J495"/>
  <c r="J494"/>
  <c r="J493"/>
  <c r="J492"/>
  <c r="J491"/>
  <c r="J490"/>
  <c r="J489"/>
  <c r="J488"/>
  <c r="J487"/>
  <c r="J486"/>
  <c r="J485"/>
  <c r="J484"/>
  <c r="J483"/>
  <c r="J482"/>
  <c r="J481"/>
  <c r="J480"/>
  <c r="J479"/>
  <c r="J478"/>
  <c r="J477"/>
  <c r="J476"/>
  <c r="J475"/>
  <c r="J474"/>
  <c r="J473"/>
  <c r="J472"/>
  <c r="J471"/>
  <c r="J470"/>
  <c r="J469"/>
  <c r="J468"/>
  <c r="J467"/>
  <c r="J466"/>
  <c r="J465"/>
  <c r="J464"/>
  <c r="J463"/>
  <c r="J462"/>
  <c r="J461"/>
  <c r="J460"/>
  <c r="J459"/>
  <c r="J458"/>
  <c r="J457"/>
  <c r="J456"/>
  <c r="J455"/>
  <c r="J454"/>
  <c r="J453"/>
  <c r="J452"/>
  <c r="J451"/>
  <c r="J450"/>
  <c r="J449"/>
  <c r="J448"/>
  <c r="J447"/>
  <c r="J446"/>
  <c r="J445"/>
  <c r="J444"/>
  <c r="J443"/>
  <c r="J442"/>
  <c r="J441"/>
  <c r="J440"/>
  <c r="J439"/>
  <c r="J438"/>
  <c r="J437"/>
  <c r="J436"/>
  <c r="J435"/>
  <c r="J434"/>
  <c r="J433"/>
  <c r="J432"/>
  <c r="J431"/>
  <c r="J430"/>
  <c r="J429"/>
  <c r="J428"/>
  <c r="J427"/>
  <c r="J426"/>
  <c r="J425"/>
  <c r="J424"/>
  <c r="J423"/>
  <c r="J422"/>
  <c r="J421"/>
  <c r="J420"/>
  <c r="J419"/>
  <c r="J418"/>
  <c r="J417"/>
  <c r="J416"/>
  <c r="J415"/>
  <c r="J414"/>
  <c r="J413"/>
  <c r="J412"/>
  <c r="J411"/>
  <c r="J410"/>
  <c r="J409"/>
  <c r="J408"/>
  <c r="J407"/>
  <c r="J406"/>
  <c r="J405"/>
  <c r="J404"/>
  <c r="J403"/>
  <c r="J402"/>
  <c r="J401"/>
  <c r="J400"/>
  <c r="J399"/>
  <c r="J398"/>
  <c r="J397"/>
  <c r="J396"/>
  <c r="J395"/>
  <c r="J394"/>
  <c r="J393"/>
  <c r="J392"/>
  <c r="J391"/>
  <c r="J390"/>
  <c r="J389"/>
  <c r="J388"/>
  <c r="J387"/>
  <c r="J386"/>
  <c r="J385"/>
  <c r="J384"/>
  <c r="J383"/>
  <c r="J382"/>
  <c r="J381"/>
  <c r="J380"/>
  <c r="J379"/>
  <c r="J378"/>
  <c r="J377"/>
  <c r="J376"/>
  <c r="J375"/>
  <c r="J374"/>
  <c r="J373"/>
  <c r="J372"/>
  <c r="J371"/>
  <c r="J370"/>
  <c r="J369"/>
  <c r="J368"/>
  <c r="J367"/>
  <c r="J366"/>
  <c r="J365"/>
  <c r="J364"/>
  <c r="J363"/>
  <c r="J362"/>
  <c r="J361"/>
  <c r="J360"/>
  <c r="J359"/>
  <c r="J358"/>
  <c r="J357"/>
  <c r="J356"/>
  <c r="J355"/>
  <c r="J354"/>
  <c r="J353"/>
  <c r="J352"/>
  <c r="J351"/>
  <c r="J350"/>
  <c r="J349"/>
  <c r="J348"/>
  <c r="J347"/>
  <c r="J346"/>
  <c r="J345"/>
  <c r="J344"/>
  <c r="J343"/>
  <c r="J342"/>
  <c r="J341"/>
  <c r="J340"/>
  <c r="J339"/>
  <c r="J338"/>
  <c r="J337"/>
  <c r="J336"/>
  <c r="J335"/>
  <c r="J334"/>
  <c r="J333"/>
  <c r="J332"/>
  <c r="J331"/>
  <c r="J330"/>
  <c r="J329"/>
  <c r="J328"/>
  <c r="J327"/>
  <c r="J326"/>
  <c r="J325"/>
  <c r="J324"/>
  <c r="J323"/>
  <c r="J322"/>
  <c r="J321"/>
  <c r="J320"/>
  <c r="J319"/>
  <c r="J318"/>
  <c r="J317"/>
  <c r="J316"/>
  <c r="J315"/>
  <c r="J314"/>
  <c r="J313"/>
  <c r="J312"/>
  <c r="J311"/>
  <c r="J310"/>
  <c r="J309"/>
  <c r="J308"/>
  <c r="J307"/>
  <c r="J306"/>
  <c r="J305"/>
  <c r="J304"/>
  <c r="J303"/>
  <c r="J302"/>
  <c r="J301"/>
  <c r="J300"/>
  <c r="J299"/>
  <c r="J298"/>
  <c r="J297"/>
  <c r="J296"/>
  <c r="J295"/>
  <c r="J294"/>
  <c r="J293"/>
  <c r="J292"/>
  <c r="J291"/>
  <c r="J290"/>
  <c r="J289"/>
  <c r="J288"/>
  <c r="J287"/>
  <c r="J286"/>
  <c r="J285"/>
  <c r="J284"/>
  <c r="J283"/>
  <c r="J282"/>
  <c r="J281"/>
  <c r="J280"/>
  <c r="J279"/>
  <c r="J278"/>
  <c r="J277"/>
  <c r="J276"/>
  <c r="J275"/>
  <c r="J274"/>
  <c r="J273"/>
  <c r="J272"/>
  <c r="J271"/>
  <c r="J270"/>
  <c r="J269"/>
  <c r="J268"/>
  <c r="J267"/>
  <c r="J266"/>
  <c r="J265"/>
  <c r="J264"/>
  <c r="J263"/>
  <c r="J262"/>
  <c r="J261"/>
  <c r="J260"/>
  <c r="J259"/>
  <c r="J258"/>
  <c r="J257"/>
  <c r="J256"/>
  <c r="J255"/>
  <c r="J254"/>
  <c r="J253"/>
  <c r="J252"/>
  <c r="J251"/>
  <c r="J250"/>
  <c r="J249"/>
  <c r="J248"/>
  <c r="J247"/>
  <c r="J246"/>
  <c r="J245"/>
  <c r="J244"/>
  <c r="J243"/>
  <c r="J242"/>
  <c r="J241"/>
  <c r="J240"/>
  <c r="J239"/>
  <c r="J238"/>
  <c r="J237"/>
  <c r="J236"/>
  <c r="J235"/>
  <c r="J234"/>
  <c r="J233"/>
  <c r="J232"/>
  <c r="J231"/>
  <c r="J230"/>
  <c r="J229"/>
  <c r="J228"/>
  <c r="J227"/>
  <c r="J226"/>
  <c r="J225"/>
  <c r="J224"/>
  <c r="J223"/>
  <c r="J222"/>
  <c r="J221"/>
  <c r="J220"/>
  <c r="J219"/>
  <c r="J218"/>
  <c r="J217"/>
  <c r="J216"/>
  <c r="J215"/>
  <c r="J214"/>
  <c r="J213"/>
  <c r="J212"/>
  <c r="J211"/>
  <c r="J210"/>
  <c r="J209"/>
  <c r="J208"/>
  <c r="J207"/>
  <c r="J206"/>
  <c r="J205"/>
  <c r="J204"/>
  <c r="J203"/>
  <c r="J202"/>
  <c r="J201"/>
  <c r="J200"/>
  <c r="J199"/>
  <c r="J198"/>
  <c r="J197"/>
  <c r="J196"/>
  <c r="J195"/>
  <c r="J194"/>
  <c r="J193"/>
  <c r="J192"/>
  <c r="J191"/>
  <c r="J190"/>
  <c r="J189"/>
  <c r="J188"/>
  <c r="J187"/>
  <c r="J186"/>
  <c r="J185"/>
  <c r="J184"/>
  <c r="J183"/>
  <c r="J182"/>
  <c r="J181"/>
  <c r="J180"/>
  <c r="J179"/>
  <c r="J178"/>
  <c r="J177"/>
  <c r="J176"/>
  <c r="J175"/>
  <c r="J174"/>
  <c r="J173"/>
  <c r="J172"/>
  <c r="J171"/>
  <c r="J170"/>
  <c r="J169"/>
  <c r="J168"/>
  <c r="J167"/>
  <c r="J166"/>
  <c r="J165"/>
  <c r="J164"/>
  <c r="J163"/>
  <c r="J162"/>
  <c r="J161"/>
  <c r="J160"/>
  <c r="J159"/>
  <c r="J158"/>
  <c r="J157"/>
  <c r="J156"/>
  <c r="J155"/>
  <c r="J154"/>
  <c r="J153"/>
  <c r="J152"/>
  <c r="J151"/>
  <c r="J150"/>
  <c r="J149"/>
  <c r="J148"/>
  <c r="J147"/>
  <c r="J146"/>
  <c r="J145"/>
  <c r="J144"/>
  <c r="J143"/>
  <c r="J142"/>
  <c r="J141"/>
  <c r="J140"/>
  <c r="J139"/>
  <c r="J138"/>
  <c r="J137"/>
  <c r="J136"/>
  <c r="J135"/>
  <c r="J134"/>
  <c r="J133"/>
  <c r="J132"/>
  <c r="J131"/>
  <c r="J130"/>
  <c r="J129"/>
  <c r="J128"/>
  <c r="J127"/>
  <c r="J126"/>
  <c r="J125"/>
  <c r="J124"/>
  <c r="J123"/>
  <c r="J122"/>
  <c r="J121"/>
  <c r="J120"/>
  <c r="J92"/>
  <c r="J91"/>
  <c r="J90"/>
  <c r="J6"/>
  <c r="J5"/>
  <c r="J4"/>
  <c r="J3"/>
  <c r="J2"/>
  <c r="J1010" i="7"/>
  <c r="J1009"/>
  <c r="J1008"/>
  <c r="J1007"/>
  <c r="J1006"/>
  <c r="J1005"/>
  <c r="J1004"/>
  <c r="J1003"/>
  <c r="J1002"/>
  <c r="J1001"/>
  <c r="J1000"/>
  <c r="J999"/>
  <c r="J998"/>
  <c r="J997"/>
  <c r="J996"/>
  <c r="J995"/>
  <c r="J994"/>
  <c r="J993"/>
  <c r="J992"/>
  <c r="J991"/>
  <c r="J990"/>
  <c r="J989"/>
  <c r="J988"/>
  <c r="J987"/>
  <c r="J986"/>
  <c r="J985"/>
  <c r="J984"/>
  <c r="J983"/>
  <c r="J982"/>
  <c r="J981"/>
  <c r="J980"/>
  <c r="J979"/>
  <c r="J978"/>
  <c r="J977"/>
  <c r="J976"/>
  <c r="J975"/>
  <c r="J974"/>
  <c r="J973"/>
  <c r="J972"/>
  <c r="J971"/>
  <c r="J970"/>
  <c r="J969"/>
  <c r="J968"/>
  <c r="J967"/>
  <c r="J966"/>
  <c r="J965"/>
  <c r="J964"/>
  <c r="J963"/>
  <c r="J962"/>
  <c r="J961"/>
  <c r="J960"/>
  <c r="J959"/>
  <c r="J958"/>
  <c r="J957"/>
  <c r="J956"/>
  <c r="J955"/>
  <c r="J954"/>
  <c r="J953"/>
  <c r="J952"/>
  <c r="J951"/>
  <c r="J950"/>
  <c r="J949"/>
  <c r="J948"/>
  <c r="J947"/>
  <c r="J946"/>
  <c r="J945"/>
  <c r="J944"/>
  <c r="J943"/>
  <c r="J942"/>
  <c r="J941"/>
  <c r="J940"/>
  <c r="J939"/>
  <c r="J938"/>
  <c r="J937"/>
  <c r="J936"/>
  <c r="J935"/>
  <c r="J934"/>
  <c r="J933"/>
  <c r="J932"/>
  <c r="J931"/>
  <c r="J930"/>
  <c r="J929"/>
  <c r="J928"/>
  <c r="J927"/>
  <c r="J926"/>
  <c r="J925"/>
  <c r="J924"/>
  <c r="J923"/>
  <c r="J922"/>
  <c r="J921"/>
  <c r="J920"/>
  <c r="J919"/>
  <c r="J918"/>
  <c r="J917"/>
  <c r="J916"/>
  <c r="J915"/>
  <c r="J914"/>
  <c r="J913"/>
  <c r="J912"/>
  <c r="J911"/>
  <c r="J910"/>
  <c r="J909"/>
  <c r="J908"/>
  <c r="J907"/>
  <c r="J906"/>
  <c r="J905"/>
  <c r="J904"/>
  <c r="J903"/>
  <c r="J902"/>
  <c r="J901"/>
  <c r="J900"/>
  <c r="J899"/>
  <c r="J898"/>
  <c r="J897"/>
  <c r="J896"/>
  <c r="J895"/>
  <c r="J894"/>
  <c r="J893"/>
  <c r="J892"/>
  <c r="J891"/>
  <c r="J890"/>
  <c r="J889"/>
  <c r="J888"/>
  <c r="J887"/>
  <c r="J886"/>
  <c r="J885"/>
  <c r="J884"/>
  <c r="J883"/>
  <c r="J882"/>
  <c r="J881"/>
  <c r="J880"/>
  <c r="J879"/>
  <c r="J878"/>
  <c r="J877"/>
  <c r="J876"/>
  <c r="J875"/>
  <c r="J874"/>
  <c r="J873"/>
  <c r="J872"/>
  <c r="J871"/>
  <c r="J870"/>
  <c r="J869"/>
  <c r="J868"/>
  <c r="J867"/>
  <c r="J866"/>
  <c r="J865"/>
  <c r="J864"/>
  <c r="J863"/>
  <c r="J862"/>
  <c r="J861"/>
  <c r="J860"/>
  <c r="J859"/>
  <c r="J858"/>
  <c r="J857"/>
  <c r="J856"/>
  <c r="J855"/>
  <c r="J854"/>
  <c r="J853"/>
  <c r="J852"/>
  <c r="J851"/>
  <c r="J850"/>
  <c r="J849"/>
  <c r="J848"/>
  <c r="J847"/>
  <c r="J846"/>
  <c r="J845"/>
  <c r="J844"/>
  <c r="J843"/>
  <c r="J842"/>
  <c r="J841"/>
  <c r="J840"/>
  <c r="J839"/>
  <c r="J838"/>
  <c r="J837"/>
  <c r="J836"/>
  <c r="J835"/>
  <c r="J834"/>
  <c r="J833"/>
  <c r="J832"/>
  <c r="J831"/>
  <c r="J830"/>
  <c r="J829"/>
  <c r="J828"/>
  <c r="J827"/>
  <c r="J826"/>
  <c r="J825"/>
  <c r="J824"/>
  <c r="J823"/>
  <c r="J822"/>
  <c r="J821"/>
  <c r="J820"/>
  <c r="J819"/>
  <c r="J818"/>
  <c r="J817"/>
  <c r="J816"/>
  <c r="J815"/>
  <c r="J814"/>
  <c r="J813"/>
  <c r="J812"/>
  <c r="J811"/>
  <c r="J810"/>
  <c r="J809"/>
  <c r="J808"/>
  <c r="J807"/>
  <c r="J806"/>
  <c r="J805"/>
  <c r="J804"/>
  <c r="J803"/>
  <c r="J802"/>
  <c r="J801"/>
  <c r="J800"/>
  <c r="J799"/>
  <c r="J798"/>
  <c r="J797"/>
  <c r="J796"/>
  <c r="J795"/>
  <c r="J794"/>
  <c r="J793"/>
  <c r="J792"/>
  <c r="J791"/>
  <c r="J790"/>
  <c r="J789"/>
  <c r="J788"/>
  <c r="J787"/>
  <c r="J786"/>
  <c r="J785"/>
  <c r="J784"/>
  <c r="J783"/>
  <c r="J782"/>
  <c r="J781"/>
  <c r="J780"/>
  <c r="J779"/>
  <c r="J778"/>
  <c r="J777"/>
  <c r="J776"/>
  <c r="J775"/>
  <c r="J774"/>
  <c r="J773"/>
  <c r="J772"/>
  <c r="J771"/>
  <c r="J770"/>
  <c r="J769"/>
  <c r="J768"/>
  <c r="J767"/>
  <c r="J766"/>
  <c r="J765"/>
  <c r="J764"/>
  <c r="J763"/>
  <c r="J762"/>
  <c r="J761"/>
  <c r="J760"/>
  <c r="J759"/>
  <c r="J758"/>
  <c r="J757"/>
  <c r="J756"/>
  <c r="J755"/>
  <c r="J754"/>
  <c r="J753"/>
  <c r="J752"/>
  <c r="J751"/>
  <c r="J750"/>
  <c r="J749"/>
  <c r="J748"/>
  <c r="J747"/>
  <c r="J746"/>
  <c r="J745"/>
  <c r="J744"/>
  <c r="J743"/>
  <c r="J742"/>
  <c r="J741"/>
  <c r="J740"/>
  <c r="J739"/>
  <c r="J738"/>
  <c r="J737"/>
  <c r="J736"/>
  <c r="J735"/>
  <c r="J734"/>
  <c r="J733"/>
  <c r="J732"/>
  <c r="J731"/>
  <c r="J730"/>
  <c r="J729"/>
  <c r="J728"/>
  <c r="J727"/>
  <c r="J726"/>
  <c r="J725"/>
  <c r="J724"/>
  <c r="J723"/>
  <c r="J722"/>
  <c r="J721"/>
  <c r="J720"/>
  <c r="J719"/>
  <c r="J718"/>
  <c r="J717"/>
  <c r="J716"/>
  <c r="J715"/>
  <c r="J714"/>
  <c r="J713"/>
  <c r="J712"/>
  <c r="J711"/>
  <c r="J710"/>
  <c r="J709"/>
  <c r="J708"/>
  <c r="J707"/>
  <c r="J706"/>
  <c r="J705"/>
  <c r="J704"/>
  <c r="J703"/>
  <c r="J702"/>
  <c r="J701"/>
  <c r="J700"/>
  <c r="J699"/>
  <c r="J698"/>
  <c r="J697"/>
  <c r="J696"/>
  <c r="J695"/>
  <c r="J694"/>
  <c r="J693"/>
  <c r="J692"/>
  <c r="J691"/>
  <c r="J690"/>
  <c r="J689"/>
  <c r="J688"/>
  <c r="J687"/>
  <c r="J686"/>
  <c r="J685"/>
  <c r="J684"/>
  <c r="J683"/>
  <c r="J682"/>
  <c r="J681"/>
  <c r="J680"/>
  <c r="J679"/>
  <c r="J678"/>
  <c r="J677"/>
  <c r="J676"/>
  <c r="J675"/>
  <c r="J674"/>
  <c r="J673"/>
  <c r="J672"/>
  <c r="J671"/>
  <c r="J670"/>
  <c r="J669"/>
  <c r="J668"/>
  <c r="J667"/>
  <c r="J666"/>
  <c r="J665"/>
  <c r="J664"/>
  <c r="J663"/>
  <c r="J662"/>
  <c r="J661"/>
  <c r="J660"/>
  <c r="J659"/>
  <c r="J658"/>
  <c r="J657"/>
  <c r="J656"/>
  <c r="J655"/>
  <c r="J654"/>
  <c r="J653"/>
  <c r="J652"/>
  <c r="J651"/>
  <c r="J650"/>
  <c r="J649"/>
  <c r="J648"/>
  <c r="J647"/>
  <c r="J646"/>
  <c r="J645"/>
  <c r="J644"/>
  <c r="J643"/>
  <c r="J642"/>
  <c r="J641"/>
  <c r="J640"/>
  <c r="J639"/>
  <c r="J638"/>
  <c r="J637"/>
  <c r="J636"/>
  <c r="J635"/>
  <c r="J634"/>
  <c r="J633"/>
  <c r="J632"/>
  <c r="J631"/>
  <c r="J630"/>
  <c r="J629"/>
  <c r="J628"/>
  <c r="J627"/>
  <c r="J626"/>
  <c r="J625"/>
  <c r="J624"/>
  <c r="J623"/>
  <c r="J622"/>
  <c r="J621"/>
  <c r="J620"/>
  <c r="J619"/>
  <c r="J618"/>
  <c r="J617"/>
  <c r="J616"/>
  <c r="J615"/>
  <c r="J614"/>
  <c r="J613"/>
  <c r="J612"/>
  <c r="J611"/>
  <c r="J610"/>
  <c r="J609"/>
  <c r="J608"/>
  <c r="J607"/>
  <c r="J606"/>
  <c r="J605"/>
  <c r="J604"/>
  <c r="J603"/>
  <c r="J602"/>
  <c r="J601"/>
  <c r="J600"/>
  <c r="J599"/>
  <c r="J598"/>
  <c r="J597"/>
  <c r="J596"/>
  <c r="J595"/>
  <c r="J594"/>
  <c r="J593"/>
  <c r="J592"/>
  <c r="J591"/>
  <c r="J590"/>
  <c r="J589"/>
  <c r="J588"/>
  <c r="J587"/>
  <c r="J586"/>
  <c r="J585"/>
  <c r="J584"/>
  <c r="J583"/>
  <c r="J582"/>
  <c r="J581"/>
  <c r="J580"/>
  <c r="J579"/>
  <c r="J578"/>
  <c r="J577"/>
  <c r="J576"/>
  <c r="J575"/>
  <c r="J574"/>
  <c r="J573"/>
  <c r="J572"/>
  <c r="J571"/>
  <c r="J570"/>
  <c r="J569"/>
  <c r="J568"/>
  <c r="J567"/>
  <c r="J566"/>
  <c r="J565"/>
  <c r="J564"/>
  <c r="J563"/>
  <c r="J562"/>
  <c r="J561"/>
  <c r="J560"/>
  <c r="J559"/>
  <c r="J558"/>
  <c r="J557"/>
  <c r="J556"/>
  <c r="J555"/>
  <c r="J554"/>
  <c r="J553"/>
  <c r="J552"/>
  <c r="J551"/>
  <c r="J550"/>
  <c r="J549"/>
  <c r="J548"/>
  <c r="J547"/>
  <c r="J546"/>
  <c r="J545"/>
  <c r="J544"/>
  <c r="J543"/>
  <c r="J542"/>
  <c r="J541"/>
  <c r="J540"/>
  <c r="J539"/>
  <c r="J538"/>
  <c r="J537"/>
  <c r="J536"/>
  <c r="J535"/>
  <c r="J534"/>
  <c r="J533"/>
  <c r="J532"/>
  <c r="J531"/>
  <c r="J530"/>
  <c r="J529"/>
  <c r="J528"/>
  <c r="J527"/>
  <c r="J526"/>
  <c r="J525"/>
  <c r="J524"/>
  <c r="J523"/>
  <c r="J522"/>
  <c r="J521"/>
  <c r="J520"/>
  <c r="J519"/>
  <c r="J518"/>
  <c r="J517"/>
  <c r="J516"/>
  <c r="J515"/>
  <c r="J514"/>
  <c r="J513"/>
  <c r="J512"/>
  <c r="J511"/>
  <c r="J510"/>
  <c r="J509"/>
  <c r="J508"/>
  <c r="J507"/>
  <c r="J506"/>
  <c r="J505"/>
  <c r="J504"/>
  <c r="J503"/>
  <c r="J502"/>
  <c r="J501"/>
  <c r="J500"/>
  <c r="J499"/>
  <c r="J498"/>
  <c r="J497"/>
  <c r="J496"/>
  <c r="J495"/>
  <c r="J494"/>
  <c r="J493"/>
  <c r="J492"/>
  <c r="J491"/>
  <c r="J490"/>
  <c r="J489"/>
  <c r="J488"/>
  <c r="J487"/>
  <c r="J486"/>
  <c r="J485"/>
  <c r="J484"/>
  <c r="J483"/>
  <c r="J482"/>
  <c r="J481"/>
  <c r="J480"/>
  <c r="J479"/>
  <c r="J478"/>
  <c r="J477"/>
  <c r="J476"/>
  <c r="J475"/>
  <c r="J474"/>
  <c r="J473"/>
  <c r="J472"/>
  <c r="J471"/>
  <c r="J470"/>
  <c r="J469"/>
  <c r="J468"/>
  <c r="J467"/>
  <c r="J466"/>
  <c r="J465"/>
  <c r="J464"/>
  <c r="J463"/>
  <c r="J462"/>
  <c r="J461"/>
  <c r="J460"/>
  <c r="J459"/>
  <c r="J458"/>
  <c r="J457"/>
  <c r="J456"/>
  <c r="J455"/>
  <c r="J454"/>
  <c r="J453"/>
  <c r="J452"/>
  <c r="J451"/>
  <c r="J450"/>
  <c r="J449"/>
  <c r="J448"/>
  <c r="J447"/>
  <c r="J446"/>
  <c r="J445"/>
  <c r="J444"/>
  <c r="J443"/>
  <c r="J442"/>
  <c r="J441"/>
  <c r="J440"/>
  <c r="J439"/>
  <c r="J438"/>
  <c r="J437"/>
  <c r="J436"/>
  <c r="J435"/>
  <c r="J434"/>
  <c r="J433"/>
  <c r="J432"/>
  <c r="J431"/>
  <c r="J430"/>
  <c r="J429"/>
  <c r="J428"/>
  <c r="J427"/>
  <c r="J426"/>
  <c r="J425"/>
  <c r="J424"/>
  <c r="J423"/>
  <c r="J422"/>
  <c r="J421"/>
  <c r="J420"/>
  <c r="J419"/>
  <c r="J418"/>
  <c r="J417"/>
  <c r="J416"/>
  <c r="J415"/>
  <c r="J414"/>
  <c r="J413"/>
  <c r="J412"/>
  <c r="J411"/>
  <c r="J410"/>
  <c r="J409"/>
  <c r="J408"/>
  <c r="J407"/>
  <c r="J406"/>
  <c r="J405"/>
  <c r="J404"/>
  <c r="J403"/>
  <c r="J402"/>
  <c r="J401"/>
  <c r="J400"/>
  <c r="J399"/>
  <c r="J398"/>
  <c r="J397"/>
  <c r="J396"/>
  <c r="J395"/>
  <c r="J394"/>
  <c r="J393"/>
  <c r="J392"/>
  <c r="J391"/>
  <c r="J390"/>
  <c r="J389"/>
  <c r="J388"/>
  <c r="J387"/>
  <c r="J386"/>
  <c r="J385"/>
  <c r="J384"/>
  <c r="J383"/>
  <c r="J382"/>
  <c r="J381"/>
  <c r="J380"/>
  <c r="J379"/>
  <c r="J378"/>
  <c r="J377"/>
  <c r="J376"/>
  <c r="J375"/>
  <c r="J374"/>
  <c r="J373"/>
  <c r="J372"/>
  <c r="J371"/>
  <c r="J370"/>
  <c r="J369"/>
  <c r="J368"/>
  <c r="J367"/>
  <c r="J366"/>
  <c r="J365"/>
  <c r="J364"/>
  <c r="J363"/>
  <c r="J362"/>
  <c r="J361"/>
  <c r="J360"/>
  <c r="J359"/>
  <c r="J358"/>
  <c r="J357"/>
  <c r="J356"/>
  <c r="J355"/>
  <c r="J354"/>
  <c r="J353"/>
  <c r="J352"/>
  <c r="J351"/>
  <c r="J350"/>
  <c r="J349"/>
  <c r="J348"/>
  <c r="J347"/>
  <c r="J346"/>
  <c r="J345"/>
  <c r="J344"/>
  <c r="J343"/>
  <c r="J342"/>
  <c r="J341"/>
  <c r="J340"/>
  <c r="J339"/>
  <c r="J338"/>
  <c r="J337"/>
  <c r="J336"/>
  <c r="J335"/>
  <c r="J334"/>
  <c r="J333"/>
  <c r="J332"/>
  <c r="J331"/>
  <c r="J330"/>
  <c r="J329"/>
  <c r="J328"/>
  <c r="J327"/>
  <c r="J326"/>
  <c r="J325"/>
  <c r="J324"/>
  <c r="J323"/>
  <c r="J322"/>
  <c r="J321"/>
  <c r="J320"/>
  <c r="J319"/>
  <c r="J318"/>
  <c r="J317"/>
  <c r="J316"/>
  <c r="J315"/>
  <c r="J314"/>
  <c r="J313"/>
  <c r="J312"/>
  <c r="J311"/>
  <c r="J310"/>
  <c r="J309"/>
  <c r="J308"/>
  <c r="J307"/>
  <c r="J306"/>
  <c r="J305"/>
  <c r="J304"/>
  <c r="J303"/>
  <c r="J302"/>
  <c r="J301"/>
  <c r="J300"/>
  <c r="J299"/>
  <c r="J298"/>
  <c r="J297"/>
  <c r="J296"/>
  <c r="J295"/>
  <c r="J294"/>
  <c r="J293"/>
  <c r="J292"/>
  <c r="J291"/>
  <c r="J290"/>
  <c r="J289"/>
  <c r="J288"/>
  <c r="J287"/>
  <c r="J286"/>
  <c r="J285"/>
  <c r="J284"/>
  <c r="J283"/>
  <c r="J282"/>
  <c r="J281"/>
  <c r="J280"/>
  <c r="J279"/>
  <c r="J278"/>
  <c r="J277"/>
  <c r="J276"/>
  <c r="J275"/>
  <c r="J274"/>
  <c r="J273"/>
  <c r="J272"/>
  <c r="J271"/>
  <c r="J270"/>
  <c r="J269"/>
  <c r="J268"/>
  <c r="J267"/>
  <c r="J266"/>
  <c r="J265"/>
  <c r="J264"/>
  <c r="J263"/>
  <c r="J262"/>
  <c r="J261"/>
  <c r="J260"/>
  <c r="J259"/>
  <c r="J258"/>
  <c r="J257"/>
  <c r="J256"/>
  <c r="J255"/>
  <c r="J254"/>
  <c r="J253"/>
  <c r="J252"/>
  <c r="J251"/>
  <c r="J250"/>
  <c r="J249"/>
  <c r="J248"/>
  <c r="J247"/>
  <c r="J246"/>
  <c r="J245"/>
  <c r="J244"/>
  <c r="J243"/>
  <c r="J242"/>
  <c r="J241"/>
  <c r="J240"/>
  <c r="J239"/>
  <c r="J238"/>
  <c r="J237"/>
  <c r="J236"/>
  <c r="J235"/>
  <c r="J234"/>
  <c r="J233"/>
  <c r="J232"/>
  <c r="J231"/>
  <c r="J230"/>
  <c r="J229"/>
  <c r="J228"/>
  <c r="J227"/>
  <c r="J226"/>
  <c r="J225"/>
  <c r="J224"/>
  <c r="J223"/>
  <c r="J222"/>
  <c r="J221"/>
  <c r="J220"/>
  <c r="J219"/>
  <c r="J218"/>
  <c r="J217"/>
  <c r="J216"/>
  <c r="J215"/>
  <c r="J214"/>
  <c r="J213"/>
  <c r="J212"/>
  <c r="J211"/>
  <c r="J210"/>
  <c r="J209"/>
  <c r="J208"/>
  <c r="J207"/>
  <c r="J206"/>
  <c r="J205"/>
  <c r="J204"/>
  <c r="J203"/>
  <c r="J202"/>
  <c r="J201"/>
  <c r="J200"/>
  <c r="J199"/>
  <c r="J198"/>
  <c r="J197"/>
  <c r="J196"/>
  <c r="J195"/>
  <c r="J194"/>
  <c r="J193"/>
  <c r="J192"/>
  <c r="J191"/>
  <c r="J190"/>
  <c r="J189"/>
  <c r="J188"/>
  <c r="J187"/>
  <c r="J186"/>
  <c r="J185"/>
  <c r="J184"/>
  <c r="J183"/>
  <c r="J182"/>
  <c r="J181"/>
  <c r="J180"/>
  <c r="J179"/>
  <c r="J178"/>
  <c r="J177"/>
  <c r="J176"/>
  <c r="J175"/>
  <c r="J174"/>
  <c r="J173"/>
  <c r="J172"/>
  <c r="J171"/>
  <c r="J170"/>
  <c r="J169"/>
  <c r="J168"/>
  <c r="J167"/>
  <c r="J166"/>
  <c r="J165"/>
  <c r="J164"/>
  <c r="J163"/>
  <c r="J162"/>
  <c r="J36"/>
  <c r="J10"/>
  <c r="J9"/>
  <c r="J4"/>
  <c r="J3"/>
  <c r="J2"/>
  <c r="J1014" i="6"/>
  <c r="J1013"/>
  <c r="J1012"/>
  <c r="J1011"/>
  <c r="J1010"/>
  <c r="J1009"/>
  <c r="J1008"/>
  <c r="J1007"/>
  <c r="J1006"/>
  <c r="J1005"/>
  <c r="J1004"/>
  <c r="J1003"/>
  <c r="J1002"/>
  <c r="J1001"/>
  <c r="J1000"/>
  <c r="J999"/>
  <c r="J998"/>
  <c r="J997"/>
  <c r="J996"/>
  <c r="J995"/>
  <c r="J994"/>
  <c r="J993"/>
  <c r="J992"/>
  <c r="J991"/>
  <c r="J990"/>
  <c r="J989"/>
  <c r="J988"/>
  <c r="J987"/>
  <c r="J986"/>
  <c r="J985"/>
  <c r="J984"/>
  <c r="J983"/>
  <c r="J982"/>
  <c r="J981"/>
  <c r="J980"/>
  <c r="J979"/>
  <c r="J978"/>
  <c r="J977"/>
  <c r="J976"/>
  <c r="J975"/>
  <c r="J974"/>
  <c r="J973"/>
  <c r="J972"/>
  <c r="J971"/>
  <c r="J970"/>
  <c r="J969"/>
  <c r="J968"/>
  <c r="J967"/>
  <c r="J966"/>
  <c r="J965"/>
  <c r="J964"/>
  <c r="J963"/>
  <c r="J962"/>
  <c r="J961"/>
  <c r="J960"/>
  <c r="J959"/>
  <c r="J958"/>
  <c r="J957"/>
  <c r="J956"/>
  <c r="J955"/>
  <c r="J954"/>
  <c r="J953"/>
  <c r="J952"/>
  <c r="J951"/>
  <c r="J950"/>
  <c r="J949"/>
  <c r="J948"/>
  <c r="J947"/>
  <c r="J946"/>
  <c r="J945"/>
  <c r="J944"/>
  <c r="J943"/>
  <c r="J942"/>
  <c r="J941"/>
  <c r="J940"/>
  <c r="J939"/>
  <c r="J938"/>
  <c r="J937"/>
  <c r="J936"/>
  <c r="J935"/>
  <c r="J934"/>
  <c r="J933"/>
  <c r="J932"/>
  <c r="J931"/>
  <c r="J930"/>
  <c r="J929"/>
  <c r="J928"/>
  <c r="J927"/>
  <c r="J926"/>
  <c r="J925"/>
  <c r="J924"/>
  <c r="J923"/>
  <c r="J922"/>
  <c r="J921"/>
  <c r="J920"/>
  <c r="J919"/>
  <c r="J918"/>
  <c r="J917"/>
  <c r="J916"/>
  <c r="J915"/>
  <c r="J914"/>
  <c r="J913"/>
  <c r="J912"/>
  <c r="J911"/>
  <c r="J910"/>
  <c r="J909"/>
  <c r="J908"/>
  <c r="J907"/>
  <c r="J906"/>
  <c r="J905"/>
  <c r="J904"/>
  <c r="J903"/>
  <c r="J902"/>
  <c r="J901"/>
  <c r="J900"/>
  <c r="J899"/>
  <c r="J898"/>
  <c r="J897"/>
  <c r="J896"/>
  <c r="J895"/>
  <c r="J894"/>
  <c r="J893"/>
  <c r="J892"/>
  <c r="J891"/>
  <c r="J890"/>
  <c r="J889"/>
  <c r="J888"/>
  <c r="J887"/>
  <c r="J886"/>
  <c r="J885"/>
  <c r="J884"/>
  <c r="J883"/>
  <c r="J882"/>
  <c r="J881"/>
  <c r="J880"/>
  <c r="J879"/>
  <c r="J878"/>
  <c r="J877"/>
  <c r="J876"/>
  <c r="J875"/>
  <c r="J874"/>
  <c r="J873"/>
  <c r="J872"/>
  <c r="J871"/>
  <c r="J870"/>
  <c r="J869"/>
  <c r="J868"/>
  <c r="J867"/>
  <c r="J866"/>
  <c r="J865"/>
  <c r="J864"/>
  <c r="J863"/>
  <c r="J862"/>
  <c r="J861"/>
  <c r="J860"/>
  <c r="J859"/>
  <c r="J858"/>
  <c r="J857"/>
  <c r="J856"/>
  <c r="J855"/>
  <c r="J854"/>
  <c r="J853"/>
  <c r="J852"/>
  <c r="J851"/>
  <c r="J850"/>
  <c r="J849"/>
  <c r="J848"/>
  <c r="J847"/>
  <c r="J846"/>
  <c r="J845"/>
  <c r="J844"/>
  <c r="J843"/>
  <c r="J842"/>
  <c r="J841"/>
  <c r="J840"/>
  <c r="J839"/>
  <c r="J838"/>
  <c r="J837"/>
  <c r="J836"/>
  <c r="J835"/>
  <c r="J834"/>
  <c r="J833"/>
  <c r="J832"/>
  <c r="J831"/>
  <c r="J830"/>
  <c r="J829"/>
  <c r="J828"/>
  <c r="J827"/>
  <c r="J826"/>
  <c r="J825"/>
  <c r="J824"/>
  <c r="J823"/>
  <c r="J822"/>
  <c r="J821"/>
  <c r="J820"/>
  <c r="J819"/>
  <c r="J818"/>
  <c r="J817"/>
  <c r="J816"/>
  <c r="J815"/>
  <c r="J814"/>
  <c r="J813"/>
  <c r="J812"/>
  <c r="J811"/>
  <c r="J810"/>
  <c r="J809"/>
  <c r="J808"/>
  <c r="J807"/>
  <c r="J806"/>
  <c r="J805"/>
  <c r="J804"/>
  <c r="J803"/>
  <c r="J802"/>
  <c r="J801"/>
  <c r="J800"/>
  <c r="J799"/>
  <c r="J798"/>
  <c r="J797"/>
  <c r="J796"/>
  <c r="J795"/>
  <c r="J794"/>
  <c r="J793"/>
  <c r="J792"/>
  <c r="J791"/>
  <c r="J790"/>
  <c r="J789"/>
  <c r="J788"/>
  <c r="J787"/>
  <c r="J786"/>
  <c r="J785"/>
  <c r="J784"/>
  <c r="J783"/>
  <c r="J782"/>
  <c r="J781"/>
  <c r="J780"/>
  <c r="J779"/>
  <c r="J778"/>
  <c r="J777"/>
  <c r="J776"/>
  <c r="J775"/>
  <c r="J774"/>
  <c r="J773"/>
  <c r="J772"/>
  <c r="J771"/>
  <c r="J770"/>
  <c r="J769"/>
  <c r="J768"/>
  <c r="J767"/>
  <c r="J766"/>
  <c r="J765"/>
  <c r="J764"/>
  <c r="J763"/>
  <c r="J762"/>
  <c r="J761"/>
  <c r="J760"/>
  <c r="J759"/>
  <c r="J758"/>
  <c r="J757"/>
  <c r="J756"/>
  <c r="J755"/>
  <c r="J754"/>
  <c r="J753"/>
  <c r="J752"/>
  <c r="J751"/>
  <c r="J750"/>
  <c r="J749"/>
  <c r="J748"/>
  <c r="J747"/>
  <c r="J746"/>
  <c r="J745"/>
  <c r="J744"/>
  <c r="J743"/>
  <c r="J742"/>
  <c r="J741"/>
  <c r="J740"/>
  <c r="J739"/>
  <c r="J738"/>
  <c r="J737"/>
  <c r="J736"/>
  <c r="J735"/>
  <c r="J734"/>
  <c r="J733"/>
  <c r="J732"/>
  <c r="J731"/>
  <c r="J730"/>
  <c r="J729"/>
  <c r="J728"/>
  <c r="J727"/>
  <c r="J726"/>
  <c r="J725"/>
  <c r="J724"/>
  <c r="J723"/>
  <c r="J722"/>
  <c r="J721"/>
  <c r="J720"/>
  <c r="J719"/>
  <c r="J718"/>
  <c r="J717"/>
  <c r="J716"/>
  <c r="J715"/>
  <c r="J714"/>
  <c r="J713"/>
  <c r="J712"/>
  <c r="J711"/>
  <c r="J710"/>
  <c r="J709"/>
  <c r="J708"/>
  <c r="J707"/>
  <c r="J706"/>
  <c r="J705"/>
  <c r="J704"/>
  <c r="J703"/>
  <c r="J702"/>
  <c r="J701"/>
  <c r="J700"/>
  <c r="J699"/>
  <c r="J698"/>
  <c r="J697"/>
  <c r="J696"/>
  <c r="J695"/>
  <c r="J694"/>
  <c r="J693"/>
  <c r="J692"/>
  <c r="J691"/>
  <c r="J690"/>
  <c r="J689"/>
  <c r="J688"/>
  <c r="J687"/>
  <c r="J686"/>
  <c r="J685"/>
  <c r="J684"/>
  <c r="J683"/>
  <c r="J682"/>
  <c r="J681"/>
  <c r="J680"/>
  <c r="J679"/>
  <c r="J678"/>
  <c r="J677"/>
  <c r="J676"/>
  <c r="J675"/>
  <c r="J674"/>
  <c r="J673"/>
  <c r="J672"/>
  <c r="J671"/>
  <c r="J670"/>
  <c r="J669"/>
  <c r="J668"/>
  <c r="J667"/>
  <c r="J666"/>
  <c r="J665"/>
  <c r="J664"/>
  <c r="J663"/>
  <c r="J662"/>
  <c r="J661"/>
  <c r="J660"/>
  <c r="J659"/>
  <c r="J658"/>
  <c r="J657"/>
  <c r="J656"/>
  <c r="J655"/>
  <c r="J654"/>
  <c r="J653"/>
  <c r="J652"/>
  <c r="J651"/>
  <c r="J650"/>
  <c r="J649"/>
  <c r="J648"/>
  <c r="J647"/>
  <c r="J646"/>
  <c r="J645"/>
  <c r="J644"/>
  <c r="J643"/>
  <c r="J642"/>
  <c r="J641"/>
  <c r="J640"/>
  <c r="J639"/>
  <c r="J638"/>
  <c r="J637"/>
  <c r="J636"/>
  <c r="J635"/>
  <c r="J634"/>
  <c r="J633"/>
  <c r="J632"/>
  <c r="J631"/>
  <c r="J630"/>
  <c r="J629"/>
  <c r="J628"/>
  <c r="J627"/>
  <c r="J626"/>
  <c r="J625"/>
  <c r="J624"/>
  <c r="J623"/>
  <c r="J622"/>
  <c r="J621"/>
  <c r="J620"/>
  <c r="J619"/>
  <c r="J618"/>
  <c r="J617"/>
  <c r="J616"/>
  <c r="J615"/>
  <c r="J614"/>
  <c r="J613"/>
  <c r="J612"/>
  <c r="J611"/>
  <c r="J610"/>
  <c r="J609"/>
  <c r="J608"/>
  <c r="J607"/>
  <c r="J606"/>
  <c r="J605"/>
  <c r="J604"/>
  <c r="J603"/>
  <c r="J602"/>
  <c r="J601"/>
  <c r="J600"/>
  <c r="J599"/>
  <c r="J598"/>
  <c r="J597"/>
  <c r="J596"/>
  <c r="J595"/>
  <c r="J594"/>
  <c r="J593"/>
  <c r="J592"/>
  <c r="J591"/>
  <c r="J590"/>
  <c r="J589"/>
  <c r="J588"/>
  <c r="J587"/>
  <c r="J586"/>
  <c r="J585"/>
  <c r="J584"/>
  <c r="J583"/>
  <c r="J582"/>
  <c r="J581"/>
  <c r="J580"/>
  <c r="J579"/>
  <c r="J578"/>
  <c r="J577"/>
  <c r="J576"/>
  <c r="J575"/>
  <c r="J574"/>
  <c r="J573"/>
  <c r="J572"/>
  <c r="J571"/>
  <c r="J570"/>
  <c r="J569"/>
  <c r="J568"/>
  <c r="J567"/>
  <c r="J566"/>
  <c r="J565"/>
  <c r="J564"/>
  <c r="J563"/>
  <c r="J562"/>
  <c r="J561"/>
  <c r="J560"/>
  <c r="J559"/>
  <c r="J558"/>
  <c r="J557"/>
  <c r="J556"/>
  <c r="J555"/>
  <c r="J554"/>
  <c r="J553"/>
  <c r="J552"/>
  <c r="J551"/>
  <c r="J550"/>
  <c r="J549"/>
  <c r="J548"/>
  <c r="J547"/>
  <c r="J546"/>
  <c r="J545"/>
  <c r="J544"/>
  <c r="J543"/>
  <c r="J542"/>
  <c r="J541"/>
  <c r="J540"/>
  <c r="J539"/>
  <c r="J538"/>
  <c r="J537"/>
  <c r="J536"/>
  <c r="J535"/>
  <c r="J534"/>
  <c r="J533"/>
  <c r="J532"/>
  <c r="J531"/>
  <c r="J530"/>
  <c r="J529"/>
  <c r="J528"/>
  <c r="J527"/>
  <c r="J526"/>
  <c r="J525"/>
  <c r="J524"/>
  <c r="J523"/>
  <c r="J522"/>
  <c r="J521"/>
  <c r="J520"/>
  <c r="J519"/>
  <c r="J518"/>
  <c r="J517"/>
  <c r="J516"/>
  <c r="J515"/>
  <c r="J514"/>
  <c r="J513"/>
  <c r="J512"/>
  <c r="J511"/>
  <c r="J510"/>
  <c r="J509"/>
  <c r="J508"/>
  <c r="J507"/>
  <c r="J506"/>
  <c r="J505"/>
  <c r="J504"/>
  <c r="J503"/>
  <c r="J502"/>
  <c r="J501"/>
  <c r="J500"/>
  <c r="J499"/>
  <c r="J498"/>
  <c r="J497"/>
  <c r="J496"/>
  <c r="J495"/>
  <c r="J494"/>
  <c r="J493"/>
  <c r="J492"/>
  <c r="J491"/>
  <c r="J490"/>
  <c r="J489"/>
  <c r="J488"/>
  <c r="J487"/>
  <c r="J486"/>
  <c r="J485"/>
  <c r="J484"/>
  <c r="J483"/>
  <c r="J482"/>
  <c r="J481"/>
  <c r="J480"/>
  <c r="J479"/>
  <c r="J478"/>
  <c r="J477"/>
  <c r="J476"/>
  <c r="J475"/>
  <c r="J474"/>
  <c r="J473"/>
  <c r="J472"/>
  <c r="J471"/>
  <c r="J470"/>
  <c r="J469"/>
  <c r="J468"/>
  <c r="J467"/>
  <c r="J466"/>
  <c r="J465"/>
  <c r="J464"/>
  <c r="J463"/>
  <c r="J462"/>
  <c r="J461"/>
  <c r="J460"/>
  <c r="J459"/>
  <c r="J458"/>
  <c r="J457"/>
  <c r="J456"/>
  <c r="J455"/>
  <c r="J454"/>
  <c r="J453"/>
  <c r="J452"/>
  <c r="J451"/>
  <c r="J450"/>
  <c r="J449"/>
  <c r="J448"/>
  <c r="J447"/>
  <c r="J446"/>
  <c r="J445"/>
  <c r="J444"/>
  <c r="J443"/>
  <c r="J442"/>
  <c r="J441"/>
  <c r="J440"/>
  <c r="J439"/>
  <c r="J438"/>
  <c r="J437"/>
  <c r="J436"/>
  <c r="J435"/>
  <c r="J434"/>
  <c r="J433"/>
  <c r="J432"/>
  <c r="J431"/>
  <c r="J430"/>
  <c r="J429"/>
  <c r="J428"/>
  <c r="J427"/>
  <c r="J426"/>
  <c r="J425"/>
  <c r="J424"/>
  <c r="J423"/>
  <c r="J422"/>
  <c r="J421"/>
  <c r="J420"/>
  <c r="J419"/>
  <c r="J418"/>
  <c r="J417"/>
  <c r="J416"/>
  <c r="J415"/>
  <c r="J414"/>
  <c r="J413"/>
  <c r="J412"/>
  <c r="J411"/>
  <c r="J410"/>
  <c r="J409"/>
  <c r="J408"/>
  <c r="J407"/>
  <c r="J406"/>
  <c r="J405"/>
  <c r="J404"/>
  <c r="J403"/>
  <c r="J402"/>
  <c r="J401"/>
  <c r="J400"/>
  <c r="J399"/>
  <c r="J398"/>
  <c r="J397"/>
  <c r="J396"/>
  <c r="J395"/>
  <c r="J394"/>
  <c r="J393"/>
  <c r="J392"/>
  <c r="J391"/>
  <c r="J390"/>
  <c r="J389"/>
  <c r="J388"/>
  <c r="J387"/>
  <c r="J386"/>
  <c r="J385"/>
  <c r="J384"/>
  <c r="J383"/>
  <c r="J382"/>
  <c r="J381"/>
  <c r="J380"/>
  <c r="J379"/>
  <c r="J378"/>
  <c r="J377"/>
  <c r="J376"/>
  <c r="J375"/>
  <c r="J374"/>
  <c r="J373"/>
  <c r="J372"/>
  <c r="J371"/>
  <c r="J370"/>
  <c r="J369"/>
  <c r="J368"/>
  <c r="J367"/>
  <c r="J366"/>
  <c r="J365"/>
  <c r="J364"/>
  <c r="J363"/>
  <c r="J362"/>
  <c r="J361"/>
  <c r="J360"/>
  <c r="J359"/>
  <c r="J358"/>
  <c r="J357"/>
  <c r="J356"/>
  <c r="J355"/>
  <c r="J354"/>
  <c r="J353"/>
  <c r="J352"/>
  <c r="J351"/>
  <c r="J350"/>
  <c r="J349"/>
  <c r="J348"/>
  <c r="J347"/>
  <c r="J346"/>
  <c r="J345"/>
  <c r="J344"/>
  <c r="J343"/>
  <c r="J342"/>
  <c r="J341"/>
  <c r="J340"/>
  <c r="J339"/>
  <c r="J338"/>
  <c r="J337"/>
  <c r="J336"/>
  <c r="J335"/>
  <c r="J334"/>
  <c r="J333"/>
  <c r="J332"/>
  <c r="J331"/>
  <c r="J330"/>
  <c r="J329"/>
  <c r="J328"/>
  <c r="J327"/>
  <c r="J326"/>
  <c r="J325"/>
  <c r="J324"/>
  <c r="J323"/>
  <c r="J322"/>
  <c r="J321"/>
  <c r="J320"/>
  <c r="J319"/>
  <c r="J318"/>
  <c r="J317"/>
  <c r="J316"/>
  <c r="J315"/>
  <c r="J314"/>
  <c r="J313"/>
  <c r="J312"/>
  <c r="J311"/>
  <c r="J310"/>
  <c r="J309"/>
  <c r="J308"/>
  <c r="J307"/>
  <c r="J306"/>
  <c r="J305"/>
  <c r="J304"/>
  <c r="J303"/>
  <c r="J302"/>
  <c r="J301"/>
  <c r="J300"/>
  <c r="J299"/>
  <c r="J298"/>
  <c r="J297"/>
  <c r="J296"/>
  <c r="J295"/>
  <c r="J294"/>
  <c r="J293"/>
  <c r="J292"/>
  <c r="J291"/>
  <c r="J290"/>
  <c r="J289"/>
  <c r="J288"/>
  <c r="J287"/>
  <c r="J286"/>
  <c r="J285"/>
  <c r="J284"/>
  <c r="J283"/>
  <c r="J282"/>
  <c r="J281"/>
  <c r="J280"/>
  <c r="J279"/>
  <c r="J278"/>
  <c r="J277"/>
  <c r="J276"/>
  <c r="J275"/>
  <c r="J274"/>
  <c r="J273"/>
  <c r="J272"/>
  <c r="J271"/>
  <c r="J270"/>
  <c r="J269"/>
  <c r="J268"/>
  <c r="J267"/>
  <c r="J266"/>
  <c r="J265"/>
  <c r="J264"/>
  <c r="J263"/>
  <c r="J262"/>
  <c r="J261"/>
  <c r="J260"/>
  <c r="J259"/>
  <c r="J258"/>
  <c r="J257"/>
  <c r="J256"/>
  <c r="J255"/>
  <c r="J254"/>
  <c r="J253"/>
  <c r="J252"/>
  <c r="J251"/>
  <c r="J250"/>
  <c r="J249"/>
  <c r="J248"/>
  <c r="J247"/>
  <c r="J246"/>
  <c r="J245"/>
  <c r="J244"/>
  <c r="J243"/>
  <c r="J242"/>
  <c r="J241"/>
  <c r="J240"/>
  <c r="J239"/>
  <c r="J238"/>
  <c r="J237"/>
  <c r="J236"/>
  <c r="J235"/>
  <c r="J234"/>
  <c r="J233"/>
  <c r="J232"/>
  <c r="J231"/>
  <c r="J230"/>
  <c r="J229"/>
  <c r="J228"/>
  <c r="J227"/>
  <c r="J226"/>
  <c r="J225"/>
  <c r="J224"/>
  <c r="J223"/>
  <c r="J222"/>
  <c r="J221"/>
  <c r="J220"/>
  <c r="J219"/>
  <c r="J218"/>
  <c r="J217"/>
  <c r="J216"/>
  <c r="J215"/>
  <c r="J214"/>
  <c r="J213"/>
  <c r="J212"/>
  <c r="J211"/>
  <c r="J210"/>
  <c r="J209"/>
  <c r="J208"/>
  <c r="J207"/>
  <c r="J206"/>
  <c r="J205"/>
  <c r="J204"/>
  <c r="J203"/>
  <c r="J202"/>
  <c r="J201"/>
  <c r="J200"/>
  <c r="J199"/>
  <c r="J198"/>
  <c r="J197"/>
  <c r="J196"/>
  <c r="J195"/>
  <c r="J194"/>
  <c r="J193"/>
  <c r="J192"/>
  <c r="J191"/>
  <c r="J190"/>
  <c r="J189"/>
  <c r="J188"/>
  <c r="J187"/>
  <c r="J186"/>
  <c r="J185"/>
  <c r="J184"/>
  <c r="J183"/>
  <c r="J182"/>
  <c r="J181"/>
  <c r="J180"/>
  <c r="J179"/>
  <c r="J178"/>
  <c r="J177"/>
  <c r="J176"/>
  <c r="J175"/>
  <c r="J174"/>
  <c r="J173"/>
  <c r="J172"/>
  <c r="J171"/>
  <c r="J170"/>
  <c r="J169"/>
  <c r="J168"/>
  <c r="J167"/>
  <c r="J166"/>
  <c r="J165"/>
  <c r="J155"/>
  <c r="J154"/>
  <c r="J153"/>
  <c r="J152"/>
  <c r="J151"/>
  <c r="J150"/>
  <c r="J122"/>
  <c r="J121"/>
  <c r="J120"/>
  <c r="J119"/>
  <c r="J83"/>
  <c r="J75"/>
  <c r="J61"/>
  <c r="J59"/>
  <c r="J58"/>
  <c r="J57"/>
  <c r="J43"/>
  <c r="J40"/>
  <c r="J39"/>
  <c r="J38"/>
  <c r="J37"/>
  <c r="J15"/>
  <c r="J10"/>
  <c r="J9"/>
  <c r="J5"/>
  <c r="J4"/>
  <c r="J3"/>
  <c r="J2"/>
  <c r="J3" i="1"/>
  <c r="J4"/>
  <c r="J6"/>
  <c r="J9"/>
  <c r="J10"/>
  <c r="J15"/>
  <c r="J16"/>
  <c r="J18"/>
  <c r="J19"/>
  <c r="J26"/>
  <c r="J27"/>
  <c r="J39"/>
  <c r="J40"/>
  <c r="J43"/>
  <c r="J47"/>
  <c r="J48"/>
  <c r="J49"/>
  <c r="J54"/>
  <c r="J63"/>
  <c r="J65"/>
  <c r="J66"/>
  <c r="J67"/>
  <c r="J69"/>
  <c r="J70"/>
  <c r="J73"/>
  <c r="J74"/>
  <c r="J75"/>
  <c r="J79"/>
  <c r="J80"/>
  <c r="J81"/>
  <c r="J82"/>
  <c r="J89"/>
  <c r="J90"/>
  <c r="J94"/>
  <c r="J95"/>
  <c r="J99"/>
  <c r="J100"/>
  <c r="J101"/>
  <c r="J102"/>
  <c r="J103"/>
  <c r="J114"/>
  <c r="J115"/>
  <c r="J119"/>
  <c r="J120"/>
  <c r="J127"/>
  <c r="J128"/>
  <c r="J138"/>
  <c r="J146"/>
  <c r="J147"/>
  <c r="J148"/>
  <c r="J149"/>
  <c r="J150"/>
  <c r="J151"/>
  <c r="J152"/>
  <c r="J153"/>
  <c r="J154"/>
  <c r="J155"/>
  <c r="J156"/>
  <c r="J158"/>
  <c r="J159"/>
  <c r="J184"/>
  <c r="J185"/>
  <c r="J186"/>
  <c r="J187"/>
  <c r="J188"/>
  <c r="J189"/>
  <c r="J190"/>
  <c r="J191"/>
  <c r="J192"/>
  <c r="J193"/>
  <c r="J194"/>
  <c r="J195"/>
  <c r="J196"/>
  <c r="J197"/>
  <c r="J198"/>
  <c r="J199"/>
  <c r="J200"/>
  <c r="J201"/>
  <c r="J202"/>
  <c r="J203"/>
  <c r="J204"/>
  <c r="J205"/>
  <c r="J206"/>
  <c r="J207"/>
  <c r="J208"/>
  <c r="J209"/>
  <c r="J210"/>
  <c r="J211"/>
  <c r="J212"/>
  <c r="J213"/>
  <c r="J214"/>
  <c r="J215"/>
  <c r="J216"/>
  <c r="J217"/>
  <c r="J218"/>
  <c r="J219"/>
  <c r="J220"/>
  <c r="J221"/>
  <c r="J222"/>
  <c r="J223"/>
  <c r="J224"/>
  <c r="J225"/>
  <c r="J226"/>
  <c r="J227"/>
  <c r="J228"/>
  <c r="J229"/>
  <c r="J230"/>
  <c r="J231"/>
  <c r="J232"/>
  <c r="J233"/>
  <c r="J234"/>
  <c r="J235"/>
  <c r="J236"/>
  <c r="J237"/>
  <c r="J238"/>
  <c r="J239"/>
  <c r="J240"/>
  <c r="J241"/>
  <c r="J242"/>
  <c r="J243"/>
  <c r="J244"/>
  <c r="J245"/>
  <c r="J246"/>
  <c r="J247"/>
  <c r="J248"/>
  <c r="J249"/>
  <c r="J250"/>
  <c r="J251"/>
  <c r="J252"/>
  <c r="J253"/>
  <c r="J254"/>
  <c r="J255"/>
  <c r="J256"/>
  <c r="J257"/>
  <c r="J258"/>
  <c r="J259"/>
  <c r="J260"/>
  <c r="J261"/>
  <c r="J262"/>
  <c r="J263"/>
  <c r="J264"/>
  <c r="J265"/>
  <c r="J266"/>
  <c r="J267"/>
  <c r="J268"/>
  <c r="J269"/>
  <c r="J270"/>
  <c r="J271"/>
  <c r="J272"/>
  <c r="J273"/>
  <c r="J274"/>
  <c r="J275"/>
  <c r="J276"/>
  <c r="J277"/>
  <c r="J278"/>
  <c r="J279"/>
  <c r="J280"/>
  <c r="J281"/>
  <c r="J282"/>
  <c r="J283"/>
  <c r="J284"/>
  <c r="J285"/>
  <c r="J286"/>
  <c r="J287"/>
  <c r="J288"/>
  <c r="J289"/>
  <c r="J290"/>
  <c r="J291"/>
  <c r="J292"/>
  <c r="J293"/>
  <c r="J294"/>
  <c r="J295"/>
  <c r="J296"/>
  <c r="J297"/>
  <c r="J298"/>
  <c r="J299"/>
  <c r="J300"/>
  <c r="J301"/>
  <c r="J302"/>
  <c r="J303"/>
  <c r="J304"/>
  <c r="J305"/>
  <c r="J306"/>
  <c r="J307"/>
  <c r="J308"/>
  <c r="J309"/>
  <c r="J310"/>
  <c r="J311"/>
  <c r="J312"/>
  <c r="J313"/>
  <c r="J314"/>
  <c r="J315"/>
  <c r="J316"/>
  <c r="J317"/>
  <c r="J318"/>
  <c r="J319"/>
  <c r="J320"/>
  <c r="J321"/>
  <c r="J322"/>
  <c r="J323"/>
  <c r="J324"/>
  <c r="J325"/>
  <c r="J326"/>
  <c r="J327"/>
  <c r="J328"/>
  <c r="J329"/>
  <c r="J330"/>
  <c r="J331"/>
  <c r="J332"/>
  <c r="J333"/>
  <c r="J334"/>
  <c r="J335"/>
  <c r="J336"/>
  <c r="J337"/>
  <c r="J338"/>
  <c r="J339"/>
  <c r="J340"/>
  <c r="J341"/>
  <c r="J342"/>
  <c r="J343"/>
  <c r="J344"/>
  <c r="J345"/>
  <c r="J346"/>
  <c r="J347"/>
  <c r="J348"/>
  <c r="J349"/>
  <c r="J350"/>
  <c r="J351"/>
  <c r="J352"/>
  <c r="J353"/>
  <c r="J354"/>
  <c r="J355"/>
  <c r="J356"/>
  <c r="J357"/>
  <c r="J358"/>
  <c r="J359"/>
  <c r="J360"/>
  <c r="J361"/>
  <c r="J362"/>
  <c r="J363"/>
  <c r="J364"/>
  <c r="J365"/>
  <c r="J366"/>
  <c r="J367"/>
  <c r="J368"/>
  <c r="J369"/>
  <c r="J370"/>
  <c r="J371"/>
  <c r="J372"/>
  <c r="J373"/>
  <c r="J374"/>
  <c r="J375"/>
  <c r="J376"/>
  <c r="J377"/>
  <c r="J378"/>
  <c r="J379"/>
  <c r="J380"/>
  <c r="J381"/>
  <c r="J382"/>
  <c r="J383"/>
  <c r="J384"/>
  <c r="J385"/>
  <c r="J386"/>
  <c r="J387"/>
  <c r="J388"/>
  <c r="J389"/>
  <c r="J390"/>
  <c r="J391"/>
  <c r="J392"/>
  <c r="J393"/>
  <c r="J394"/>
  <c r="J395"/>
  <c r="J396"/>
  <c r="J397"/>
  <c r="J398"/>
  <c r="J399"/>
  <c r="J400"/>
  <c r="J401"/>
  <c r="J402"/>
  <c r="J403"/>
  <c r="J404"/>
  <c r="J405"/>
  <c r="J406"/>
  <c r="J407"/>
  <c r="J408"/>
  <c r="J409"/>
  <c r="J410"/>
  <c r="J411"/>
  <c r="J412"/>
  <c r="J413"/>
  <c r="J414"/>
  <c r="J415"/>
  <c r="J416"/>
  <c r="J417"/>
  <c r="J418"/>
  <c r="J419"/>
  <c r="J420"/>
  <c r="J421"/>
  <c r="J422"/>
  <c r="J423"/>
  <c r="J424"/>
  <c r="J425"/>
  <c r="J426"/>
  <c r="J427"/>
  <c r="J428"/>
  <c r="J429"/>
  <c r="J430"/>
  <c r="J431"/>
  <c r="J432"/>
  <c r="J433"/>
  <c r="J434"/>
  <c r="J435"/>
  <c r="J436"/>
  <c r="J437"/>
  <c r="J438"/>
  <c r="J439"/>
  <c r="J440"/>
  <c r="J441"/>
  <c r="J442"/>
  <c r="J443"/>
  <c r="J444"/>
  <c r="J445"/>
  <c r="J446"/>
  <c r="J447"/>
  <c r="J448"/>
  <c r="J449"/>
  <c r="J450"/>
  <c r="J451"/>
  <c r="J452"/>
  <c r="J453"/>
  <c r="J454"/>
  <c r="J455"/>
  <c r="J456"/>
  <c r="J457"/>
  <c r="J458"/>
  <c r="J459"/>
  <c r="J460"/>
  <c r="J461"/>
  <c r="J462"/>
  <c r="J463"/>
  <c r="J464"/>
  <c r="J465"/>
  <c r="J466"/>
  <c r="J467"/>
  <c r="J468"/>
  <c r="J469"/>
  <c r="J470"/>
  <c r="J471"/>
  <c r="J472"/>
  <c r="J473"/>
  <c r="J474"/>
  <c r="J475"/>
  <c r="J476"/>
  <c r="J477"/>
  <c r="J478"/>
  <c r="J479"/>
  <c r="J480"/>
  <c r="J481"/>
  <c r="J482"/>
  <c r="J483"/>
  <c r="J484"/>
  <c r="J485"/>
  <c r="J486"/>
  <c r="J487"/>
  <c r="J488"/>
  <c r="J489"/>
  <c r="J490"/>
  <c r="J491"/>
  <c r="J492"/>
  <c r="J493"/>
  <c r="J494"/>
  <c r="J495"/>
  <c r="J496"/>
  <c r="J497"/>
  <c r="J498"/>
  <c r="J499"/>
  <c r="J500"/>
  <c r="J501"/>
  <c r="J502"/>
  <c r="J503"/>
  <c r="J504"/>
  <c r="J505"/>
  <c r="J506"/>
  <c r="J507"/>
  <c r="J508"/>
  <c r="J509"/>
  <c r="J510"/>
  <c r="J511"/>
  <c r="J512"/>
  <c r="J513"/>
  <c r="J514"/>
  <c r="J515"/>
  <c r="J516"/>
  <c r="J517"/>
  <c r="J518"/>
  <c r="J519"/>
  <c r="J520"/>
  <c r="J521"/>
  <c r="J522"/>
  <c r="J523"/>
  <c r="J524"/>
  <c r="J525"/>
  <c r="J526"/>
  <c r="J527"/>
  <c r="J528"/>
  <c r="J529"/>
  <c r="J530"/>
  <c r="J531"/>
  <c r="J532"/>
  <c r="J533"/>
  <c r="J534"/>
  <c r="J535"/>
  <c r="J536"/>
  <c r="J537"/>
  <c r="J538"/>
  <c r="J539"/>
  <c r="J540"/>
  <c r="J541"/>
  <c r="J542"/>
  <c r="J543"/>
  <c r="J544"/>
  <c r="J545"/>
  <c r="J546"/>
  <c r="J547"/>
  <c r="J548"/>
  <c r="J549"/>
  <c r="J550"/>
  <c r="J551"/>
  <c r="J552"/>
  <c r="J553"/>
  <c r="J554"/>
  <c r="J555"/>
  <c r="J556"/>
  <c r="J557"/>
  <c r="J558"/>
  <c r="J559"/>
  <c r="J560"/>
  <c r="J561"/>
  <c r="J562"/>
  <c r="J563"/>
  <c r="J564"/>
  <c r="J565"/>
  <c r="J566"/>
  <c r="J567"/>
  <c r="J568"/>
  <c r="J569"/>
  <c r="J570"/>
  <c r="J571"/>
  <c r="J572"/>
  <c r="J573"/>
  <c r="J574"/>
  <c r="J575"/>
  <c r="J576"/>
  <c r="J577"/>
  <c r="J578"/>
  <c r="J579"/>
  <c r="J580"/>
  <c r="J581"/>
  <c r="J582"/>
  <c r="J583"/>
  <c r="J584"/>
  <c r="J585"/>
  <c r="J586"/>
  <c r="J587"/>
  <c r="J588"/>
  <c r="J589"/>
  <c r="J590"/>
  <c r="J591"/>
  <c r="J592"/>
  <c r="J593"/>
  <c r="J594"/>
  <c r="J595"/>
  <c r="J596"/>
  <c r="J597"/>
  <c r="J598"/>
  <c r="J599"/>
  <c r="J600"/>
  <c r="J601"/>
  <c r="J602"/>
  <c r="J603"/>
  <c r="J604"/>
  <c r="J605"/>
  <c r="J606"/>
  <c r="J607"/>
  <c r="J608"/>
  <c r="J609"/>
  <c r="J610"/>
  <c r="J611"/>
  <c r="J612"/>
  <c r="J613"/>
  <c r="J614"/>
  <c r="J615"/>
  <c r="J616"/>
  <c r="J617"/>
  <c r="J618"/>
  <c r="J619"/>
  <c r="J620"/>
  <c r="J621"/>
  <c r="J622"/>
  <c r="J623"/>
  <c r="J624"/>
  <c r="J625"/>
  <c r="J626"/>
  <c r="J627"/>
  <c r="J628"/>
  <c r="J629"/>
  <c r="J630"/>
  <c r="J631"/>
  <c r="J632"/>
  <c r="J633"/>
  <c r="J634"/>
  <c r="J635"/>
  <c r="J636"/>
  <c r="J637"/>
  <c r="J638"/>
  <c r="J639"/>
  <c r="J640"/>
  <c r="J641"/>
  <c r="J642"/>
  <c r="J643"/>
  <c r="J644"/>
  <c r="J645"/>
  <c r="J646"/>
  <c r="J647"/>
  <c r="J648"/>
  <c r="J649"/>
  <c r="J650"/>
  <c r="J651"/>
  <c r="J652"/>
  <c r="J653"/>
  <c r="J654"/>
  <c r="J655"/>
  <c r="J656"/>
  <c r="J657"/>
  <c r="J658"/>
  <c r="J659"/>
  <c r="J660"/>
  <c r="J661"/>
  <c r="J662"/>
  <c r="J663"/>
  <c r="J664"/>
  <c r="J665"/>
  <c r="J666"/>
  <c r="J667"/>
  <c r="J668"/>
  <c r="J669"/>
  <c r="J670"/>
  <c r="J671"/>
  <c r="J672"/>
  <c r="J673"/>
  <c r="J674"/>
  <c r="J675"/>
  <c r="J676"/>
  <c r="J677"/>
  <c r="J678"/>
  <c r="J679"/>
  <c r="J680"/>
  <c r="J681"/>
  <c r="J682"/>
  <c r="J683"/>
  <c r="J684"/>
  <c r="J685"/>
  <c r="J686"/>
  <c r="J687"/>
  <c r="J688"/>
  <c r="J689"/>
  <c r="J690"/>
  <c r="J691"/>
  <c r="J692"/>
  <c r="J693"/>
  <c r="J694"/>
  <c r="J695"/>
  <c r="J696"/>
  <c r="J697"/>
  <c r="J698"/>
  <c r="J699"/>
  <c r="J700"/>
  <c r="J701"/>
  <c r="J702"/>
  <c r="J703"/>
  <c r="J704"/>
  <c r="J705"/>
  <c r="J706"/>
  <c r="J707"/>
  <c r="J708"/>
  <c r="J709"/>
  <c r="J710"/>
  <c r="J711"/>
  <c r="J712"/>
  <c r="J713"/>
  <c r="J714"/>
  <c r="J715"/>
  <c r="J716"/>
  <c r="J717"/>
  <c r="J718"/>
  <c r="J719"/>
  <c r="J720"/>
  <c r="J721"/>
  <c r="J722"/>
  <c r="J723"/>
  <c r="J724"/>
  <c r="J725"/>
  <c r="J726"/>
  <c r="J727"/>
  <c r="J728"/>
  <c r="J729"/>
  <c r="J730"/>
  <c r="J731"/>
  <c r="J732"/>
  <c r="J733"/>
  <c r="J734"/>
  <c r="J735"/>
  <c r="J736"/>
  <c r="J737"/>
  <c r="J738"/>
  <c r="J739"/>
  <c r="J740"/>
  <c r="J741"/>
  <c r="J742"/>
  <c r="J743"/>
  <c r="J744"/>
  <c r="J745"/>
  <c r="J746"/>
  <c r="J747"/>
  <c r="J748"/>
  <c r="J749"/>
  <c r="J750"/>
  <c r="J751"/>
  <c r="J752"/>
  <c r="J753"/>
  <c r="J754"/>
  <c r="J755"/>
  <c r="J756"/>
  <c r="J757"/>
  <c r="J758"/>
  <c r="J759"/>
  <c r="J760"/>
  <c r="J761"/>
  <c r="J762"/>
  <c r="J763"/>
  <c r="J764"/>
  <c r="J765"/>
  <c r="J766"/>
  <c r="J767"/>
  <c r="J768"/>
  <c r="J769"/>
  <c r="J770"/>
  <c r="J771"/>
  <c r="J772"/>
  <c r="J773"/>
  <c r="J774"/>
  <c r="J775"/>
  <c r="J776"/>
  <c r="J777"/>
  <c r="J778"/>
  <c r="J779"/>
  <c r="J780"/>
  <c r="J781"/>
  <c r="J782"/>
  <c r="J783"/>
  <c r="J784"/>
  <c r="J785"/>
  <c r="J786"/>
  <c r="J787"/>
  <c r="J788"/>
  <c r="J789"/>
  <c r="J790"/>
  <c r="J791"/>
  <c r="J792"/>
  <c r="J793"/>
  <c r="J794"/>
  <c r="J795"/>
  <c r="J796"/>
  <c r="J797"/>
  <c r="J798"/>
  <c r="J799"/>
  <c r="J800"/>
  <c r="J801"/>
  <c r="J802"/>
  <c r="J803"/>
  <c r="J804"/>
  <c r="J805"/>
  <c r="J806"/>
  <c r="J807"/>
  <c r="J808"/>
  <c r="J809"/>
  <c r="J810"/>
  <c r="J811"/>
  <c r="J812"/>
  <c r="J813"/>
  <c r="J814"/>
  <c r="J815"/>
  <c r="J816"/>
  <c r="J817"/>
  <c r="J818"/>
  <c r="J819"/>
  <c r="J820"/>
  <c r="J821"/>
  <c r="J822"/>
  <c r="J823"/>
  <c r="J824"/>
  <c r="J825"/>
  <c r="J826"/>
  <c r="J827"/>
  <c r="J828"/>
  <c r="J829"/>
  <c r="J830"/>
  <c r="J831"/>
  <c r="J832"/>
  <c r="J833"/>
  <c r="J834"/>
  <c r="J835"/>
  <c r="J836"/>
  <c r="J837"/>
  <c r="J838"/>
  <c r="J839"/>
  <c r="J840"/>
  <c r="J841"/>
  <c r="J842"/>
  <c r="J843"/>
  <c r="J844"/>
  <c r="J845"/>
  <c r="J846"/>
  <c r="J847"/>
  <c r="J848"/>
  <c r="J849"/>
  <c r="J850"/>
  <c r="J851"/>
  <c r="J852"/>
  <c r="J853"/>
  <c r="J854"/>
  <c r="J855"/>
  <c r="J856"/>
  <c r="J857"/>
  <c r="J858"/>
  <c r="J859"/>
  <c r="J860"/>
  <c r="J861"/>
  <c r="J862"/>
  <c r="J863"/>
  <c r="J864"/>
  <c r="J865"/>
  <c r="J866"/>
  <c r="J867"/>
  <c r="J868"/>
  <c r="J869"/>
  <c r="J870"/>
  <c r="J871"/>
  <c r="J872"/>
  <c r="J873"/>
  <c r="J874"/>
  <c r="J875"/>
  <c r="J876"/>
  <c r="J877"/>
  <c r="J878"/>
  <c r="J879"/>
  <c r="J880"/>
  <c r="J881"/>
  <c r="J882"/>
  <c r="J883"/>
  <c r="J884"/>
  <c r="J885"/>
  <c r="J886"/>
  <c r="J887"/>
  <c r="J888"/>
  <c r="J889"/>
  <c r="J890"/>
  <c r="J891"/>
  <c r="J892"/>
  <c r="J893"/>
  <c r="J894"/>
  <c r="J895"/>
  <c r="J896"/>
  <c r="J897"/>
  <c r="J898"/>
  <c r="J899"/>
  <c r="J900"/>
  <c r="J901"/>
  <c r="J902"/>
  <c r="J903"/>
  <c r="J904"/>
  <c r="J905"/>
  <c r="J906"/>
  <c r="J907"/>
  <c r="J908"/>
  <c r="J909"/>
  <c r="J910"/>
  <c r="J911"/>
  <c r="J912"/>
  <c r="J913"/>
  <c r="J914"/>
  <c r="J915"/>
  <c r="J916"/>
  <c r="J917"/>
  <c r="J918"/>
  <c r="J919"/>
  <c r="J920"/>
  <c r="J921"/>
  <c r="J922"/>
  <c r="J923"/>
  <c r="J924"/>
  <c r="J925"/>
  <c r="J926"/>
  <c r="J927"/>
  <c r="J928"/>
  <c r="J929"/>
  <c r="J930"/>
  <c r="J931"/>
  <c r="J932"/>
  <c r="J933"/>
  <c r="J934"/>
  <c r="J935"/>
  <c r="J936"/>
  <c r="J937"/>
  <c r="J938"/>
  <c r="J939"/>
  <c r="J940"/>
  <c r="J941"/>
  <c r="J942"/>
  <c r="J943"/>
  <c r="J944"/>
  <c r="J945"/>
  <c r="J946"/>
  <c r="J947"/>
  <c r="J948"/>
  <c r="J949"/>
  <c r="J950"/>
  <c r="J951"/>
  <c r="J952"/>
  <c r="J953"/>
  <c r="J954"/>
  <c r="J955"/>
  <c r="J956"/>
  <c r="J957"/>
  <c r="J958"/>
  <c r="J959"/>
  <c r="J960"/>
  <c r="J961"/>
  <c r="J962"/>
  <c r="J963"/>
  <c r="J964"/>
  <c r="J965"/>
  <c r="J966"/>
  <c r="J967"/>
  <c r="J968"/>
  <c r="J969"/>
  <c r="J970"/>
  <c r="J971"/>
  <c r="J972"/>
  <c r="J973"/>
  <c r="J974"/>
  <c r="J975"/>
  <c r="J976"/>
  <c r="J977"/>
  <c r="J978"/>
  <c r="J979"/>
  <c r="J980"/>
  <c r="J981"/>
  <c r="J982"/>
  <c r="J983"/>
  <c r="J984"/>
  <c r="J985"/>
  <c r="J986"/>
  <c r="J987"/>
  <c r="J988"/>
  <c r="J989"/>
  <c r="J990"/>
  <c r="J991"/>
  <c r="J992"/>
  <c r="J993"/>
  <c r="J994"/>
  <c r="J995"/>
  <c r="J996"/>
  <c r="J997"/>
  <c r="J998"/>
  <c r="J999"/>
  <c r="J1000"/>
  <c r="J1001"/>
  <c r="J1002"/>
  <c r="J1003"/>
  <c r="J1004"/>
  <c r="J1005"/>
  <c r="J1006"/>
  <c r="J1007"/>
  <c r="J1008"/>
  <c r="J1009"/>
  <c r="J1010"/>
  <c r="J1011"/>
  <c r="J1012"/>
  <c r="J1013"/>
  <c r="J1014"/>
  <c r="J1015"/>
  <c r="J1016"/>
  <c r="J1017"/>
  <c r="J1018"/>
  <c r="J1019"/>
  <c r="J1020"/>
  <c r="J1021"/>
  <c r="J1022"/>
  <c r="J1023"/>
  <c r="J1024"/>
  <c r="J1025"/>
  <c r="J1026"/>
  <c r="J1027"/>
  <c r="J1028"/>
  <c r="J1029"/>
  <c r="J1030"/>
  <c r="J1031"/>
  <c r="J1032"/>
  <c r="J1033"/>
  <c r="J1034"/>
  <c r="J1035"/>
  <c r="J1036"/>
  <c r="J1037"/>
  <c r="J2"/>
</calcChain>
</file>

<file path=xl/comments1.xml><?xml version="1.0" encoding="utf-8"?>
<comments xmlns="http://schemas.openxmlformats.org/spreadsheetml/2006/main">
  <authors>
    <author>Auteur</author>
  </authors>
  <commentList>
    <comment ref="I90" authorId="0">
      <text>
        <r>
          <rPr>
            <b/>
            <sz val="9"/>
            <color indexed="81"/>
            <rFont val="Tahoma"/>
            <family val="2"/>
          </rPr>
          <t>Auteur:</t>
        </r>
        <r>
          <rPr>
            <sz val="9"/>
            <color indexed="81"/>
            <rFont val="Tahoma"/>
            <family val="2"/>
          </rPr>
          <t xml:space="preserve">
Incertain</t>
        </r>
      </text>
    </comment>
    <comment ref="I92" authorId="0">
      <text>
        <r>
          <rPr>
            <b/>
            <sz val="9"/>
            <color indexed="81"/>
            <rFont val="Tahoma"/>
            <family val="2"/>
          </rPr>
          <t>Auteur:</t>
        </r>
        <r>
          <rPr>
            <sz val="9"/>
            <color indexed="81"/>
            <rFont val="Tahoma"/>
            <family val="2"/>
          </rPr>
          <t xml:space="preserve">
Incertain</t>
        </r>
      </text>
    </comment>
  </commentList>
</comments>
</file>

<file path=xl/comments2.xml><?xml version="1.0" encoding="utf-8"?>
<comments xmlns="http://schemas.openxmlformats.org/spreadsheetml/2006/main">
  <authors>
    <author>Auteur</author>
  </authors>
  <commentList>
    <comment ref="E66" authorId="0">
      <text>
        <r>
          <rPr>
            <b/>
            <sz val="9"/>
            <color indexed="81"/>
            <rFont val="Tahoma"/>
            <family val="2"/>
          </rPr>
          <t>Auteur:</t>
        </r>
        <r>
          <rPr>
            <sz val="9"/>
            <color indexed="81"/>
            <rFont val="Tahoma"/>
            <family val="2"/>
          </rPr>
          <t xml:space="preserve">
Colza Gesse Fenugrec Lentille Vesce</t>
        </r>
      </text>
    </comment>
  </commentList>
</comments>
</file>

<file path=xl/comments3.xml><?xml version="1.0" encoding="utf-8"?>
<comments xmlns="http://schemas.openxmlformats.org/spreadsheetml/2006/main">
  <authors>
    <author>Auteur</author>
  </authors>
  <commentList>
    <comment ref="E54" authorId="0">
      <text>
        <r>
          <rPr>
            <b/>
            <sz val="9"/>
            <color indexed="81"/>
            <rFont val="Tahoma"/>
            <family val="2"/>
          </rPr>
          <t>Auteur:</t>
        </r>
        <r>
          <rPr>
            <sz val="9"/>
            <color indexed="81"/>
            <rFont val="Tahoma"/>
            <family val="2"/>
          </rPr>
          <t xml:space="preserve">
Colza Gesse Fenugrec Lentille Vesce</t>
        </r>
      </text>
    </comment>
    <comment ref="E63" authorId="0">
      <text>
        <r>
          <rPr>
            <b/>
            <sz val="9"/>
            <color indexed="81"/>
            <rFont val="Tahoma"/>
            <family val="2"/>
          </rPr>
          <t>Auteur:</t>
        </r>
        <r>
          <rPr>
            <sz val="9"/>
            <color indexed="81"/>
            <rFont val="Tahoma"/>
            <family val="2"/>
          </rPr>
          <t xml:space="preserve">
Colza Gesse Fenugrec Lentille Vesce Trèfle</t>
        </r>
      </text>
    </comment>
  </commentList>
</comments>
</file>

<file path=xl/comments4.xml><?xml version="1.0" encoding="utf-8"?>
<comments xmlns="http://schemas.openxmlformats.org/spreadsheetml/2006/main">
  <authors>
    <author>Auteur</author>
  </authors>
  <commentList>
    <comment ref="C19" authorId="0">
      <text>
        <r>
          <rPr>
            <b/>
            <sz val="9"/>
            <color indexed="81"/>
            <rFont val="Tahoma"/>
            <family val="2"/>
          </rPr>
          <t>Auteur:</t>
        </r>
        <r>
          <rPr>
            <sz val="9"/>
            <color indexed="81"/>
            <rFont val="Tahoma"/>
            <family val="2"/>
          </rPr>
          <t xml:space="preserve">
A valider</t>
        </r>
      </text>
    </comment>
  </commentList>
</comments>
</file>

<file path=xl/comments5.xml><?xml version="1.0" encoding="utf-8"?>
<comments xmlns="http://schemas.openxmlformats.org/spreadsheetml/2006/main">
  <authors>
    <author>Auteur</author>
  </authors>
  <commentList>
    <comment ref="C10" authorId="0">
      <text>
        <r>
          <rPr>
            <b/>
            <sz val="9"/>
            <color indexed="81"/>
            <rFont val="Tahoma"/>
            <family val="2"/>
          </rPr>
          <t>Auteur:</t>
        </r>
        <r>
          <rPr>
            <sz val="9"/>
            <color indexed="81"/>
            <rFont val="Tahoma"/>
            <family val="2"/>
          </rPr>
          <t xml:space="preserve">
Doublon</t>
        </r>
      </text>
    </comment>
    <comment ref="M10" authorId="0">
      <text>
        <r>
          <rPr>
            <b/>
            <sz val="9"/>
            <color indexed="81"/>
            <rFont val="Tahoma"/>
            <family val="2"/>
          </rPr>
          <t>Auteur:</t>
        </r>
        <r>
          <rPr>
            <sz val="9"/>
            <color indexed="81"/>
            <rFont val="Tahoma"/>
            <family val="2"/>
          </rPr>
          <t xml:space="preserve">
Doublon</t>
        </r>
      </text>
    </comment>
  </commentList>
</comments>
</file>

<file path=xl/sharedStrings.xml><?xml version="1.0" encoding="utf-8"?>
<sst xmlns="http://schemas.openxmlformats.org/spreadsheetml/2006/main" count="10882" uniqueCount="1063">
  <si>
    <t>Année</t>
  </si>
  <si>
    <t>Type d'opération</t>
  </si>
  <si>
    <t>Récolte</t>
  </si>
  <si>
    <t>Date</t>
  </si>
  <si>
    <t>Type_1</t>
  </si>
  <si>
    <t>Quantité_1</t>
  </si>
  <si>
    <t>Unité_1</t>
  </si>
  <si>
    <t>% concerné_1</t>
  </si>
  <si>
    <t>% concerné_2</t>
  </si>
  <si>
    <t>Type_2</t>
  </si>
  <si>
    <t>Quantité_2</t>
  </si>
  <si>
    <t>Unité_2</t>
  </si>
  <si>
    <t>% concerné_3</t>
  </si>
  <si>
    <t>% concerné_4</t>
  </si>
  <si>
    <t>Type_3</t>
  </si>
  <si>
    <t>Quantité_3</t>
  </si>
  <si>
    <t>Unité_3</t>
  </si>
  <si>
    <t>% concerné_5</t>
  </si>
  <si>
    <t>Type_4</t>
  </si>
  <si>
    <t>Quantité_4</t>
  </si>
  <si>
    <t>Unité_4</t>
  </si>
  <si>
    <t>Type_5</t>
  </si>
  <si>
    <t>Quantité_5</t>
  </si>
  <si>
    <t>Unité_5</t>
  </si>
  <si>
    <t>Autre</t>
  </si>
  <si>
    <t>_Néant</t>
  </si>
  <si>
    <t>Labour 8 corps</t>
  </si>
  <si>
    <t>Faucheuse double (2015)</t>
  </si>
  <si>
    <t>Andaineur R(2016)</t>
  </si>
  <si>
    <t>Semoir DP9</t>
  </si>
  <si>
    <t>Semoir Semeato</t>
  </si>
  <si>
    <t>Dechaumage Terrano (Moignier) (comme chizel)</t>
  </si>
  <si>
    <t>Herse étrille tract 100 ch</t>
  </si>
  <si>
    <t>Enrubannage</t>
  </si>
  <si>
    <t>Bineuse</t>
  </si>
  <si>
    <t>Lisier VALMAT pendillart</t>
  </si>
  <si>
    <t>Autochargeuse</t>
  </si>
  <si>
    <t>Carrier</t>
  </si>
  <si>
    <t>Herse rotative 4m – tract 130 ch</t>
  </si>
  <si>
    <t>Mélange distribution 12 m3 – tract 80 ch</t>
  </si>
  <si>
    <t>Curage fumier - télescopique 100 ch</t>
  </si>
  <si>
    <t>Voyage moissonneuse 260 ch</t>
  </si>
  <si>
    <t>Voyage tracteur 180 ch</t>
  </si>
  <si>
    <t>Voyage tracteur 160 ch</t>
  </si>
  <si>
    <t>Voyage tracteur 130 ch</t>
  </si>
  <si>
    <t>Voyage tracteur 100 ch</t>
  </si>
  <si>
    <t>Voyage tracteur 70 ch</t>
  </si>
  <si>
    <t>Transport benne 16 18t – tract 130 ch</t>
  </si>
  <si>
    <t>Broyage 3,6m – tract 130 ch</t>
  </si>
  <si>
    <t>Ramassage fourrage sec – télescopique 100 ch</t>
  </si>
  <si>
    <t>Ensilage – ensileuse 400 ch</t>
  </si>
  <si>
    <t>Pressage carré (big ball) 1,2 x 1,2 – tract 160 ch</t>
  </si>
  <si>
    <t>Fanage 6m – tract 75 ch</t>
  </si>
  <si>
    <t>Fauche condi 2,5 m – tract 130 ch</t>
  </si>
  <si>
    <t>Fauche latérale 2 m – tract 75 ch</t>
  </si>
  <si>
    <t>Moisson – moissonneuse 260 ch</t>
  </si>
  <si>
    <t>Crosskillettes roulage 6m – tract 130 ch</t>
  </si>
  <si>
    <t>Vibroculteur 6m – tract 130 ch</t>
  </si>
  <si>
    <t>Cultivateur bonnel 4,5m – tract 130 ch</t>
  </si>
  <si>
    <t>Décompactage 5 dents – tract 160 ch</t>
  </si>
  <si>
    <t>Roulage 9m – tract 130 ch</t>
  </si>
  <si>
    <t>Semis maïs 6rg – tract 70 ch</t>
  </si>
  <si>
    <t>Labour 4 corps – tract 130 ch</t>
  </si>
  <si>
    <t>Labour 5 corps – tract 130 ch</t>
  </si>
  <si>
    <t>Traitement phyto - Pulve  3400 litres</t>
  </si>
  <si>
    <t>ép. Lisier tonne 10 000 litres – tract 120 ch</t>
  </si>
  <si>
    <t>ép. Fumier 10 tonnes – tract 120 ch</t>
  </si>
  <si>
    <t>ép. Engrais_min_liquide – Pulve 3400 litres</t>
  </si>
  <si>
    <t>ép. engrais_min_solide 24m – tract 130 ch</t>
  </si>
  <si>
    <t>Passage du chizel</t>
  </si>
  <si>
    <t>ha</t>
  </si>
  <si>
    <t>Km</t>
  </si>
  <si>
    <t>Andainage (faneuse 6,5m) – tract 100 ch</t>
  </si>
  <si>
    <t>Broyage 1,6m (2,5m) – tract 75 ch</t>
  </si>
  <si>
    <t>Pressage ronde 1,2 x 1,5 (1,6) – tract 130 ch</t>
  </si>
  <si>
    <t>Semis comb. Semoir/Herse rotative/Tasse avant(rouleau) 4m – tract 160 ch</t>
  </si>
  <si>
    <t>Semis comb. Semoir/Herse rotative/Tasse avant(rouleau) 3m – tract 110 ch</t>
  </si>
  <si>
    <t>Dechaumage (cover crop 36 disques) – tract 130 ch</t>
  </si>
  <si>
    <t>Dechaumage chizel (cultivateur 4,5m) – tract 180 ch</t>
  </si>
  <si>
    <t>Transport plateaux 7 9 11 m (10t) – tract 130 ch</t>
  </si>
  <si>
    <t>t/ha</t>
  </si>
  <si>
    <t>m3/ha</t>
  </si>
  <si>
    <t>Listes des grandes opérations</t>
  </si>
  <si>
    <t>OC_Travail</t>
  </si>
  <si>
    <t>OC_Semis</t>
  </si>
  <si>
    <t>OC_Engrais</t>
  </si>
  <si>
    <t>OC_Autre</t>
  </si>
  <si>
    <t>Ajout_semence</t>
  </si>
  <si>
    <t>Ajout_engrais</t>
  </si>
  <si>
    <t>Ajout_phyto</t>
  </si>
  <si>
    <t>OC</t>
  </si>
  <si>
    <t>Id</t>
  </si>
  <si>
    <t>Unité</t>
  </si>
  <si>
    <t>Traité</t>
  </si>
  <si>
    <t>Non traité</t>
  </si>
  <si>
    <t>gr./m2</t>
  </si>
  <si>
    <t>Info complémentaire 1</t>
  </si>
  <si>
    <t>Gaucho</t>
  </si>
  <si>
    <t>Lisier 3u</t>
  </si>
  <si>
    <t>Lisier 2u</t>
  </si>
  <si>
    <t>Lisier 4u</t>
  </si>
  <si>
    <t>Fumier bovin</t>
  </si>
  <si>
    <t>Fumier ovin</t>
  </si>
  <si>
    <t>Fumier pailleux</t>
  </si>
  <si>
    <t>Ammonitrate 27</t>
  </si>
  <si>
    <t>Urée</t>
  </si>
  <si>
    <t>kg/ha</t>
  </si>
  <si>
    <t>l/ha</t>
  </si>
  <si>
    <t>Autres phytos</t>
  </si>
  <si>
    <t>Antilimaces</t>
  </si>
  <si>
    <t>Régulateurs</t>
  </si>
  <si>
    <t>Insecticides</t>
  </si>
  <si>
    <t>Fongicides</t>
  </si>
  <si>
    <t>Herbicides</t>
  </si>
  <si>
    <t>Dose hom.</t>
  </si>
  <si>
    <t>Grain</t>
  </si>
  <si>
    <t>Paille</t>
  </si>
  <si>
    <t>Ensilage</t>
  </si>
  <si>
    <t>CIPAN</t>
  </si>
  <si>
    <t>Qtx/ha</t>
  </si>
  <si>
    <t>tMS/ha</t>
  </si>
  <si>
    <t>Blé</t>
  </si>
  <si>
    <t>2017-2018</t>
  </si>
  <si>
    <t>Sol nu</t>
  </si>
  <si>
    <t>Semé par Christian</t>
  </si>
  <si>
    <t>Peuplement</t>
  </si>
  <si>
    <t>Culture princ.</t>
  </si>
  <si>
    <t>Remarques générales</t>
  </si>
  <si>
    <t>Nombre de corps non précisé</t>
  </si>
  <si>
    <t>11,3 l/ha de conso de fioul observé</t>
  </si>
  <si>
    <t>Chevignon</t>
  </si>
  <si>
    <t>Fructidor</t>
  </si>
  <si>
    <t>Absalon</t>
  </si>
  <si>
    <t>Traitement de semence</t>
  </si>
  <si>
    <t>Nombre de corps différents des autres bandes labourées. Les 3 corps avant étaient attelés à cette date.</t>
  </si>
  <si>
    <t>Semé sur tous les rangs</t>
  </si>
  <si>
    <t>Observation/Opération</t>
  </si>
  <si>
    <t>Bandes</t>
  </si>
  <si>
    <t>Toutes</t>
  </si>
  <si>
    <t>Type</t>
  </si>
  <si>
    <t>Observation</t>
  </si>
  <si>
    <t>B1</t>
  </si>
  <si>
    <t>Stade</t>
  </si>
  <si>
    <t>B2</t>
  </si>
  <si>
    <t>B3</t>
  </si>
  <si>
    <t>B4</t>
  </si>
  <si>
    <t>B5</t>
  </si>
  <si>
    <t>B6</t>
  </si>
  <si>
    <t>B7</t>
  </si>
  <si>
    <t>B8</t>
  </si>
  <si>
    <t>B9</t>
  </si>
  <si>
    <t>Modalité</t>
  </si>
  <si>
    <t>SD</t>
  </si>
  <si>
    <t>GES</t>
  </si>
  <si>
    <t>PN</t>
  </si>
  <si>
    <t>Ref</t>
  </si>
  <si>
    <t>BasInt</t>
  </si>
  <si>
    <t>Bio</t>
  </si>
  <si>
    <t>Elev8</t>
  </si>
  <si>
    <t>Renan</t>
  </si>
  <si>
    <t>Boregar</t>
  </si>
  <si>
    <t>4L/ha - Ray-grass visé</t>
  </si>
  <si>
    <t>Semence de chez D. Bignon (150 kg/ha)</t>
  </si>
  <si>
    <t>Pluie battante après le semis</t>
  </si>
  <si>
    <t>On observe des attaques de lapins sur les blés. Des chasseurs doivent venir fureter rapidement à l'orme (ne se fera probablement pas)</t>
  </si>
  <si>
    <t>B4-B7-B8</t>
  </si>
  <si>
    <t>Le DFF (Varia) marque un peu sur Fructidor</t>
  </si>
  <si>
    <t>On observe des feuilles jaunes sur beaucoup de pied. Il s'agit sans doutes de l'effet d'un excès d'eau. La bande serait plus sensible du fait du stade.</t>
  </si>
  <si>
    <t>Les symptomes de l'asphyxie sont toujours visibles mais moins marqués.</t>
  </si>
  <si>
    <t>Dominique est passé sur la parcelle. Pour lui le blé est malade, on ne sait pas de quoi.</t>
  </si>
  <si>
    <t>Les symptomes ont disparus</t>
  </si>
  <si>
    <t>Début redressement</t>
  </si>
  <si>
    <t>Conseil expert</t>
  </si>
  <si>
    <t>Christian préconise de mettre 100U d'N au plus vite sur les blés en SD</t>
  </si>
  <si>
    <t>Cette bande semble être plus appréciée des lapins</t>
  </si>
  <si>
    <t>La couleure de la bande indique un effet lisier par rapport à B7</t>
  </si>
  <si>
    <t>29-30</t>
  </si>
  <si>
    <t>Michel a fait un passage N liquide - En l'absence de rouages, il est possible qu'il ai dévié un peu vers B2 dans la partie Nord de la bande</t>
  </si>
  <si>
    <t>Michel a fait un passage N liquide en B1 - En l'absence de rouages, il est possible qu'il ai dévié un peu vers B2 dans la partie Nord de la bande</t>
  </si>
  <si>
    <t>On observe que le gel a fait souffir les plantes - On observe des feuilles violettes</t>
  </si>
  <si>
    <t>AXE-N12 (12/5/0)</t>
  </si>
  <si>
    <t>Engrais organique</t>
  </si>
  <si>
    <t>Kg/ha</t>
  </si>
  <si>
    <t>36.6 N et 6 S ; ferti à cause INN 0,8 ; 32 Unités</t>
  </si>
  <si>
    <t>9 talles et plus - Epis à 4 mm environ</t>
  </si>
  <si>
    <t>9 talles ou un peu moins - Epis à 4 mm environ</t>
  </si>
  <si>
    <t>9 talles - Epis à 4 mm environ</t>
  </si>
  <si>
    <t>Epis 4 à 5 mm</t>
  </si>
  <si>
    <t>Epis 5 à 6 mm</t>
  </si>
  <si>
    <t>Epis 6 mm</t>
  </si>
  <si>
    <t>Solution 36N.6S</t>
  </si>
  <si>
    <t>Solution 39</t>
  </si>
  <si>
    <t>Solution 38N.14,5S</t>
  </si>
  <si>
    <t>90 uN + 37,5 uP</t>
  </si>
  <si>
    <t>38 uN + 14,5 uS</t>
  </si>
  <si>
    <t>32 uN + 5,22 uS</t>
  </si>
  <si>
    <t>36.6 N et 6 S ; ferti à cause INN 1.1</t>
  </si>
  <si>
    <t>39 uN + 6,5 uS</t>
  </si>
  <si>
    <t>Semaine</t>
  </si>
  <si>
    <t>Epis à 5 mm</t>
  </si>
  <si>
    <t>Epis 8 mm</t>
  </si>
  <si>
    <t>Epis 7 mm</t>
  </si>
  <si>
    <t>24 - Epis 3 mm</t>
  </si>
  <si>
    <t>24 - Epis 2 mm</t>
  </si>
  <si>
    <t>SD - GES</t>
  </si>
  <si>
    <t>B1 - B2</t>
  </si>
  <si>
    <t>La couleure de la bande indique un effet du 1er apport sur B1 qui est plus foncé que B2</t>
  </si>
  <si>
    <t>On observe que l'épandage du 1er apport sur B1 est décalé vers l'Est d'environ 2 m dans la partie nord des bandes</t>
  </si>
  <si>
    <t>76 uN</t>
  </si>
  <si>
    <t>57 uN</t>
  </si>
  <si>
    <t>Car avril va être sec et quasi pas d'N pour le moment</t>
  </si>
  <si>
    <t>Entec 26</t>
  </si>
  <si>
    <t>Epis 9 mm</t>
  </si>
  <si>
    <t>Ep. engrais_min_solide 24m – tract 130 ch</t>
  </si>
  <si>
    <t>Ep. engrais_min_solide 9m - DP9</t>
  </si>
  <si>
    <t>40 uN</t>
  </si>
  <si>
    <t>50 uN</t>
  </si>
  <si>
    <t>Trèfle Blanc</t>
  </si>
  <si>
    <t>Epi 1cm - 1 nœud</t>
  </si>
  <si>
    <t>1 nœud</t>
  </si>
  <si>
    <t>Les zones ZéroN sont bien visibles pour toutes les bandes (y compris bio même si la différence de couleur y est moins marquée)</t>
  </si>
  <si>
    <t>Semoir centrifuge - Quad</t>
  </si>
  <si>
    <t>Ray gras</t>
  </si>
  <si>
    <t>1 nœud (2ème nœud visible mais non différencié)</t>
  </si>
  <si>
    <t>1 nœud (présence de faux nœud)</t>
  </si>
  <si>
    <t>2 nœuds</t>
  </si>
  <si>
    <t>1 nœud (2ème nœud visible mais non différencié - présence de faux nœud))</t>
  </si>
  <si>
    <t>1cm - 1 nœud (visible mais pas différencié)</t>
  </si>
  <si>
    <t>Epi 1 cm</t>
  </si>
  <si>
    <t>Epi 6mm</t>
  </si>
  <si>
    <t>Epi 1cm (1 nœud visible)</t>
  </si>
  <si>
    <t>Epi 1cm  (1 nœud visible)</t>
  </si>
  <si>
    <t>Epi 1 cm (1 nœud visible)</t>
  </si>
  <si>
    <t xml:space="preserve"> Epi 1 cm (1 nœud visible)</t>
  </si>
  <si>
    <t>B1 - N0</t>
  </si>
  <si>
    <t>B2 - N0</t>
  </si>
  <si>
    <t>B3 - N0</t>
  </si>
  <si>
    <t>B4 - N0</t>
  </si>
  <si>
    <t>B5 - N0</t>
  </si>
  <si>
    <t>B6 - N0</t>
  </si>
  <si>
    <t>B7 - N0</t>
  </si>
  <si>
    <t>3 nœuds</t>
  </si>
  <si>
    <t>2 nœuds (3ème visible)</t>
  </si>
  <si>
    <t>2 nœuds (3 ème visible)</t>
  </si>
  <si>
    <t>Car il ne pleut pas pendant les 2 prochaines semaines</t>
  </si>
  <si>
    <t>2 nœuds (DFP)</t>
  </si>
  <si>
    <t>DFP</t>
  </si>
  <si>
    <t>Gonflement (Encore plusieurs DFE)</t>
  </si>
  <si>
    <t>DFE</t>
  </si>
  <si>
    <t>Gonflement</t>
  </si>
  <si>
    <t>DFE ( Plusieurs gonflement et quelques épis sortis ==&gt; Très hétérogène)</t>
  </si>
  <si>
    <t>3.5</t>
  </si>
  <si>
    <t>1l</t>
  </si>
  <si>
    <t>Tâche de Ray gras</t>
  </si>
  <si>
    <t xml:space="preserve">Par rapport au bilan </t>
  </si>
  <si>
    <t>Septoriose, Jaunisse nanissante (présentes depuis plusieurs semaines)</t>
  </si>
  <si>
    <t>Lemas (adulte+Larve+Œuf) depuis plusieurs semaines, quelques pucerons qui arrivent.</t>
  </si>
  <si>
    <t>Epiaison</t>
  </si>
  <si>
    <t>Floraison/Epiaison</t>
  </si>
  <si>
    <t>floraison/Epiaison</t>
  </si>
  <si>
    <t>Matière active</t>
  </si>
  <si>
    <t>Plus de volume d'eau que les autres bandes, moins bonnes conditions que le 27mai. Donc potentiellement moins bonne efficacité</t>
  </si>
  <si>
    <t>Grains à moitié développés (71)</t>
  </si>
  <si>
    <t>Imidacloprid</t>
  </si>
  <si>
    <t>pinoxaden + cloquintocet-mexyl</t>
  </si>
  <si>
    <t>axial + huile à 1l</t>
  </si>
  <si>
    <t>Grains formés e laiteux (77)</t>
  </si>
  <si>
    <t>Stades pâteux</t>
  </si>
  <si>
    <t>fin stade laiteux</t>
  </si>
  <si>
    <t>Escourgeon</t>
  </si>
  <si>
    <t>2018-2019</t>
  </si>
  <si>
    <t>Semoir SD Come Morize</t>
  </si>
  <si>
    <t>Trèfle incarnat</t>
  </si>
  <si>
    <t>Vesce</t>
  </si>
  <si>
    <t>Phacélie</t>
  </si>
  <si>
    <t>Prévention, stade 1 à 2noeuds</t>
  </si>
  <si>
    <t>31,2uN</t>
  </si>
  <si>
    <t>58,5 uN</t>
  </si>
  <si>
    <t>43uN</t>
  </si>
  <si>
    <t>78 uN</t>
  </si>
  <si>
    <t>43 uN</t>
  </si>
  <si>
    <t>37uN</t>
  </si>
  <si>
    <t>51uN</t>
  </si>
  <si>
    <t>Opération réalisée pour lutter contre les liserons très présents</t>
  </si>
  <si>
    <t>48 balles</t>
  </si>
  <si>
    <t>Rendement à 15°H</t>
  </si>
  <si>
    <t>11,4°H, PS 77, Prot 12,8, PMG 40,5</t>
  </si>
  <si>
    <t>12,2°H, PS 77, Prot 12,4, PMG 43,8</t>
  </si>
  <si>
    <t>12,0°H, PS 80,5, Prot 11,7, PMG 44,5</t>
  </si>
  <si>
    <t>12,5°H, PS 82,5, Prot 11,7, PMG 49,8</t>
  </si>
  <si>
    <t>12,0°H, PS 81,4, Prot 11,2, PMG 51,4</t>
  </si>
  <si>
    <t>11,8°H, PS 80,4, Prot 11,5, PMG 43,9</t>
  </si>
  <si>
    <t>53 balles</t>
  </si>
  <si>
    <t>On observe un carré de trèfle bien marqué sur la zone ZN2018. C'est bien moins vrai sur B1</t>
  </si>
  <si>
    <t>Les couverts peinnent du fait de la sécheresse : un peu levé en B2, moins en B1 (probablement car paille exportée =&gt; Plus séchant), rien ailleurs</t>
  </si>
  <si>
    <t>Lisier VALMAT Terra Gattor</t>
  </si>
  <si>
    <t>B1 - B2 - B4 - B5</t>
  </si>
  <si>
    <t>Les couverts sont mainteant visibles de partout</t>
  </si>
  <si>
    <t>Les carrés ZN17-18 sont visibles partouts sauf en B6. En B1 et B2 trèfle, en B4 et B5 couvert bien plus développé, et en B3 et B7 on voit des zones plus humides après le labour et le semi</t>
  </si>
  <si>
    <t>Divers</t>
  </si>
  <si>
    <t>Voir fiche engrais : Lisier_B7_30092018</t>
  </si>
  <si>
    <t>Triticale</t>
  </si>
  <si>
    <t>xx/07/18</t>
  </si>
  <si>
    <t>Orge de printemps</t>
  </si>
  <si>
    <t>IC peu développées</t>
  </si>
  <si>
    <t>Rafaela</t>
  </si>
  <si>
    <t>Glyphosate</t>
  </si>
  <si>
    <t>2,4D</t>
  </si>
  <si>
    <t>g/ha</t>
  </si>
  <si>
    <t>240 g/L * 1,5 L  - H° = 90% , Vent =&gt; Buses AD</t>
  </si>
  <si>
    <t>0,5 litres   - H° = 90% , Vent =&gt; Buses AD</t>
  </si>
  <si>
    <t>460 g/L * 1 L  - H° = 90% , Vent =&gt; Buses AD</t>
  </si>
  <si>
    <t>Levée</t>
  </si>
  <si>
    <t>Elev</t>
  </si>
  <si>
    <t>Ref - Elev - Elev8</t>
  </si>
  <si>
    <t>Destruction d'IC en cours (effet glyphosate) - Levée hétérogène de l'escourgeon</t>
  </si>
  <si>
    <t>Orge</t>
  </si>
  <si>
    <t>IC</t>
  </si>
  <si>
    <t>IC se développe avec surtout de la phacélie et un peu de trèfle. Le peuplement reste hétérogène (peut être 50% de la surface couverte)</t>
  </si>
  <si>
    <t>Blé non levé</t>
  </si>
  <si>
    <t>IC présente de manière homogène avec phacélie et trèfle mais assez peu développée. Présence de résidus de paille et de nombreuses repousses</t>
  </si>
  <si>
    <t>BI</t>
  </si>
  <si>
    <t>B4 - B5</t>
  </si>
  <si>
    <t>Présence de repousses et de quelques adventices (tâches de chardon et présence de seneçon, mouron, laiteron)</t>
  </si>
  <si>
    <t>L'escourgon lève de manière hétérogène pour l'instant.</t>
  </si>
  <si>
    <t>Au moment du labour, on retrouve des zones de compaction au passage du tracteur du DP9. Ces zones ont probablement eues des impacts sur le rendment.</t>
  </si>
  <si>
    <t>Toutes hors B6</t>
  </si>
  <si>
    <t>Plusieurs</t>
  </si>
  <si>
    <t>ZN17-18 est bien visible avec une levée plus avancée et plus homogène - ZN18-19 est aussi bien visible car pas de levée (effet lisier probablement lié à l'humidité)</t>
  </si>
  <si>
    <t>ZN1718 visible avec le trèfle et la phacélie moins développée dans ce carré - IC mieux développée en bas de parcelle (Nord)</t>
  </si>
  <si>
    <t>Le blé lève de manière un peu hétérogène - ZN17-18 est bien visible avec une levée plus avancée et plus homogène</t>
  </si>
  <si>
    <t>B5 présente une phacélie un peu plus développée et peut être un peu moins de paille en surface et moins de repousses que B4</t>
  </si>
  <si>
    <t>1-2F</t>
  </si>
  <si>
    <t>Levée 1F</t>
  </si>
  <si>
    <t>2F</t>
  </si>
  <si>
    <t>1F</t>
  </si>
  <si>
    <t>2 descentes du semoir étaient bouchées ! La densité initiale était prévue à 250</t>
  </si>
  <si>
    <t>Limaces présentes</t>
  </si>
  <si>
    <t>Fosburi (DFF)</t>
  </si>
  <si>
    <t>Diflufenican</t>
  </si>
  <si>
    <t>Flufenacet</t>
  </si>
  <si>
    <t>Fosburi (Flufenacet)</t>
  </si>
  <si>
    <t>0,4l/ha*200 g/l = 80g de DFF appliqué</t>
  </si>
  <si>
    <t>0,4l/ha*400 g/l = 160g de Flufenacet appliqué</t>
  </si>
  <si>
    <t>Etincel</t>
  </si>
  <si>
    <t>On a complété le semis semeato par un passage pour deux lignes au semoir EBRA à 100gr/m linéaire (9 passages)</t>
  </si>
  <si>
    <t>Anti limace</t>
  </si>
  <si>
    <t>Sluxx</t>
  </si>
  <si>
    <t>Difenoconazole</t>
  </si>
  <si>
    <t>Vibrance Gold (Difenoconazole)</t>
  </si>
  <si>
    <t>Vibrance Gold (Fludioxonil)</t>
  </si>
  <si>
    <t>Fludioxonil</t>
  </si>
  <si>
    <t>Vibrance Gold (Sédaxane)</t>
  </si>
  <si>
    <t>Sédaxane</t>
  </si>
  <si>
    <t>0,4l/ha*200 g/l = 80g/ha de DFF appliqué</t>
  </si>
  <si>
    <t>0,4l/ha*400 g/l = 160g/ha de Flufenacet appliqué</t>
  </si>
  <si>
    <t>Le blé (2-3F) est attaqué par les lièvres. Environ 1/3 des pieds touchés</t>
  </si>
  <si>
    <t>Dominique alerte sur le fait qu'on observe de nombreuses feuilles jaunes. C'est pour lui le résultats d'attaques de cicadelles à l'automne qui auraient conduit à une virose (pied chétif)</t>
  </si>
  <si>
    <t>g</t>
  </si>
  <si>
    <t>l</t>
  </si>
  <si>
    <t>Sluxx 5kg/ha * 29,7 g/kg</t>
  </si>
  <si>
    <t>Phosphate ferrique</t>
  </si>
  <si>
    <t>Sulfate d'ammonium</t>
  </si>
  <si>
    <t>25 g/L * 0,2 L/q * 295 grains/m2 *0,039 g/grain * 0,00001 q/g * 10000 m2/ha = 5,8g/ha</t>
  </si>
  <si>
    <t>50 g/L * 0,2 L/q * 295 grains/m2 *0,039 g/grain * 0,00001 q/g * 10000 m2/ha = 11,5g/ha</t>
  </si>
  <si>
    <t>Unité Ma/ha</t>
  </si>
  <si>
    <t>Raxil Star (Prothioconazole)</t>
  </si>
  <si>
    <t>Prothioconazole</t>
  </si>
  <si>
    <t>Raxil Star (Fluopyram)</t>
  </si>
  <si>
    <t>Fluopyram</t>
  </si>
  <si>
    <t>Raxil Star (Tebuconazole)</t>
  </si>
  <si>
    <t>Tebuconazole</t>
  </si>
  <si>
    <t>100 g/L * 0,05 L/q * 279 grains/m2 *0,043 g/grain * 0,00001 q/g * 10000 m2/ha = 6,0g/ha</t>
  </si>
  <si>
    <t>20 g/L * 0,05 L/q * 279 grains/m2 *0,043 g/grain * 0,00001 q/g * 10000 m2/ha = 1,2g/ha</t>
  </si>
  <si>
    <t>60 g/L * 0,05 L/q * 279 grains/m2 *0,043 g/grain * 0,00001 q/g * 10000 m2/ha = 1,2g/ha</t>
  </si>
  <si>
    <t>OXANA LS (Ipconazole)</t>
  </si>
  <si>
    <t>Ipconazole</t>
  </si>
  <si>
    <t>LATITUDE (Silthiofam)</t>
  </si>
  <si>
    <t>Silthiofam</t>
  </si>
  <si>
    <t>15 g/L * 0,1 L/q * 250 grains/m2 *0,056 g/grain * 0,00001 q/g * 10000 m2/ha = 2,1g/ha</t>
  </si>
  <si>
    <t>125 g/L * 0,2 L/q * 250 grains/m2 *0,056 g/grain * 0,00001 q/g * 10000 m2/ha = 35g/ha</t>
  </si>
  <si>
    <t>Dose MA/ha</t>
  </si>
  <si>
    <t>100 g/L * 0,05 L/q * 220 grains/m2 *0,043 g/grain * 0,00001 q/g * 10000 m2/ha = 4,7g/ha</t>
  </si>
  <si>
    <t>20 g/L * 0,05 L/q * 220 grains/m2 *0,043 g/grain * 0,00001 q/g * 10000 m2/ha = 0,9g/ha</t>
  </si>
  <si>
    <t>60 g/L * 0,05 L/q * 220 grains/m2 *0,043 g/grain * 0,00001 q/g * 10000 m2/ha = 2,8g/ha</t>
  </si>
  <si>
    <t>Attaques de lapins ou lièvres observées même si moins marquées que sur B3. Par ailleurs les lignes resemées se sont assez bien developpées (stade 1F contre 2-3 F pour les autres lignes)</t>
  </si>
  <si>
    <t>On observe de nombreuses feuilles (ou pieds) jaunes. Il est probable que ces symptomes soient dûs à une virose pied chetif comme sur B7</t>
  </si>
  <si>
    <t>Le développement du peuplement en ZN1819 (sans lisier) n'est visuellement pas différent du reste de la parcelle</t>
  </si>
  <si>
    <t>B1 - B3 - B6 - B7</t>
  </si>
  <si>
    <t>SD - PN - Bio - Elev</t>
  </si>
  <si>
    <t>On observe un peu partout des feuilles (ou pieds) jaunes. Il est probable que ces symptomes soient dûs à une virose pied chetif (B6 et B7 sont les plus touchés)</t>
  </si>
  <si>
    <t>4F - Début tallage</t>
  </si>
  <si>
    <t>3F - Début tallage</t>
  </si>
  <si>
    <t>2 talles (+MB)</t>
  </si>
  <si>
    <t>On voit très peu d'adventices en général. Les bandes sont propres</t>
  </si>
  <si>
    <t>Les intercultures ne sont pas beaucoup développées ces dernières semaines. Un coup de gel a peut être même un peu secoué la phacélie</t>
  </si>
  <si>
    <t>1-2 talles (+MB)</t>
  </si>
  <si>
    <t>3 talles (+MB)</t>
  </si>
  <si>
    <t>Phacélie gelée à 60%</t>
  </si>
  <si>
    <t>Les intercultures ne sont pas beaucoup développées ces dernières semaines.</t>
  </si>
  <si>
    <t>Tablo 700 (chlorotoluron)</t>
  </si>
  <si>
    <t>700 g/L * 1,5 L/ha = 1050 g/ha</t>
  </si>
  <si>
    <t>Chlorotoluron</t>
  </si>
  <si>
    <t>38 uN</t>
  </si>
  <si>
    <t>31,2 uN</t>
  </si>
  <si>
    <t>39 uN</t>
  </si>
  <si>
    <t>Solution 38N.14S</t>
  </si>
  <si>
    <t>Labour peu profond pour limiter l'assèchement car bonne structure</t>
  </si>
  <si>
    <t>88 uN - Attention une zone…</t>
  </si>
  <si>
    <t>BP vandalisée par des sangliers en B3 (bloc 2)</t>
  </si>
  <si>
    <t>BP vandalisée par des sangliers en B7 (bloc 1)</t>
  </si>
  <si>
    <t>Avadex (Tri-allate) 3L/ha</t>
  </si>
  <si>
    <t>Tri-allate</t>
  </si>
  <si>
    <t>480g/L * 3L/ha = 1440 g/ha</t>
  </si>
  <si>
    <t>SANGRIA</t>
  </si>
  <si>
    <t>25 g/L * 0,2 L/q * 280 grains/m2 *0,046 g/grain * 0,00001 q/g * 10000 m2/ha = 6,4g/ha</t>
  </si>
  <si>
    <t>50 g/L * 0,2 L/q * 280 grains/m2 *0,046 g/grain * 0,00001 q/g * 10000 m2/ha = 12,9g/ha</t>
  </si>
  <si>
    <t>Orgaliz F 12-2-0 (88 uN)</t>
  </si>
  <si>
    <t>4 talles (+MB)</t>
  </si>
  <si>
    <t>B7-N0</t>
  </si>
  <si>
    <t>La zone ZN décroche visuellement</t>
  </si>
  <si>
    <t>B2-N0</t>
  </si>
  <si>
    <t>1 F</t>
  </si>
  <si>
    <t>5 talles (+MB)</t>
  </si>
  <si>
    <t>6 talles (+MB) - Epis 4-6 mm</t>
  </si>
  <si>
    <t>Présence de vesce</t>
  </si>
  <si>
    <t>Les 2 à 3 premiers mètres à l'ouest de la bande sont moins développés</t>
  </si>
  <si>
    <t>72 uN</t>
  </si>
  <si>
    <t>Il manque 2*2 rangs d'orge dans la moitié ouest de la bande (pas d'impacts sur les rendements MB)</t>
  </si>
  <si>
    <t>Les bandes en OP (B2, B4 et B5) sont visiblement plus humides en surface dans les zones fertilisées en ZN.</t>
  </si>
  <si>
    <t>La bande B2 est visiblement plus humide en surface que B2-N0 (voir photo) ainsi que B4 et B5.</t>
  </si>
  <si>
    <t>B2-B4-B5</t>
  </si>
  <si>
    <t>Epi 1cm</t>
  </si>
  <si>
    <t>Epis commencent à monter</t>
  </si>
  <si>
    <t>On observe des Rumex repiqués en bas de parcelle</t>
  </si>
  <si>
    <t>Une pélicule verte recouvre le sol depuis quelques jours ou semaines</t>
  </si>
  <si>
    <t>La zone ZN semble décrocher visuellement</t>
  </si>
  <si>
    <t>Présence d'attaques de cicadelles (ressemble JNO) sur les feuilles basses (présence plus marquée en ZN+1, DT: "il est logique qu’il y ait plus de dégats de cicadelles là ou la levée était plus précoce. Ça prouve qu’on était sur une année à très forte pression")</t>
  </si>
  <si>
    <t>Solution 35N</t>
  </si>
  <si>
    <t>Tallage (2T+MB)</t>
  </si>
  <si>
    <t>Attaques de pucerons (feuilles jaunes éparses)</t>
  </si>
  <si>
    <t>Nombreux pieds malades  (rhynchosporiose, helminthosporiose)</t>
  </si>
  <si>
    <t>Tallage (3T+MB)</t>
  </si>
  <si>
    <t>Tallage (2-3T+MB)</t>
  </si>
  <si>
    <t>31-32</t>
  </si>
  <si>
    <t>Une bande d'1m à l'Est est moins développée probablement du fait d'attaques de limaces en provenance de B2 cet hiver</t>
  </si>
  <si>
    <t xml:space="preserve">Présence de dicots +/- développées (dont chardons) sur une bande d'1 à 2 m à l'Ouest </t>
  </si>
  <si>
    <t>6T+MB - Epi 1 cm</t>
  </si>
  <si>
    <t>Présence de maladie (septoriose en F3 actuelle)</t>
  </si>
  <si>
    <t>B7-ZT</t>
  </si>
  <si>
    <t>La rhynco n'a pas ou peu progressé sur la ZT</t>
  </si>
  <si>
    <t>KWS Extase</t>
  </si>
  <si>
    <t>3T+MB  - Epi 1 cm</t>
  </si>
  <si>
    <t>34 3 nds</t>
  </si>
  <si>
    <t xml:space="preserve">38 Étalement </t>
  </si>
  <si>
    <t>32-33</t>
  </si>
  <si>
    <t>49 Dernière feuille étalée, premières barbes visibles</t>
  </si>
  <si>
    <t>39 Dernière feuille étalée</t>
  </si>
  <si>
    <t>34-37 DFP sur certains pieds</t>
  </si>
  <si>
    <t>39-41 Dernière feuille étalée, début gonflement</t>
  </si>
  <si>
    <t xml:space="preserve">Prothioconazole </t>
  </si>
  <si>
    <t>Input (spiroxamine)</t>
  </si>
  <si>
    <t xml:space="preserve">Spiroxamine </t>
  </si>
  <si>
    <t>160 g/L * 0,6 L/ha = 96 g/ha</t>
  </si>
  <si>
    <t>300 g/L * 0,6 L/ha = 180 g/ha</t>
  </si>
  <si>
    <t>Serenium (Prohexadione)</t>
  </si>
  <si>
    <t>Input (prothioconazole)</t>
  </si>
  <si>
    <t xml:space="preserve">Prohexadione </t>
  </si>
  <si>
    <t>Serenium (Trinexapac)</t>
  </si>
  <si>
    <t>Trinexapac</t>
  </si>
  <si>
    <t>100 g/L * 0,6 L/ha = 60 g/ha</t>
  </si>
  <si>
    <t>Benzovindiflupyr</t>
  </si>
  <si>
    <t>Elatus Plus (Benzovindiflupyr)</t>
  </si>
  <si>
    <t>Bravo flexi (Chlorothalonil)</t>
  </si>
  <si>
    <t>Chlorothalonil</t>
  </si>
  <si>
    <t>Bravo flexi (Azoxystrobin)</t>
  </si>
  <si>
    <t>Azoxystrobin</t>
  </si>
  <si>
    <t>400 g/L * 0,9 L/ha = 360 g/ha</t>
  </si>
  <si>
    <t>80 g/L * 0,9 L/ha = 72 g/ha</t>
  </si>
  <si>
    <t>Cerone (Ethephon)</t>
  </si>
  <si>
    <t>480 g/L * 0,3 L/ha = 144 g/ha</t>
  </si>
  <si>
    <t>Ethephon</t>
  </si>
  <si>
    <t>56,55 uN</t>
  </si>
  <si>
    <t>Axial one (Florasulam)</t>
  </si>
  <si>
    <t>Florasulam</t>
  </si>
  <si>
    <t>Cloquintocet-mexyl</t>
  </si>
  <si>
    <t>Pinoxaden</t>
  </si>
  <si>
    <t>Axial one (Pinoxaden)</t>
  </si>
  <si>
    <t>Axial one (Cloquintocet-mexyl)</t>
  </si>
  <si>
    <t>5 g/L * 1 L/ha = 5 g/ha (Traitement des tahes de ray gras - 75% H° seulement)</t>
  </si>
  <si>
    <t>45 g/L * 1 L/ha = 45 g/ha  (Traitement des tahes de ray gras - 75% H° seulement)</t>
  </si>
  <si>
    <t>11,25 g/L * 1 L/ha = 11,25 g/ha  (Traitement des tahes de ray gras - 75% H° seulement)</t>
  </si>
  <si>
    <t>160 g/L * 0,4 L/ha = 64 g/ha</t>
  </si>
  <si>
    <t>300 g/L * 0,4 L/ha = 120 g/ha</t>
  </si>
  <si>
    <t>160 g/L * 0,2 L/ha = 32 g/ha</t>
  </si>
  <si>
    <t>59-61 Fin épiaison début floraison</t>
  </si>
  <si>
    <t>38 Etalement de la DF</t>
  </si>
  <si>
    <t>61-65 Floraison</t>
  </si>
  <si>
    <t>Kart (Florasulam)</t>
  </si>
  <si>
    <t>1 g/L * 0,8 L/ha = 0,8 g/ha</t>
  </si>
  <si>
    <t>Kart (Fluroxypyr)</t>
  </si>
  <si>
    <t>Fluroxypyr</t>
  </si>
  <si>
    <t>100 g/L *0,8 L/ha = 80 g/ha</t>
  </si>
  <si>
    <t>69-71</t>
  </si>
  <si>
    <t>47-49</t>
  </si>
  <si>
    <t>51-58</t>
  </si>
  <si>
    <t>Présence de Rhynco observée</t>
  </si>
  <si>
    <t>Sanitaire</t>
  </si>
  <si>
    <t>Présence de pucerons à surveiller sur la DF</t>
  </si>
  <si>
    <t>83-85</t>
  </si>
  <si>
    <t>75-77</t>
  </si>
  <si>
    <t>Verse dans le bas de la parcelle</t>
  </si>
  <si>
    <t>Présence de Ray-Gras sur la moitier Est de la bande</t>
  </si>
  <si>
    <t>On observe une faune auxilliaire des pucerons (cocinelles et syrphes)</t>
  </si>
  <si>
    <t>Les pigeons font du dégat dans les zones versées. On pose des épouventails et des effaroucheurs type "corbeau" aujourd'hui. La surface versée est estimée à 25 à 30% de la bande.</t>
  </si>
  <si>
    <t>L'effet de l'Etheverse est visible, les épis sont droits et les pieds plus court.</t>
  </si>
  <si>
    <t>La ZNT est versée depuis probablement quelques semaines</t>
  </si>
  <si>
    <t xml:space="preserve">Semaine de canicule du 24/06 au 28/06 au moins. </t>
  </si>
  <si>
    <t xml:space="preserve">Escourgeon sera battu en début de semaine prochaine. Plus de possibilité de mesure INN et Brix la plante est sénéscente et sèche </t>
  </si>
  <si>
    <t>Le blé est beau, pas de problème pour les mesures INN</t>
  </si>
  <si>
    <t>B1-B7</t>
  </si>
  <si>
    <t>observation identique aux orges. Cf suivi INN_Brix 1 seule mesure réalisée en B6</t>
  </si>
  <si>
    <t xml:space="preserve"> L'état de la dernière feuille est hétérogène: maladie, sénéscence avec la sécheresse. On observe quelques épis échaudés mais ce phénonème n'est pas de grande ampleur. Inn difficile à réaliser dans ces conditions, cela conduit à une "sélection involontaire" des dernières feuilles pour mesurer cet indicateur. On doit s'y reprendre à plusieurs fois pour obtenir une mesure validée. Cf suivi INN_Brix. 1 seule mesure réalisée B4 et B2 ZN+1</t>
  </si>
  <si>
    <t>Tout</t>
  </si>
  <si>
    <t>Opérations</t>
  </si>
  <si>
    <t>Armand a passé les bordures au glypho avec pulvé à dos. 2h30 de temps consacré pour l'ensemble des inter-bandes sauf B3B4, B4B5 et B7B8</t>
  </si>
  <si>
    <t>Etêtage des chardons à la main. 1h30 consacré pour B2, B3 et B5</t>
  </si>
  <si>
    <t>Etêtage des chardons à la main. 40 min consacré pour B6</t>
  </si>
  <si>
    <t>11,8°H, PS 62,2, Prot 10,5, PMG XXX</t>
  </si>
  <si>
    <t>Kardix (Fluopyram)</t>
  </si>
  <si>
    <t>Kardix (Bixafen)</t>
  </si>
  <si>
    <t>Kardix (Prothioconazole)</t>
  </si>
  <si>
    <t>65 g/L * 0,6 L/ha = 39 g/ha</t>
  </si>
  <si>
    <t>Bixafen</t>
  </si>
  <si>
    <t>130 g/L * 0,6 L/ha = 78 g/ha</t>
  </si>
  <si>
    <t>Twist (Trifloxystrobin)</t>
  </si>
  <si>
    <t>Trifloxystrobin</t>
  </si>
  <si>
    <t>500 g/L * 0,12 L/ha = 60 g/ha</t>
  </si>
  <si>
    <t>Flordimex (Ethephon)</t>
  </si>
  <si>
    <t>480 g/L * 0,25 L/ha = 120 g/ha</t>
  </si>
  <si>
    <t>5*0,15</t>
  </si>
  <si>
    <t>45*0,15</t>
  </si>
  <si>
    <t>11,25*0,15</t>
  </si>
  <si>
    <t>100 g/L * 0,1 L/ha = 10 g/ha</t>
  </si>
  <si>
    <t>Elatus Era (Benzovindiflupyr)</t>
  </si>
  <si>
    <t>75 g/L * 0,4 L/ha = 30 g/ha</t>
  </si>
  <si>
    <t>Elatus Era (Prothioconazole)</t>
  </si>
  <si>
    <t>150 g/L * 0,4 L/ha = 60 g/ha</t>
  </si>
  <si>
    <t>Metconazole</t>
  </si>
  <si>
    <t>Arioste (Metconazole)</t>
  </si>
  <si>
    <t>60 g/L * 0,5 L/ha = 30 g/ha</t>
  </si>
  <si>
    <t>11,0°H, PS 62,6, Prot 9,5, PMG XXX</t>
  </si>
  <si>
    <t>Toujours beaucoup d'attaques de lapins ou lièvres</t>
  </si>
  <si>
    <t>Colza</t>
  </si>
  <si>
    <t>2019-2020</t>
  </si>
  <si>
    <t>Début levée</t>
  </si>
  <si>
    <t>Tout début levée</t>
  </si>
  <si>
    <t>Semis trajectoire ges en cours. 15 l gnr par hectare pour labourer et 14 pour semer. Ça ne fait que 20 litres d écart avec acs</t>
  </si>
  <si>
    <t>La levée est moins bonne sur B7. Il est probable que ça soit lié à un roulage trop tôt après semis qui aurait entrainé un tassage / aglomération du lit de semence</t>
  </si>
  <si>
    <t>B2-B3-B4-B5-B7</t>
  </si>
  <si>
    <t>Enormément d'oiseaux (mouettes, étourneaux, crobeaux) sont observés autour du semoir sur la partie sud des bandes. Il est probable que ceux-ci mangent des graines.</t>
  </si>
  <si>
    <t>300 g/L * 0,2 L/ha = 60 g/ha</t>
  </si>
  <si>
    <t>9,7°H, PS 65,4, Prot 10,6, PMG XXX</t>
  </si>
  <si>
    <t>9,9°H, PS 63,1, Prot 9,5, PMG XXX</t>
  </si>
  <si>
    <t>9,8°H, PS 65,4, Prot 8,6, PMG XXX</t>
  </si>
  <si>
    <t>9,9°H, PS 73,9, Prot 8,7, PMG XXX</t>
  </si>
  <si>
    <t>Féverolle</t>
  </si>
  <si>
    <t>50 g/kg * 0,35 kg/ha = 17,5 g/ha</t>
  </si>
  <si>
    <t>75 g/kg * 0,35 kg/ha = 26,25 g/ha</t>
  </si>
  <si>
    <t>50 g/kg * 0,25 kg/ha = 12,5 g/ha</t>
  </si>
  <si>
    <t>75 g/kg * 0,25 kg/ha = 18,75 g/ha</t>
  </si>
  <si>
    <t>Tous</t>
  </si>
  <si>
    <t>On place un filet au Nord des bandes pour limiter les attaques de lapin</t>
  </si>
  <si>
    <t>ZN20 présente une mauvaise levée, ZN19 une meilleur</t>
  </si>
  <si>
    <t>Observations de nombreux chardons le long de la bordure Ouest sur 1 à 2 m de large sur toute la longueur</t>
  </si>
  <si>
    <t>0.29 pieds de RG / m² observé sur la moitié sud (haut) concentrés en grande majorité le long des rouages (milieu de la bande) où on compte environ 1.05 pieds/m²</t>
  </si>
  <si>
    <t>Beaucoup de repousses de céréales avec un impact sur la taille des pieds au niveau des andains de paille. En particulier une bande large d'1 m ou un peu plus et située à environ 6m de la bordure Est est plus impactée (un andain mal ramassé ?). Les pieds y sont très petits et on y compte 37 pieds/m² seulement contre 49 ailleurs.</t>
  </si>
  <si>
    <t>0.11 pieds de RG / m² très localisés sur une petite zone au sud (haut) où on compte jusqu'à 0.74 pieds/m²</t>
  </si>
  <si>
    <t>B4-B5-B7</t>
  </si>
  <si>
    <t>Absence remarquée de RG</t>
  </si>
  <si>
    <t>B2-B3</t>
  </si>
  <si>
    <t xml:space="preserve">Quelques pieds  tournent violet ou flétrissent sur B2 et B3. Les pivots sont visiblement attaqués et qui finissent par casser. Moins de 1% des pieds sont touchés. Mouche du chou ? Noctuelle ?
</t>
  </si>
  <si>
    <t>PMG = 50g</t>
  </si>
  <si>
    <t>??</t>
  </si>
  <si>
    <t>PMG=50</t>
  </si>
  <si>
    <t>barclay</t>
  </si>
  <si>
    <t>chardol</t>
  </si>
  <si>
    <t>quad</t>
  </si>
  <si>
    <t>B3-B7</t>
  </si>
  <si>
    <t>Les colzas ressemés rayonnent. On voit aussi de nouvelles plantules sur les bandes non ressemées ce qui montre que des graines du 1er semis lèvent suite à la pluie</t>
  </si>
  <si>
    <t>ZN19 est plus visiblement plus jolie surtout en B3, B4 et B7 et de manière moins visible en B5</t>
  </si>
  <si>
    <t>B3-B4-B5-B7</t>
  </si>
  <si>
    <t>7 feuilles à Cotylédons pour les levées décalées (pluie et/ou sursemis (B3 et B7))</t>
  </si>
  <si>
    <t>B1-B2-B3-B4-B5-B7</t>
  </si>
  <si>
    <t>Jokari</t>
  </si>
  <si>
    <t>Gleepho 360 TF</t>
  </si>
  <si>
    <t>360 g/L * 1 L/ha = 360 g/ha</t>
  </si>
  <si>
    <t>Tempera (adujvant)</t>
  </si>
  <si>
    <t>Ammonium sulphate</t>
  </si>
  <si>
    <t>460 g/L * 1 L/ha = 460 g/ha</t>
  </si>
  <si>
    <t>360 g/L * 1,5 L/ha = 540 g/ha (passage supplémentaire à 1,5L sur 7m à l'Ouest pour les chardons)</t>
  </si>
  <si>
    <t>460 g/L * 1,5 L/ha = 690 g/ha (passage supplémentaire à 1,5L sur 7m à l'Ouest pour les chardons)</t>
  </si>
  <si>
    <t>NS</t>
  </si>
  <si>
    <t>Feliciano KWS</t>
  </si>
  <si>
    <t>ES Alicia</t>
  </si>
  <si>
    <t>5% de colza plus précoce en vue de lutter contre les méligèthes</t>
  </si>
  <si>
    <t>Integral Pro</t>
  </si>
  <si>
    <t>Bacillus amyloliquefaciens souche MBI600</t>
  </si>
  <si>
    <t>Millard d'UFC</t>
  </si>
  <si>
    <t>Colza Fenugrec Gesse</t>
  </si>
  <si>
    <t>Fenugrec</t>
  </si>
  <si>
    <t>Gesse</t>
  </si>
  <si>
    <t>Baboxx</t>
  </si>
  <si>
    <t>5 kg/ha * 29,7 g/kg = 148,5 g/ha</t>
  </si>
  <si>
    <t>Solanis (Diméthénamide-P)</t>
  </si>
  <si>
    <t>Diméthénamide-P</t>
  </si>
  <si>
    <t>0,73 L/ha * 333 g/L = 243 g/ha</t>
  </si>
  <si>
    <t>Solanis (Quinmerac)</t>
  </si>
  <si>
    <t>Quinmerac</t>
  </si>
  <si>
    <t>0,73 L/ha * 167 g/L = 122 g/ha</t>
  </si>
  <si>
    <t>Butisan S</t>
  </si>
  <si>
    <t>0,5 L/ha * 500 g/L = 250 g/ha</t>
  </si>
  <si>
    <t xml:space="preserve">Métazachlore </t>
  </si>
  <si>
    <t>1 rg sur 2 est plus profond</t>
  </si>
  <si>
    <t>15 kg/ha / 16 gPMG</t>
  </si>
  <si>
    <t>15 kg/ha / 170 gPMG</t>
  </si>
  <si>
    <t>22 000 000 000 UFC/mL * 160 mL/q * 0,00465 g/gr * 80 gr/m² * 0,00001 q/g * 10000 m2/ha = 131 millards d'UFC</t>
  </si>
  <si>
    <t>22 000 000 000 UFC/mL * 160 mL/q * 0,00465 g/gr * 4 gr/m² * 0,00001 q/g * 10000 m2/ha = 7 millards d'UFC</t>
  </si>
  <si>
    <t>Quizalofop-P-ethyl</t>
  </si>
  <si>
    <t>Actirob (adjuvant)</t>
  </si>
  <si>
    <t>0,7 L/ha * 842 g/L = 589 g/ha</t>
  </si>
  <si>
    <t>Huile de colza esterifiee</t>
  </si>
  <si>
    <t>Targa max</t>
  </si>
  <si>
    <t>0,4 L/ha * 100 g/L = 40 g/ha</t>
  </si>
  <si>
    <t>Colza Ge. Fe. Le.Ve.</t>
  </si>
  <si>
    <t>1 dosette par dose soit environ 100 g/ha / PMG (0,00465?) = 2,15</t>
  </si>
  <si>
    <t>22 000 000 000 UFC/mL * 160 mL/q * 0,00465 g/gr * 2,15 gr/m² * 0,00001 q/g * 10000 m2/ha = 4 millards d'UFC</t>
  </si>
  <si>
    <t>Colzafix Quatro (Vesce)</t>
  </si>
  <si>
    <t>Colzafix Quatro (Gesse)</t>
  </si>
  <si>
    <t>Colzafix Quatro (Fenugrec)</t>
  </si>
  <si>
    <t>Colzafix Quatro (Lentilles fourragères)</t>
  </si>
  <si>
    <t>Colza Ge. Fe. Le.Ve. Tr.</t>
  </si>
  <si>
    <t>22 000 000 000 UFC/mL * 160 mL/q * 0,00465 g/gr * 38 gr/m² * 0,00001 q/g * 10000 m2/ha = 62 millards d'UFC</t>
  </si>
  <si>
    <t>22 000 000 000 UFC/mL * 160 mL/q * 0,00465 g/gr * 30 gr/m² * 0,00001 q/g * 10000 m2/ha = 49 millards d'UFC</t>
  </si>
  <si>
    <t>Semoir de précision Terre Inovia</t>
  </si>
  <si>
    <t>22 kg/ha*25%  / PMG (53)</t>
  </si>
  <si>
    <t>22 kg/ha*25%  / PMG (170)</t>
  </si>
  <si>
    <t>22 kg/ha*25%  / PMG (16)</t>
  </si>
  <si>
    <t>22 kg/ha*25%  / PMG (20)</t>
  </si>
  <si>
    <t>22 000 000 000 UFC/mL * 160 mL/q * 0,00465 g/gr * 35 gr/m² * 0,00001 q/g * 10000 m2/ha = 57 millards d'UFC</t>
  </si>
  <si>
    <t>20 kg/ha*25%  / PMG (53)</t>
  </si>
  <si>
    <t>20 kg/ha*25%  / PMG (170)</t>
  </si>
  <si>
    <t>20 kg/ha*25%  / PMG (16)</t>
  </si>
  <si>
    <t>20 kg/ha*25%  / PMG (20)</t>
  </si>
  <si>
    <t>3 kg/ha / PMG (3,1)</t>
  </si>
  <si>
    <t>1,30 N ammoniacal + 1,57 N org</t>
  </si>
  <si>
    <t>Voir fiche engrais : Lisier_B7_20082019</t>
  </si>
  <si>
    <t>On observe rarement quelques colonies de pucerons cendrés sur les colza.</t>
  </si>
  <si>
    <t>Trèfle blanc nain</t>
  </si>
  <si>
    <t>18+12</t>
  </si>
  <si>
    <t>22+13</t>
  </si>
  <si>
    <t>Colzafix Quatro (Vesse)</t>
  </si>
  <si>
    <t>Il y a  une bande de 12 m de large côté ouest avec des colza visiblement plus petits et des plantes compagnes plus développées. C'est probablement l'effet d'un réglage de semoir opéré après les 4 premières passes.</t>
  </si>
  <si>
    <t xml:space="preserve">Il y a  une bande de 3 m de large côté ouest avec des colza visiblement plus gros. Probablement lié à un réglage de semoir. </t>
  </si>
  <si>
    <t>Féverole</t>
  </si>
  <si>
    <t>20+14</t>
  </si>
  <si>
    <t>0 - pas levé</t>
  </si>
  <si>
    <t>24+17</t>
  </si>
  <si>
    <t>Levé</t>
  </si>
  <si>
    <t>81uN (1,03 Nammoniacal + 0,94 Norg)</t>
  </si>
  <si>
    <t>29,25 uN</t>
  </si>
  <si>
    <t>On observe plus d'élongation sur cette bande</t>
  </si>
  <si>
    <t xml:space="preserve">Attaques de corbeaux, on pose un tonne fort et des épouvantails. Les attaques sont concentrées en bordure côté B5. </t>
  </si>
  <si>
    <t>Semé le plus profond possible, PMG mesuré après le semis (451)</t>
  </si>
  <si>
    <t>130 kg/ha pour 451 g de PMG</t>
  </si>
  <si>
    <t>175 g/L * 0,4 L/q * 220 grains/m2 *0,056 g/grain * 0,00001 q/g * 10000 m2/ha = 86g/ha</t>
  </si>
  <si>
    <t>B7 fait 2700 g de biomasse entrée hiver /m² mais ça ne s'explique pas uniquement par le lisier 2019 car B7ZN fait quand même 1861 g/m² ! Le lisier de septembre 2018 a du minéralisé cet automne, de plus B7 présentait le bilan apparent le moins négatif du dispositif en 2019. =&gt; Pas illogique donc que même sans le lisier de 2019, il y ai plus d'azote en B7 qu'ailleurs.</t>
  </si>
  <si>
    <t xml:space="preserve">Visuellement la différence B7 vs B7ZN s'explique plus par le taux de levée que par la taille des pieds, l'effet "eau" du lisier a donc été au moins aussi important que l'effet "azote". </t>
  </si>
  <si>
    <t>12 - 2 Feuilles étalées</t>
  </si>
  <si>
    <t>20/23</t>
  </si>
  <si>
    <t>20/23 +17</t>
  </si>
  <si>
    <t>27+20</t>
  </si>
  <si>
    <t>Quelques pieds jaunes (proportion faible &lt; 1%)</t>
  </si>
  <si>
    <t>16 - 6 Feuilles étalées</t>
  </si>
  <si>
    <t>Des trous de petits rongeurs sont observés un peu partout</t>
  </si>
  <si>
    <t>Installation de 2 perchoirs à rapace</t>
  </si>
  <si>
    <t>Les nodosités sur les racines sont visibles</t>
  </si>
  <si>
    <t>Rodenator</t>
  </si>
  <si>
    <t>Premier pied observé en bouton</t>
  </si>
  <si>
    <t>On observe des altises adultes</t>
  </si>
  <si>
    <t>30 - Peu ou pas de pousses latérales visibles</t>
  </si>
  <si>
    <t>31 - 5 pousses latérales visibles</t>
  </si>
  <si>
    <t>30 à 31 - 4 pousses latérales visibles</t>
  </si>
  <si>
    <t>32 - 3 à 5 pousses latérales visibles</t>
  </si>
  <si>
    <t>21-22</t>
  </si>
  <si>
    <t>33 à 50 + 30</t>
  </si>
  <si>
    <t>Les colza montrent une légère faim d'azote (feuilles violacées) en B5 et un petit peu en B1</t>
  </si>
  <si>
    <t>51-52</t>
  </si>
  <si>
    <t>Attention de l'azote est apporté par erreur dans la moitier sud de la ZN</t>
  </si>
  <si>
    <t>Pucerons cendrés dans les bourgeons sur quelques pieds</t>
  </si>
  <si>
    <t>On voit de nombreux pieds (gros) dont la tige est éclaté</t>
  </si>
  <si>
    <t>Forte hétérogénéité des peuplements visible depuis plusieurs semaines</t>
  </si>
  <si>
    <t>B3 - B7</t>
  </si>
  <si>
    <t>Gazage des mulots au Rodennator terminé (débuté fin janvier). Temps consacré = 2jrs/ha</t>
  </si>
  <si>
    <t>Les ZN décrochent visuellement pour tous les colza. C'est particulièrement visible en B3</t>
  </si>
  <si>
    <t>22-23</t>
  </si>
  <si>
    <t>On observe des tiges éclatées partout sauf en B1 : B7 &gt;&gt; B5, B4, B3 &gt; B2 &gt; B1</t>
  </si>
  <si>
    <t>Les bandes n'ayant reçu qu'un apport azoté souffrent visiblement de faim d'azote : B7, B4 et B5, B2 un peu moins</t>
  </si>
  <si>
    <t xml:space="preserve">Le désherbant appliqué il y a quelques jours fait effet : les légumineuses changent de couleur et les tiges des colzas se déforment </t>
  </si>
  <si>
    <t>Ielo (Propyzamide)</t>
  </si>
  <si>
    <t>1 L/ha * 500 g/L = 500 g/ha</t>
  </si>
  <si>
    <t>Propyzamide</t>
  </si>
  <si>
    <t>Ielo (Aminopyralid)</t>
  </si>
  <si>
    <t>1 L/ha * 6,272 g/L = 6,272 g/ha</t>
  </si>
  <si>
    <t>Aminopyralid</t>
  </si>
  <si>
    <t>Solution 34N.8S</t>
  </si>
  <si>
    <t>41uN - 9,6uS</t>
  </si>
  <si>
    <t>99uN - 59,4uS</t>
  </si>
  <si>
    <t>Solution 30N.18S (82% sol 34-8 + 18% Thiosulfate)</t>
  </si>
  <si>
    <t>51uN - 12uS</t>
  </si>
  <si>
    <t>Bore</t>
  </si>
  <si>
    <t>1,5 L/ha * 9,41 g/L = 9 g/ha</t>
  </si>
  <si>
    <t>1,5 L/ha * 750 g/L = 500 g/ha</t>
  </si>
  <si>
    <t>Karate zeon (Lambda-Cyhalothrin)</t>
  </si>
  <si>
    <t>0,05 L/ha * 100 g/L = 5 g/ha</t>
  </si>
  <si>
    <t>58uN - 13,6uS</t>
  </si>
  <si>
    <t>Lontrel SG (Clopyralid)</t>
  </si>
  <si>
    <t xml:space="preserve">Clopyralid </t>
  </si>
  <si>
    <t>120 g/ha * 0,949 g/g = 113 g/ha</t>
  </si>
  <si>
    <t xml:space="preserve">Buses antidérive et 150 l/ha d'eau </t>
  </si>
  <si>
    <t>56uN - 13,2uS</t>
  </si>
  <si>
    <t>92uN - 21,6uS</t>
  </si>
  <si>
    <t>Solution 28N.24S (72% sol 21-24 + 28% Thiosulfate)</t>
  </si>
  <si>
    <t>70uN - 60uS</t>
  </si>
  <si>
    <t>On observe les premiers méligethes</t>
  </si>
  <si>
    <t>30-35</t>
  </si>
  <si>
    <t>Les tiges sont courbées (effet probable du gel d'après Dom)</t>
  </si>
  <si>
    <t>On note quelques taches d'Ascochytose</t>
  </si>
  <si>
    <t>Les méligèthes semblent affecter la floraison de manière visible sur les ZNT B2 et B3 (probable) pas ailleurs</t>
  </si>
  <si>
    <t>Présence notable de pucerons cendrés (aussi un peu sur B4)</t>
  </si>
  <si>
    <t>Probable effets du gel : La plupart des pieds (surtout aux stades moins avancés) sont très courbés, parfois à plus de 90° et présentent des feuilles totalement flasques. On ne retrouve pas ou peu ce phénomène ailleurs sauf pour les sursemis de B3 et B7. Interaction GEL* STADE ?</t>
  </si>
  <si>
    <t>Les méligèthes sont de nouveaux actifs et bien présents. C'est potentiellement problématique sur B1 où beaucoup de pieds sont encore en bouton. Sur ces derniers (pieds en bouton sur B1), j'ai compté environ 6 individus par pied.</t>
  </si>
  <si>
    <t>J'ai repéré 4 charançons (que je suppose des siliques), dont 2 en B7. Je n'ai pas fait de comptage systématique (difficile et long) mais je ne pense pas que le seuil de 1 pour 2 pieds soit atteint.</t>
  </si>
  <si>
    <t>On a toujours quelques feuilles flasques sur B1 malgré le fait qu'il n'a pas gelé ce matin.</t>
  </si>
  <si>
    <t>On voit toujours des symptomes de type cylindrosporiose. Les bandes les plus touchées sont B1 et B7, suivies par B2 puis les autres.</t>
  </si>
  <si>
    <t>Les ZNT sont toutes bien touchées par des pucerons cendrés hormis B7.</t>
  </si>
  <si>
    <t>Varia (chlorotoluron 400 g/L)</t>
  </si>
  <si>
    <t>Varia (Diflufénicanil 25 g/L )</t>
  </si>
  <si>
    <t>2L/ha - Ray-grass visé</t>
  </si>
  <si>
    <t>175 g/L * 0,4 L/q * 250 grains/m2 *0,056 g/grain * 0,00001 q/g * 10000 m2/ha = 98g/ha</t>
  </si>
  <si>
    <t>175 g/L * 0,4 L/q * 210 grains/m2 *0,056 g/grain * 0,00001 q/g * 10000 m2/ha = 86g/ha</t>
  </si>
  <si>
    <t>Diflufénicanil</t>
  </si>
  <si>
    <t>cherokee (1,33)</t>
  </si>
  <si>
    <t>medax max (0,35)</t>
  </si>
  <si>
    <t>Propiconazole</t>
  </si>
  <si>
    <t>Cyproconazole</t>
  </si>
  <si>
    <t>1,33 litres * 62,5 g/l</t>
  </si>
  <si>
    <t>1,33 litres * 50 g/l</t>
  </si>
  <si>
    <t>1,33 litres * 375 g/l</t>
  </si>
  <si>
    <t>Prohexadione</t>
  </si>
  <si>
    <t>0,35 kg * 50 g/kg</t>
  </si>
  <si>
    <t>0,35 kg * 75 g/kg</t>
  </si>
  <si>
    <t xml:space="preserve">Elatus era (0,5) </t>
  </si>
  <si>
    <t>Elatus era (0,5)</t>
  </si>
  <si>
    <t>0,5 l * 75 g/l</t>
  </si>
  <si>
    <t>0,5 l * 150 g/l</t>
  </si>
  <si>
    <t>Arioste 90 (0,5)</t>
  </si>
  <si>
    <t>0,5 l * 90 g/l</t>
  </si>
  <si>
    <t>Flordimex (0,2)</t>
  </si>
  <si>
    <t>0,2 l * 480 g/l</t>
  </si>
  <si>
    <t>Axial pratic 1l (pinoxaden 100g/L)</t>
  </si>
  <si>
    <t>Axial pratic 1l (Cloquintocet-mexyl 12,5g/L )</t>
  </si>
  <si>
    <t>Silwet (adjuvant)</t>
  </si>
  <si>
    <t>Kestrel (0,6)</t>
  </si>
  <si>
    <t>0,6 l * 80 g/l</t>
  </si>
  <si>
    <t>0,6 l * 160 g/l</t>
  </si>
  <si>
    <t>Heptamethyltrisiloxane modifie polyalkyleneoxide</t>
  </si>
  <si>
    <t>0,115 l * 845 g/l</t>
  </si>
  <si>
    <t>0,4 l * 160 g/l</t>
  </si>
  <si>
    <t>0,4 l * 80 g/l</t>
  </si>
  <si>
    <t>0,08 l * 845 g/l</t>
  </si>
  <si>
    <t>Kestrel (0,4)</t>
  </si>
  <si>
    <t>36 (parfois 50, boutons visibles)</t>
  </si>
  <si>
    <t>Les ZNT sont toutes toujours plus touchées par les pucerons cendrés avec des manchons beaucoup plus gros hormis B7.</t>
  </si>
  <si>
    <t>On voit des coccinelles un peu partout</t>
  </si>
  <si>
    <t>Meligethe Xenostrongylus : mi-mars quelques uns sont vus, 7/4 j'en observe 3 ou 4 par pied, le 9/4 comptage rapide à 3 par pied au Nord jusqu'à 8 au Sud, le 9/4 traitement, le 10/4 j'observe des taches sur les feuilles en bordure de B1 et de B7</t>
  </si>
  <si>
    <t>Meligethe Xenostrongylus : Les attaques de feuilles sont localisées dans les bordures (sur moins de 1 m) ainsi que dans la fourrière sud. On note l'absence d'attaques dans les ZNT. Les adultes ne sont plus très visibles (1 ou 2 par pieds en bordures). Si on secoue les pieds des bordures on voit les larves (vivantes) qui font environ 3 mm</t>
  </si>
  <si>
    <t>Actimum (Adjuvant)</t>
  </si>
  <si>
    <t xml:space="preserve"> Attaques de sitones, toutes les feuilles de tous les pieds sont touchés avec des morsures. On voit plusieurs individus par pied. Toujours présence de tâches marrons non identifées</t>
  </si>
  <si>
    <t>Toujours beaucoup de campagnols. J'en ai vu pas mal hier et aujourd'hui.</t>
  </si>
  <si>
    <t>Siliques violettes au niveau de la bordure est. Effet désherbant maïs</t>
  </si>
  <si>
    <t>Dégâts de charançons/cécidomyies visibles</t>
  </si>
  <si>
    <t>Progression des pucerons cendrés à partir des bordures (surtout côté ouest)</t>
  </si>
  <si>
    <t>Apparition de tâches blanches de 5 à 10 mm de diamètre et duveteuses. Oïdium ?</t>
  </si>
  <si>
    <t>Oïdium présent en B7 + vu sur B5, B4 et B2 mais moins développé</t>
  </si>
  <si>
    <t>Rouille</t>
  </si>
  <si>
    <t xml:space="preserve">Effets de charançons sur siliques visibles sans forcément semblé trop importants surtout en fourrière et en B7, également en B1, B2, B5. </t>
  </si>
  <si>
    <t>Talita (Tau-Fluvalinate)</t>
  </si>
  <si>
    <t>Tau-Fluvalinate</t>
  </si>
  <si>
    <t>0,2 L/ha * 240 g/L = 48 g/ha</t>
  </si>
  <si>
    <t>Propulse (Fluopyram)</t>
  </si>
  <si>
    <t>0,7 L/ha * 125 g/L = 87,5 g/ha</t>
  </si>
  <si>
    <t>Propulse (Prothioconazole)</t>
  </si>
  <si>
    <t>Klartan jet (Tau-Fluvalinate)</t>
  </si>
  <si>
    <t>2 L/ha * 18 g/L = 36 g/ha</t>
  </si>
  <si>
    <t>Pirimicarbe</t>
  </si>
  <si>
    <t>Klartan jet (Pirimicarbe)</t>
  </si>
  <si>
    <t>2 L/ha * 50 g/L = 100 g/ha</t>
  </si>
  <si>
    <t>Karaté K (Pirimicarbe)</t>
  </si>
  <si>
    <t>Karaté K (Lambda-cyhalothrine)</t>
  </si>
  <si>
    <t>Lambda-cyhalothrine</t>
  </si>
  <si>
    <t>1 L/ha * 5 g/L = 5 g/ha</t>
  </si>
  <si>
    <t>1 L/ha * 100 g/L = 100 g/ha</t>
  </si>
  <si>
    <t>Caramba star (Metconazole)</t>
  </si>
  <si>
    <t>0,6 L/ha * 90 g/L = 54 g/ha</t>
  </si>
  <si>
    <t>0,8 L/ha * 125 g/L = 100 g/ha</t>
  </si>
  <si>
    <t>0,6 L/ha * 125 g/L = 75 g/ha</t>
  </si>
  <si>
    <t>B1, 2, 3, 4, 5, 7</t>
  </si>
  <si>
    <t>Absence remarquée de pucerons dans les bandes, présence en bordures extérieurs seulement (B1W, B5E, B7W et B7E). Présence de coccinelles partout</t>
  </si>
  <si>
    <t>15 à 25 gousses par tige. Feuilles du bas qui dépérissent. Manchons de pucerons noirs (comptage à venir). Présence de coccinelles</t>
  </si>
  <si>
    <t>Augmentation de la pression rouille avec les toutes les feuilles touchées</t>
  </si>
  <si>
    <t>B4-B5</t>
  </si>
  <si>
    <t>Quelques très rares siliques touchées par une maladie (phoma, aleternaria ?)</t>
  </si>
  <si>
    <t>81 et plus (visiblement en avance sur les autres)</t>
  </si>
  <si>
    <r>
      <t xml:space="preserve">100% surface des feuilles du bas touchée par la rouille, </t>
    </r>
    <r>
      <rPr>
        <sz val="8"/>
        <color theme="1"/>
        <rFont val="Calibri"/>
        <family val="2"/>
      </rPr>
      <t>≈</t>
    </r>
    <r>
      <rPr>
        <sz val="6.8"/>
        <color theme="1"/>
        <rFont val="Calibri"/>
        <family val="2"/>
      </rPr>
      <t xml:space="preserve"> 20% surface des feuilles du haut touchée par la rouille</t>
    </r>
  </si>
  <si>
    <t>5 à 15 gousses par tige. Entre 3 et 4 grains par gousses. Gousses du bas séchée par la rouille (ce qui explique la baisse du nombres de gousse)</t>
  </si>
  <si>
    <t>La pression rouille a explosé en quelques jours, les feuilles se déssèchent</t>
  </si>
  <si>
    <t>Rendement à 9°H</t>
  </si>
  <si>
    <t>4,9% d'°H ; 48,2% teneur en huile</t>
  </si>
  <si>
    <t>5% d'°H ; 47,9% teneur en huile</t>
  </si>
  <si>
    <t>4,7% d'°H ; 48,7% teneur en huile</t>
  </si>
  <si>
    <t>4,6% d'°H ; 47,7% teneur en huile</t>
  </si>
  <si>
    <t>4,7% d'°H ; 48% teneur en huile</t>
  </si>
  <si>
    <t>2020/2022</t>
  </si>
  <si>
    <t>Moutarde blache sinus, 7 kg/ha</t>
  </si>
  <si>
    <t>Maïs</t>
  </si>
  <si>
    <t>2020-2021</t>
  </si>
  <si>
    <t>Seigle</t>
  </si>
  <si>
    <t>Levée du seigle moins bonne sur la ZN</t>
  </si>
  <si>
    <t>B0 - B9</t>
  </si>
  <si>
    <t>pas de roullage 10 mm le 16/08, 7kg de produit/ha=0,7 g/m² avec un PGM de 5,6 on a 125gr/m²</t>
  </si>
  <si>
    <t>Seigle forestier</t>
  </si>
  <si>
    <t>3T+MB</t>
  </si>
  <si>
    <t>Nouvelle levée</t>
  </si>
  <si>
    <t>4-5T+MB</t>
  </si>
  <si>
    <t>Repousse de colza</t>
  </si>
  <si>
    <t>Vibrance Gold</t>
  </si>
  <si>
    <t xml:space="preserve">Blé </t>
  </si>
  <si>
    <t>Petit Claas</t>
  </si>
  <si>
    <t>Densité 250gr/m², PMG 46g, (((250*10000)*46)/1000)/100000 = 1,15q/ha de semences</t>
  </si>
  <si>
    <t>Sedaxane</t>
  </si>
  <si>
    <t>Densité 210gr/m², PMG 46g, (((210*10000)*46)/1000)/100000 = 0,966q/ha de semences</t>
  </si>
  <si>
    <t>B1, 2, 3, 4,7</t>
  </si>
  <si>
    <t>2 feuilles étallées la troisième pointante</t>
  </si>
  <si>
    <t>Forte attaque de taupins dans le nord de la bande…. Sursemis envisagé</t>
  </si>
  <si>
    <t>B0</t>
  </si>
  <si>
    <t>30 - Début montaison</t>
  </si>
  <si>
    <t>30 - Début montaison - Certains pieds à épi 1 cm</t>
  </si>
  <si>
    <t>3F</t>
  </si>
  <si>
    <t>3-4F</t>
  </si>
  <si>
    <t>Tallage</t>
  </si>
  <si>
    <t>On observe beaucoup de levée de vesce et petites dicots</t>
  </si>
  <si>
    <t>Le sursemis a été en presque totalité arraché par les corbeaux les 2 dernières semaines. Ce qu'il reste du sursemis est attaquée par des lapins ou des oiseaux, la première feuille est presque toujours coupée à mi hauteur.</t>
  </si>
  <si>
    <t>Les colzas ont leur compte cette fois ci - Les dégâts mulots sont plus faciles à voir, ils semblent moins forts que l'an dernier.</t>
  </si>
  <si>
    <t>Le peuplement est très dense et un peu plaqué - Quelques feuilles sont blanches avec des zones translucides, ce que je suppose être lié aux quelques gelées (-2.5°C au 9 décembre) sans être sûr.</t>
  </si>
  <si>
    <t>50% à épi 1 cm</t>
  </si>
  <si>
    <t>1T + MB</t>
  </si>
  <si>
    <t>5T + MB</t>
  </si>
  <si>
    <t>Montaison</t>
  </si>
  <si>
    <t>Epi 0,5cm</t>
  </si>
  <si>
    <t>Karaté Zéon</t>
  </si>
  <si>
    <t>0,075L/ha*100g/L = 7,5g/ha</t>
  </si>
  <si>
    <t>0,55L/ha*200g/ha = 110g/ha</t>
  </si>
  <si>
    <t>0,55L/ha*400g/ha = 220g/ha</t>
  </si>
  <si>
    <t>260*0,36 = 93,6uN et 260*0,04 = 10,4uS</t>
  </si>
  <si>
    <t>100*0,34 = 34uN et 100*0,08 = 8uS</t>
  </si>
  <si>
    <t>270*0,36 = 97,2uN et 270*0,04 = 10,8uS</t>
  </si>
  <si>
    <t>EXTASE</t>
  </si>
  <si>
    <t>2020-2022</t>
  </si>
  <si>
    <t>2020-2023</t>
  </si>
  <si>
    <t>260*0,36 = 93,6uN et 260*0,08 = 20,8uS</t>
  </si>
  <si>
    <t>Moutarde blanche</t>
  </si>
  <si>
    <t>Broyage moutarde</t>
  </si>
  <si>
    <t>2020-2024</t>
  </si>
  <si>
    <t>2020-2025</t>
  </si>
  <si>
    <t>400*0,12 = 48uN</t>
  </si>
  <si>
    <t>assez agréssif</t>
  </si>
  <si>
    <t>Arkem</t>
  </si>
  <si>
    <t>Metsulfuron-methyl</t>
  </si>
  <si>
    <t>300*10*50PMG = 1,5q/ha</t>
  </si>
  <si>
    <t>1-2 nds</t>
  </si>
  <si>
    <t>Epi 1cm - 1 nd</t>
  </si>
  <si>
    <t>2 nds</t>
  </si>
  <si>
    <t>Epi 0,7cm</t>
  </si>
  <si>
    <t>1 nd</t>
  </si>
  <si>
    <t>2-3 nds</t>
  </si>
  <si>
    <t>1 nd, E 2 cm</t>
  </si>
  <si>
    <t>1-2 nd, E 7 cm</t>
  </si>
  <si>
    <t>E 1-2 cm</t>
  </si>
  <si>
    <t>1 nd, E 1-2 cm</t>
  </si>
  <si>
    <t>0,015kg/ha * 200g/kg = 3g/ha</t>
  </si>
  <si>
    <t>0,55L/ha*200g/L = 110g/ha</t>
  </si>
  <si>
    <t>0,55L/ha*400g/L = 220g/ha</t>
  </si>
  <si>
    <t>150*0,34 = 51uN et 150*0,08 = 12 uS</t>
  </si>
  <si>
    <t>94uN - 10uS</t>
  </si>
  <si>
    <t>34uN - 8uS</t>
  </si>
  <si>
    <t>97uN - 11uS</t>
  </si>
  <si>
    <t>94 uN - 21uS</t>
  </si>
  <si>
    <t>Solution 36N.8S</t>
  </si>
  <si>
    <t>Solution 36N.4S</t>
  </si>
  <si>
    <t>200*0,36 = 72uN et 200*0,04 = 8uS</t>
  </si>
  <si>
    <t>72uN - 8uS</t>
  </si>
  <si>
    <t>25 g/L * 0,2 L/q * 250 grains/m2 *0,046 g/grain * 0,00001 q/g * 10000 m2/ha = 5,8g/ha</t>
  </si>
  <si>
    <t>50 g/L * 0,2 L/q * 210 grains/m2 *0,046 g/grain * 0,00001 q/g * 10000 m2/ha = 9,7g/ha</t>
  </si>
  <si>
    <t>25 g/L * 0,2 L/q * 210 grains/m2 *0,046 g/grain * 0,00001 q/g * 10000 m2/ha = 4,8g/ha</t>
  </si>
  <si>
    <t>Mefentrifluconazole</t>
  </si>
  <si>
    <t xml:space="preserve"> Les ZN B8 et B6 ne semblent pas ou peu décrocher</t>
  </si>
  <si>
    <t>Les ZNT se démarquent sur B2, B3 et peut être B4. Sans doutes les effets du régulateur. De loin je n'ai pas vu d'effets en B7 et B8 mais à vérifier.</t>
  </si>
  <si>
    <t>B6-B8</t>
  </si>
  <si>
    <t>Bio - B8</t>
  </si>
  <si>
    <t>B2, B3, B4</t>
  </si>
  <si>
    <t>B2, 3, 4</t>
  </si>
  <si>
    <t>B6 semble souffrir. Il y a des feuilles qui rougissent depuis la pointe. Probables effets combinés du coup de herse trop couvrant du gel et du manque d'azote.</t>
  </si>
  <si>
    <t>Dernière feuille étalée</t>
  </si>
  <si>
    <t>ATTLASS</t>
  </si>
  <si>
    <t>désherbage manuel chardon</t>
  </si>
  <si>
    <t>min/ha</t>
  </si>
  <si>
    <t>Vibrance Gold (Sedaxane)</t>
  </si>
  <si>
    <t>50 g/L * 0,2 L/q * 250 grains/m2 *0,046 g/grain * 0,00001 q/g * 10000 m2/ha = 11,5g/ha</t>
  </si>
  <si>
    <t>Fosburi (Diflufenican)</t>
  </si>
  <si>
    <t>Cloquintocet mexyl</t>
  </si>
  <si>
    <t>Axial Pratic (Pinoxaden)</t>
  </si>
  <si>
    <t>Axial Pratic (Cloquintocet mexyl)</t>
  </si>
  <si>
    <t>1L/ha*50g/L = 50g/ha</t>
  </si>
  <si>
    <t>1L/ha*12,5g/L = 12,5g/ha</t>
  </si>
  <si>
    <t>Huile</t>
  </si>
  <si>
    <t>150*,039 = 58,5uN</t>
  </si>
  <si>
    <t>Revystar XL (Mefentrifluconazole)</t>
  </si>
  <si>
    <t>0,75L/ha*100g/L = 75g/ha</t>
  </si>
  <si>
    <t>Revystar XL (Fluxapyroxad)</t>
  </si>
  <si>
    <t>Fluxapyroxade</t>
  </si>
  <si>
    <t>0,75L/ha*50g/L = 37,5g/ha</t>
  </si>
  <si>
    <t>Kestrel (Tebuconazole)</t>
  </si>
  <si>
    <t>Kestrel (Prothioconazole)</t>
  </si>
  <si>
    <t>0,5L/ha*80g/L = 40g/ha</t>
  </si>
  <si>
    <t>0,5L/ha*160g/L = 80g/ha</t>
  </si>
  <si>
    <t>Désherbage manuel chardon</t>
  </si>
  <si>
    <t>Sérénium (Trinexapac)</t>
  </si>
  <si>
    <t>Sérénium (Prohexadione)</t>
  </si>
  <si>
    <t>0,4kg/ha*50g/kg = 20g/ha</t>
  </si>
  <si>
    <t>0,4kg/ha*75g/kg = 30g/ha</t>
  </si>
  <si>
    <t>Fenpropidine</t>
  </si>
  <si>
    <t>Voltaïk (Fenpropidine)</t>
  </si>
  <si>
    <t>Voltaïk (Prochloraze)</t>
  </si>
  <si>
    <t>Prochloraze</t>
  </si>
  <si>
    <t>Voltaïk (Tebuconazole)</t>
  </si>
  <si>
    <t>0,7L/ha*150g/L = 105g/ha</t>
  </si>
  <si>
    <t>0,7L/ha*200g/L = 140g/ha</t>
  </si>
  <si>
    <t>0,7L/ha*100g/L = 70g/ha</t>
  </si>
  <si>
    <t>3kg/ha*800g/kg = 2400g/ha</t>
  </si>
  <si>
    <t>Soufre</t>
  </si>
  <si>
    <t>0,6L/ha*80g/L = 48g/ha</t>
  </si>
  <si>
    <t>0,6L/ha*160g/L = 96g/ha</t>
  </si>
  <si>
    <t>Localisé sur taches de ray-grass</t>
  </si>
  <si>
    <t>Attention le désherbant de B5 a été appliqué par erreur sur les 100 m les plus au sud ce jour !!! (Passage sur les BP)</t>
  </si>
  <si>
    <t>50 g/L * 0,2 L/q * 300 grains/m2 *0,050 g/grain * 0,00001 q/g * 10000 m2/ha = 15g/ha</t>
  </si>
  <si>
    <t>25 g/L * 0,2 L/q * 300 grains/m2 *0,050 g/grain * 0,00001 q/g * 10000 m2/ha = 7,5g/ha</t>
  </si>
  <si>
    <t>1L/ha*1g/L = 1g/ha</t>
  </si>
  <si>
    <t>1L/ha*100g/L = 100g/ha</t>
  </si>
  <si>
    <t>Florasulam + Fluroxypyr</t>
  </si>
  <si>
    <t>48 uN - Axe N12</t>
  </si>
  <si>
    <t>Ecimeuse</t>
  </si>
  <si>
    <t>Coquelicots au sud</t>
  </si>
  <si>
    <t>Avant moisson, on observe un peu de verse sur les ZNT B1, B2, B3, B4 ; Hors ZNT en B2, B3, B7, B8</t>
  </si>
  <si>
    <t>Floraison</t>
  </si>
  <si>
    <t>Beaucoup de pucerons</t>
  </si>
  <si>
    <t>14,3°H, PS 74,8, Prot 10,1</t>
  </si>
  <si>
    <t>14,1°H, PS 74,2, Prot 10,7</t>
  </si>
  <si>
    <t>14,2°H, PS 76,2, Prot 10,9</t>
  </si>
  <si>
    <t>14,6°H, PS 74, Prot 9,8</t>
  </si>
  <si>
    <t>15,6°H, PS 69,2, Prot 11,8</t>
  </si>
  <si>
    <t>14,0°H, PS 75,9, Prot 10,3</t>
  </si>
  <si>
    <t>En t brute</t>
  </si>
  <si>
    <t>1,75 N ammoniacal + 2,5 N org</t>
  </si>
  <si>
    <t>40*4,25 = 170uN (Voir fiche engrais : Analyses Lisiers Fev 2021 - Nenufar)</t>
  </si>
  <si>
    <t>Thiovit jet microbilles</t>
  </si>
  <si>
    <t>2021-2022</t>
  </si>
  <si>
    <t>On lève la herse pour semer en direct</t>
  </si>
  <si>
    <t>Avoine Brésiliènne</t>
  </si>
  <si>
    <t>Mélilot, phacélie, trèfle</t>
  </si>
  <si>
    <t>Radis chinois</t>
  </si>
  <si>
    <t>Sur le rang de maïs</t>
  </si>
  <si>
    <t>Trèfle d'Alexandrie</t>
  </si>
  <si>
    <t>Inter-cultures</t>
  </si>
  <si>
    <t>Moutarde d'Abyssinie</t>
  </si>
  <si>
    <t>360 g/L*2,2 L/ha = 792 g/ha</t>
  </si>
  <si>
    <t xml:space="preserve">Glyphosate </t>
  </si>
  <si>
    <t>792 g</t>
  </si>
  <si>
    <t>Hockey Pro 360 (Glyphosate)</t>
  </si>
  <si>
    <t>Maïs P9300</t>
  </si>
  <si>
    <t>Strip till</t>
  </si>
  <si>
    <t>Redigo M (Prothioconazole)</t>
  </si>
  <si>
    <t>Redigo M (Métalaxyl)</t>
  </si>
  <si>
    <t>Métalaxyl</t>
  </si>
  <si>
    <t>Lumibio Kelta</t>
  </si>
  <si>
    <t>0,64 g</t>
  </si>
  <si>
    <t>3,18 g</t>
  </si>
  <si>
    <t>Force 20 CS (Tefluthrine)</t>
  </si>
  <si>
    <t>20 g/L*0,015 L/50000 gr*106000 gr/ha = 0,64 g/ha</t>
  </si>
  <si>
    <t>100 g/L*0,015 L/50000 gr*106000 gr/ha = 3,18 g/ha</t>
  </si>
  <si>
    <t>Tefluthrine</t>
  </si>
  <si>
    <t>21,2 g</t>
  </si>
  <si>
    <t>200 g/L*0,05 L/50000 gr*106000 gr/ha = 21,2 g/ha</t>
  </si>
  <si>
    <t>Korit 420 FS (Ziram)</t>
  </si>
  <si>
    <t>420 g/L*0,6 L/q*0,35 g/gr*0,00001 q/g*106000 gr/ha = 93,5 g/ha</t>
  </si>
  <si>
    <t>Ziram</t>
  </si>
  <si>
    <t>93,5 g</t>
  </si>
  <si>
    <t xml:space="preserve">Résidus </t>
  </si>
  <si>
    <t>Trika Lambda 1 (Lambda Cyhalothrin)</t>
  </si>
  <si>
    <t>4 g/kg*12 kg/ha = 48 g/ha</t>
  </si>
  <si>
    <t>Lambda Cyhalothrin</t>
  </si>
  <si>
    <t>48 g</t>
  </si>
  <si>
    <t>Résidus</t>
  </si>
  <si>
    <t>Plus dense semi direct, PMG = 350 g</t>
  </si>
  <si>
    <t>20 g/L*0,015 L/50000 gr*96000 gr/ha = 0,58 g/ha</t>
  </si>
  <si>
    <t>2,88 g</t>
  </si>
  <si>
    <t>0,58 g</t>
  </si>
  <si>
    <t>Vibrance (Sédaxane)</t>
  </si>
  <si>
    <t xml:space="preserve">500 g/L* 0,015 L/50000 gr*96000 gr/ha = 14,4 g/ha </t>
  </si>
  <si>
    <t>14,4 g</t>
  </si>
  <si>
    <t>200 g/L*0,05 L/50000 gr*96000 gr/ha = 19,2 g/ha</t>
  </si>
  <si>
    <t>19,2 g</t>
  </si>
  <si>
    <t>100 g/L*0,015 L/50000 gr*106000 gr/ha = 2,88 g/ha</t>
  </si>
  <si>
    <t>420 g/L*0,6 L/q*0,35 g/gr*0,00001 q/g*96000 gr/ha = 84,7 g/ha</t>
  </si>
  <si>
    <t>Aliseo Gold Safeneur (Benoxacore)</t>
  </si>
  <si>
    <t>Aliseo Gold Safeneur (S-métolachlore)</t>
  </si>
  <si>
    <t>45 g/L*1 L/ha = 45 g/ha</t>
  </si>
  <si>
    <t>915 g/L*1 L/ha = 915 g/ha</t>
  </si>
  <si>
    <t xml:space="preserve">Bénoxacore </t>
  </si>
  <si>
    <t>45 g</t>
  </si>
  <si>
    <t xml:space="preserve">S-Métolachlore </t>
  </si>
  <si>
    <t>915 g</t>
  </si>
  <si>
    <t>Dakota P (Diméthénamide P)</t>
  </si>
  <si>
    <t>Dakota P (Pendiméthaline)</t>
  </si>
  <si>
    <t>212,5 g/L*3,5 L/ha = 744 g/ha</t>
  </si>
  <si>
    <t>250 g/L*3,5 L/ha = 875 g/ha</t>
  </si>
  <si>
    <t>Diméthénamide P</t>
  </si>
  <si>
    <t>744 g</t>
  </si>
  <si>
    <t>Pendiméthaline</t>
  </si>
  <si>
    <t>875 g</t>
  </si>
  <si>
    <t>Maïs Adevey</t>
  </si>
  <si>
    <t>MnZn</t>
  </si>
  <si>
    <t>48,8 g</t>
  </si>
  <si>
    <t>150 *0,39 = 58 uN</t>
  </si>
  <si>
    <t>58 uN</t>
  </si>
  <si>
    <t>Lisier Bos</t>
  </si>
  <si>
    <t>Maïs P8888</t>
  </si>
  <si>
    <t>84,7 g</t>
  </si>
  <si>
    <t>Direct</t>
  </si>
  <si>
    <t>Maïs P9610</t>
  </si>
  <si>
    <t>90 uN</t>
  </si>
  <si>
    <t>Nénufar - 3,39 dont 1,17 NH4 et 2,22 org., voir fiche engrais "Lisier_B7_B9_Avril22"</t>
  </si>
  <si>
    <t>119 uN</t>
  </si>
</sst>
</file>

<file path=xl/styles.xml><?xml version="1.0" encoding="utf-8"?>
<styleSheet xmlns="http://schemas.openxmlformats.org/spreadsheetml/2006/main">
  <numFmts count="2">
    <numFmt numFmtId="164" formatCode="dd/mm/yy;@"/>
    <numFmt numFmtId="165" formatCode="0.0"/>
  </numFmts>
  <fonts count="16">
    <font>
      <sz val="11"/>
      <color theme="1"/>
      <name val="Calibri"/>
      <family val="2"/>
      <scheme val="minor"/>
    </font>
    <font>
      <b/>
      <sz val="11"/>
      <color theme="1"/>
      <name val="Calibri"/>
      <family val="2"/>
      <scheme val="minor"/>
    </font>
    <font>
      <sz val="11"/>
      <color indexed="8"/>
      <name val="Calibri"/>
      <family val="2"/>
    </font>
    <font>
      <sz val="10"/>
      <color indexed="8"/>
      <name val="Arial"/>
      <family val="2"/>
    </font>
    <font>
      <sz val="9"/>
      <color indexed="81"/>
      <name val="Tahoma"/>
      <family val="2"/>
    </font>
    <font>
      <b/>
      <sz val="9"/>
      <color indexed="81"/>
      <name val="Tahoma"/>
      <family val="2"/>
    </font>
    <font>
      <sz val="11"/>
      <color theme="1"/>
      <name val="Calibri"/>
      <family val="2"/>
      <scheme val="minor"/>
    </font>
    <font>
      <b/>
      <i/>
      <sz val="11"/>
      <color theme="1"/>
      <name val="Calibri"/>
      <family val="2"/>
      <scheme val="minor"/>
    </font>
    <font>
      <b/>
      <sz val="8"/>
      <color theme="1"/>
      <name val="Calibri"/>
      <family val="2"/>
      <scheme val="minor"/>
    </font>
    <font>
      <sz val="8"/>
      <color theme="1"/>
      <name val="Calibri"/>
      <family val="2"/>
      <scheme val="minor"/>
    </font>
    <font>
      <sz val="11"/>
      <color rgb="FFFF0000"/>
      <name val="Calibri"/>
      <family val="2"/>
    </font>
    <font>
      <sz val="12"/>
      <color theme="1"/>
      <name val="Calibri"/>
      <family val="2"/>
      <scheme val="minor"/>
    </font>
    <font>
      <sz val="11"/>
      <name val="Calibri"/>
      <family val="2"/>
    </font>
    <font>
      <sz val="8"/>
      <color theme="1"/>
      <name val="Calibri"/>
      <family val="2"/>
    </font>
    <font>
      <sz val="6.8"/>
      <color theme="1"/>
      <name val="Calibri"/>
      <family val="2"/>
    </font>
    <font>
      <sz val="8"/>
      <name val="Calibri"/>
      <family val="2"/>
      <scheme val="minor"/>
    </font>
  </fonts>
  <fills count="10">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C000"/>
        <bgColor indexed="64"/>
      </patternFill>
    </fill>
  </fills>
  <borders count="33">
    <border>
      <left/>
      <right/>
      <top/>
      <bottom/>
      <diagonal/>
    </border>
    <border>
      <left style="thin">
        <color indexed="22"/>
      </left>
      <right style="thin">
        <color indexed="22"/>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bottom/>
      <diagonal/>
    </border>
    <border>
      <left style="thin">
        <color indexed="64"/>
      </left>
      <right style="thin">
        <color indexed="64"/>
      </right>
      <top/>
      <bottom style="thin">
        <color indexed="22"/>
      </bottom>
      <diagonal/>
    </border>
    <border>
      <left/>
      <right style="thin">
        <color indexed="64"/>
      </right>
      <top style="thin">
        <color indexed="64"/>
      </top>
      <bottom/>
      <diagonal/>
    </border>
    <border>
      <left/>
      <right style="thin">
        <color indexed="64"/>
      </right>
      <top/>
      <bottom style="thin">
        <color indexed="64"/>
      </bottom>
      <diagonal/>
    </border>
    <border>
      <left style="thin">
        <color auto="1"/>
      </left>
      <right style="thin">
        <color auto="1"/>
      </right>
      <top style="thin">
        <color auto="1"/>
      </top>
      <bottom/>
      <diagonal/>
    </border>
    <border>
      <left/>
      <right style="thin">
        <color indexed="22"/>
      </right>
      <top style="thin">
        <color indexed="22"/>
      </top>
      <bottom style="thin">
        <color indexed="2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3" fillId="0" borderId="0"/>
    <xf numFmtId="9" fontId="6" fillId="0" borderId="0" applyFont="0" applyFill="0" applyBorder="0" applyAlignment="0" applyProtection="0"/>
    <xf numFmtId="0" fontId="11" fillId="0" borderId="0"/>
  </cellStyleXfs>
  <cellXfs count="110">
    <xf numFmtId="0" fontId="0" fillId="0" borderId="0" xfId="0"/>
    <xf numFmtId="0" fontId="1" fillId="0" borderId="0" xfId="0" applyFont="1" applyAlignment="1">
      <alignment horizontal="center"/>
    </xf>
    <xf numFmtId="0" fontId="2" fillId="0" borderId="1" xfId="1" applyFont="1" applyFill="1" applyBorder="1" applyAlignment="1">
      <alignment horizontal="right" wrapText="1"/>
    </xf>
    <xf numFmtId="0" fontId="2" fillId="0" borderId="1" xfId="1" applyFont="1" applyFill="1" applyBorder="1" applyAlignment="1">
      <alignment wrapText="1"/>
    </xf>
    <xf numFmtId="0" fontId="2" fillId="0" borderId="0" xfId="1" applyFont="1" applyFill="1" applyBorder="1" applyAlignment="1">
      <alignment horizontal="right" wrapText="1"/>
    </xf>
    <xf numFmtId="0" fontId="0" fillId="0" borderId="0" xfId="0" applyAlignment="1">
      <alignment horizontal="center"/>
    </xf>
    <xf numFmtId="0" fontId="2" fillId="0" borderId="2" xfId="1" applyFont="1" applyFill="1" applyBorder="1" applyAlignment="1">
      <alignment horizontal="right" wrapText="1"/>
    </xf>
    <xf numFmtId="0" fontId="2" fillId="0" borderId="3" xfId="1" applyFont="1" applyFill="1" applyBorder="1" applyAlignment="1">
      <alignment wrapText="1"/>
    </xf>
    <xf numFmtId="0" fontId="2" fillId="0" borderId="4" xfId="1" applyFont="1" applyFill="1" applyBorder="1" applyAlignment="1">
      <alignment wrapText="1"/>
    </xf>
    <xf numFmtId="0" fontId="2" fillId="0" borderId="5" xfId="1" applyFont="1" applyFill="1" applyBorder="1" applyAlignment="1">
      <alignment wrapText="1"/>
    </xf>
    <xf numFmtId="0" fontId="2" fillId="0" borderId="6" xfId="1" applyFont="1" applyFill="1" applyBorder="1" applyAlignment="1">
      <alignment wrapText="1"/>
    </xf>
    <xf numFmtId="0" fontId="2" fillId="0" borderId="7" xfId="1" applyFont="1" applyFill="1" applyBorder="1" applyAlignment="1">
      <alignment wrapText="1"/>
    </xf>
    <xf numFmtId="0" fontId="0" fillId="0" borderId="0" xfId="0" applyAlignment="1">
      <alignment wrapText="1"/>
    </xf>
    <xf numFmtId="0" fontId="0" fillId="0" borderId="0" xfId="0" applyBorder="1" applyAlignment="1">
      <alignment wrapText="1"/>
    </xf>
    <xf numFmtId="0" fontId="2" fillId="0" borderId="0" xfId="1" applyFont="1" applyFill="1" applyBorder="1" applyAlignment="1">
      <alignment wrapText="1"/>
    </xf>
    <xf numFmtId="0" fontId="2" fillId="0" borderId="8" xfId="1" applyFont="1" applyFill="1" applyBorder="1" applyAlignment="1">
      <alignment wrapText="1"/>
    </xf>
    <xf numFmtId="0" fontId="1" fillId="2" borderId="0" xfId="0" applyFont="1" applyFill="1" applyAlignment="1">
      <alignment horizontal="center"/>
    </xf>
    <xf numFmtId="0" fontId="1" fillId="3" borderId="0" xfId="0" applyFont="1" applyFill="1" applyAlignment="1">
      <alignment horizontal="center"/>
    </xf>
    <xf numFmtId="0" fontId="0" fillId="3" borderId="0" xfId="0" applyFill="1"/>
    <xf numFmtId="0" fontId="1" fillId="4" borderId="0" xfId="0" applyFont="1" applyFill="1" applyAlignment="1">
      <alignment horizontal="center"/>
    </xf>
    <xf numFmtId="0" fontId="0" fillId="4" borderId="0" xfId="0" applyFill="1" applyAlignment="1">
      <alignment horizontal="center"/>
    </xf>
    <xf numFmtId="0" fontId="0" fillId="4" borderId="0" xfId="0" applyFill="1"/>
    <xf numFmtId="0" fontId="0" fillId="2" borderId="0" xfId="0" applyFill="1" applyAlignment="1">
      <alignment horizontal="center"/>
    </xf>
    <xf numFmtId="0" fontId="1" fillId="5" borderId="0" xfId="0" applyFont="1" applyFill="1" applyAlignment="1">
      <alignment horizontal="center"/>
    </xf>
    <xf numFmtId="0" fontId="0" fillId="5" borderId="0" xfId="0" applyFill="1" applyAlignment="1">
      <alignment horizontal="center"/>
    </xf>
    <xf numFmtId="0" fontId="0" fillId="5" borderId="0" xfId="0" applyFill="1"/>
    <xf numFmtId="0" fontId="7" fillId="6" borderId="0" xfId="0" applyFont="1" applyFill="1" applyAlignment="1">
      <alignment horizontal="center"/>
    </xf>
    <xf numFmtId="0" fontId="0" fillId="6" borderId="0" xfId="0" applyFill="1"/>
    <xf numFmtId="9" fontId="1" fillId="5" borderId="0" xfId="2" applyFont="1" applyFill="1" applyAlignment="1">
      <alignment horizontal="center"/>
    </xf>
    <xf numFmtId="9" fontId="0" fillId="5" borderId="0" xfId="2" applyFont="1" applyFill="1" applyAlignment="1">
      <alignment horizontal="center"/>
    </xf>
    <xf numFmtId="9" fontId="0" fillId="5" borderId="0" xfId="2" applyFont="1" applyFill="1"/>
    <xf numFmtId="0" fontId="2" fillId="0" borderId="10" xfId="1" applyFont="1" applyFill="1" applyBorder="1" applyAlignment="1">
      <alignment wrapText="1"/>
    </xf>
    <xf numFmtId="0" fontId="0" fillId="0" borderId="9" xfId="0" applyBorder="1" applyAlignment="1">
      <alignment wrapText="1"/>
    </xf>
    <xf numFmtId="0" fontId="1" fillId="0" borderId="0" xfId="0" applyFont="1" applyAlignment="1">
      <alignment wrapText="1"/>
    </xf>
    <xf numFmtId="0" fontId="2" fillId="0" borderId="11" xfId="1" applyFont="1" applyFill="1" applyBorder="1" applyAlignment="1">
      <alignment wrapText="1"/>
    </xf>
    <xf numFmtId="0" fontId="2" fillId="0" borderId="12" xfId="1" applyFont="1" applyFill="1" applyBorder="1" applyAlignment="1">
      <alignment wrapText="1"/>
    </xf>
    <xf numFmtId="0" fontId="0" fillId="0" borderId="13" xfId="0" applyBorder="1" applyAlignment="1">
      <alignment wrapText="1"/>
    </xf>
    <xf numFmtId="0" fontId="2" fillId="0" borderId="13" xfId="1" applyFont="1" applyFill="1" applyBorder="1" applyAlignment="1">
      <alignment wrapText="1"/>
    </xf>
    <xf numFmtId="0" fontId="0" fillId="0" borderId="10" xfId="0" applyBorder="1" applyAlignment="1">
      <alignment wrapText="1"/>
    </xf>
    <xf numFmtId="0" fontId="0" fillId="0" borderId="8" xfId="0" applyBorder="1" applyAlignment="1">
      <alignment wrapText="1"/>
    </xf>
    <xf numFmtId="0" fontId="2" fillId="0" borderId="15" xfId="1" applyFont="1" applyFill="1" applyBorder="1" applyAlignment="1">
      <alignment wrapText="1"/>
    </xf>
    <xf numFmtId="0" fontId="2" fillId="0" borderId="16" xfId="1" applyFont="1" applyFill="1" applyBorder="1" applyAlignment="1">
      <alignment wrapText="1"/>
    </xf>
    <xf numFmtId="0" fontId="0" fillId="0" borderId="14" xfId="0" applyBorder="1" applyAlignment="1">
      <alignment wrapText="1"/>
    </xf>
    <xf numFmtId="0" fontId="2" fillId="0" borderId="17" xfId="1" applyFont="1" applyFill="1" applyBorder="1" applyAlignment="1">
      <alignment wrapText="1"/>
    </xf>
    <xf numFmtId="0" fontId="0" fillId="2" borderId="0" xfId="0" applyFill="1"/>
    <xf numFmtId="0" fontId="8" fillId="5" borderId="0" xfId="0" applyFont="1" applyFill="1" applyAlignment="1">
      <alignment horizontal="center"/>
    </xf>
    <xf numFmtId="164" fontId="8" fillId="5" borderId="0" xfId="0" applyNumberFormat="1" applyFont="1" applyFill="1" applyAlignment="1">
      <alignment horizontal="center"/>
    </xf>
    <xf numFmtId="0" fontId="9" fillId="5" borderId="0" xfId="0" applyFont="1" applyFill="1" applyAlignment="1">
      <alignment horizontal="center"/>
    </xf>
    <xf numFmtId="164" fontId="9" fillId="5" borderId="0" xfId="0" applyNumberFormat="1" applyFont="1" applyFill="1" applyAlignment="1">
      <alignment horizontal="center"/>
    </xf>
    <xf numFmtId="164" fontId="9" fillId="5" borderId="0" xfId="0" applyNumberFormat="1" applyFont="1" applyFill="1"/>
    <xf numFmtId="0" fontId="9" fillId="5" borderId="0" xfId="0" applyFont="1" applyFill="1"/>
    <xf numFmtId="0" fontId="2" fillId="0" borderId="18" xfId="1" applyFont="1" applyFill="1" applyBorder="1" applyAlignment="1">
      <alignment wrapText="1"/>
    </xf>
    <xf numFmtId="0" fontId="2" fillId="0" borderId="14" xfId="1" applyFont="1" applyFill="1" applyBorder="1" applyAlignment="1">
      <alignment wrapText="1"/>
    </xf>
    <xf numFmtId="0" fontId="10" fillId="0" borderId="12" xfId="1" applyFont="1" applyFill="1" applyBorder="1" applyAlignment="1">
      <alignment wrapText="1"/>
    </xf>
    <xf numFmtId="0" fontId="8" fillId="7" borderId="0" xfId="0" applyFont="1" applyFill="1" applyAlignment="1">
      <alignment horizontal="center"/>
    </xf>
    <xf numFmtId="0" fontId="9" fillId="7" borderId="0" xfId="0" applyFont="1" applyFill="1" applyAlignment="1">
      <alignment horizontal="center"/>
    </xf>
    <xf numFmtId="0" fontId="0" fillId="7" borderId="0" xfId="0" applyFill="1"/>
    <xf numFmtId="2" fontId="0" fillId="5" borderId="0" xfId="0" applyNumberFormat="1" applyFill="1" applyAlignment="1">
      <alignment horizontal="center"/>
    </xf>
    <xf numFmtId="1" fontId="0" fillId="5" borderId="0" xfId="0" applyNumberFormat="1" applyFill="1" applyAlignment="1">
      <alignment horizontal="center"/>
    </xf>
    <xf numFmtId="0" fontId="0" fillId="0" borderId="0" xfId="0"/>
    <xf numFmtId="0" fontId="9" fillId="5" borderId="0" xfId="0" applyFont="1" applyFill="1" applyBorder="1" applyAlignment="1">
      <alignment horizontal="center"/>
    </xf>
    <xf numFmtId="0" fontId="0" fillId="0" borderId="16" xfId="0" applyBorder="1" applyAlignment="1">
      <alignment wrapText="1"/>
    </xf>
    <xf numFmtId="0" fontId="0" fillId="0" borderId="19" xfId="0" applyBorder="1" applyAlignment="1">
      <alignment wrapText="1"/>
    </xf>
    <xf numFmtId="0" fontId="0" fillId="0" borderId="10" xfId="0" applyBorder="1" applyAlignment="1">
      <alignment horizontal="left" wrapText="1"/>
    </xf>
    <xf numFmtId="0" fontId="9" fillId="5" borderId="0" xfId="0" applyNumberFormat="1" applyFont="1" applyFill="1" applyAlignment="1">
      <alignment horizontal="center"/>
    </xf>
    <xf numFmtId="0" fontId="0" fillId="0" borderId="0" xfId="0" applyBorder="1" applyAlignment="1">
      <alignment horizontal="left" wrapText="1"/>
    </xf>
    <xf numFmtId="0" fontId="2" fillId="0" borderId="20" xfId="1" applyFont="1" applyFill="1" applyBorder="1" applyAlignment="1">
      <alignment wrapText="1"/>
    </xf>
    <xf numFmtId="0" fontId="2" fillId="0" borderId="12" xfId="1" applyFont="1" applyFill="1" applyBorder="1" applyAlignment="1">
      <alignment vertical="top" wrapText="1"/>
    </xf>
    <xf numFmtId="0" fontId="2" fillId="0" borderId="21" xfId="1" applyFont="1" applyFill="1" applyBorder="1" applyAlignment="1">
      <alignment horizontal="right" wrapText="1"/>
    </xf>
    <xf numFmtId="0" fontId="8" fillId="5" borderId="0" xfId="0" applyNumberFormat="1" applyFont="1" applyFill="1" applyAlignment="1">
      <alignment horizontal="center"/>
    </xf>
    <xf numFmtId="0" fontId="9" fillId="5" borderId="0" xfId="0" applyNumberFormat="1" applyFont="1" applyFill="1"/>
    <xf numFmtId="0" fontId="9" fillId="5" borderId="22" xfId="0" applyFont="1" applyFill="1" applyBorder="1" applyAlignment="1">
      <alignment horizontal="center"/>
    </xf>
    <xf numFmtId="0" fontId="9" fillId="5" borderId="23" xfId="0" applyFont="1" applyFill="1" applyBorder="1" applyAlignment="1">
      <alignment horizontal="center"/>
    </xf>
    <xf numFmtId="0" fontId="9" fillId="7" borderId="24" xfId="0" applyFont="1" applyFill="1" applyBorder="1" applyAlignment="1">
      <alignment horizontal="center"/>
    </xf>
    <xf numFmtId="0" fontId="9" fillId="5" borderId="25" xfId="0" applyFont="1" applyFill="1" applyBorder="1" applyAlignment="1">
      <alignment horizontal="center"/>
    </xf>
    <xf numFmtId="0" fontId="9" fillId="7" borderId="26" xfId="0" applyFont="1" applyFill="1" applyBorder="1" applyAlignment="1">
      <alignment horizontal="center"/>
    </xf>
    <xf numFmtId="0" fontId="9" fillId="5" borderId="27" xfId="0" applyFont="1" applyFill="1" applyBorder="1" applyAlignment="1">
      <alignment horizontal="center"/>
    </xf>
    <xf numFmtId="0" fontId="9" fillId="5" borderId="28" xfId="0" applyFont="1" applyFill="1" applyBorder="1" applyAlignment="1">
      <alignment horizontal="center"/>
    </xf>
    <xf numFmtId="0" fontId="9" fillId="7" borderId="29" xfId="0" applyFont="1" applyFill="1" applyBorder="1" applyAlignment="1">
      <alignment horizontal="center"/>
    </xf>
    <xf numFmtId="0" fontId="7" fillId="5" borderId="0" xfId="0" applyFont="1" applyFill="1" applyAlignment="1">
      <alignment horizontal="center"/>
    </xf>
    <xf numFmtId="164" fontId="8" fillId="6" borderId="0" xfId="0" applyNumberFormat="1" applyFont="1" applyFill="1" applyAlignment="1">
      <alignment horizontal="center"/>
    </xf>
    <xf numFmtId="0" fontId="8" fillId="6" borderId="0" xfId="0" applyNumberFormat="1" applyFont="1" applyFill="1" applyAlignment="1">
      <alignment horizontal="center" vertical="center"/>
    </xf>
    <xf numFmtId="164" fontId="9" fillId="6" borderId="0" xfId="0" applyNumberFormat="1" applyFont="1" applyFill="1" applyAlignment="1">
      <alignment horizontal="center"/>
    </xf>
    <xf numFmtId="0" fontId="9" fillId="6" borderId="0" xfId="0" applyNumberFormat="1" applyFont="1" applyFill="1" applyAlignment="1">
      <alignment horizontal="center" vertical="center"/>
    </xf>
    <xf numFmtId="164" fontId="9" fillId="6" borderId="23" xfId="0" applyNumberFormat="1" applyFont="1" applyFill="1" applyBorder="1" applyAlignment="1">
      <alignment horizontal="center"/>
    </xf>
    <xf numFmtId="0" fontId="9" fillId="6" borderId="23" xfId="0" applyNumberFormat="1" applyFont="1" applyFill="1" applyBorder="1" applyAlignment="1">
      <alignment horizontal="center" vertical="center"/>
    </xf>
    <xf numFmtId="164" fontId="9" fillId="6" borderId="0" xfId="0" applyNumberFormat="1" applyFont="1" applyFill="1" applyBorder="1" applyAlignment="1">
      <alignment horizontal="center"/>
    </xf>
    <xf numFmtId="0" fontId="9" fillId="6" borderId="0" xfId="0" applyNumberFormat="1" applyFont="1" applyFill="1" applyBorder="1" applyAlignment="1">
      <alignment horizontal="center" vertical="center"/>
    </xf>
    <xf numFmtId="164" fontId="9" fillId="6" borderId="28" xfId="0" applyNumberFormat="1" applyFont="1" applyFill="1" applyBorder="1" applyAlignment="1">
      <alignment horizontal="center"/>
    </xf>
    <xf numFmtId="0" fontId="9" fillId="6" borderId="28" xfId="0" applyNumberFormat="1" applyFont="1" applyFill="1" applyBorder="1" applyAlignment="1">
      <alignment horizontal="center" vertical="center"/>
    </xf>
    <xf numFmtId="164" fontId="9" fillId="6" borderId="0" xfId="0" applyNumberFormat="1" applyFont="1" applyFill="1"/>
    <xf numFmtId="164" fontId="9" fillId="6" borderId="23" xfId="0" applyNumberFormat="1" applyFont="1" applyFill="1" applyBorder="1"/>
    <xf numFmtId="164" fontId="9" fillId="6" borderId="0" xfId="0" applyNumberFormat="1" applyFont="1" applyFill="1" applyBorder="1"/>
    <xf numFmtId="164" fontId="9" fillId="6" borderId="28" xfId="0" applyNumberFormat="1" applyFont="1" applyFill="1" applyBorder="1"/>
    <xf numFmtId="0" fontId="12" fillId="0" borderId="12" xfId="1" applyFont="1" applyFill="1" applyBorder="1" applyAlignment="1">
      <alignment wrapText="1"/>
    </xf>
    <xf numFmtId="0" fontId="0" fillId="9" borderId="0" xfId="0" applyFill="1" applyAlignment="1">
      <alignment horizontal="center"/>
    </xf>
    <xf numFmtId="0" fontId="9" fillId="7" borderId="0" xfId="0" applyFont="1" applyFill="1" applyBorder="1" applyAlignment="1">
      <alignment horizontal="center"/>
    </xf>
    <xf numFmtId="0" fontId="9" fillId="5" borderId="30" xfId="0" applyFont="1" applyFill="1" applyBorder="1" applyAlignment="1">
      <alignment horizontal="center"/>
    </xf>
    <xf numFmtId="0" fontId="9" fillId="5" borderId="31" xfId="0" applyFont="1" applyFill="1" applyBorder="1" applyAlignment="1">
      <alignment horizontal="center"/>
    </xf>
    <xf numFmtId="164" fontId="9" fillId="6" borderId="31" xfId="0" applyNumberFormat="1" applyFont="1" applyFill="1" applyBorder="1"/>
    <xf numFmtId="0" fontId="9" fillId="6" borderId="31" xfId="0" applyNumberFormat="1" applyFont="1" applyFill="1" applyBorder="1" applyAlignment="1">
      <alignment horizontal="center" vertical="center"/>
    </xf>
    <xf numFmtId="0" fontId="9" fillId="7" borderId="32" xfId="0" applyFont="1" applyFill="1" applyBorder="1" applyAlignment="1">
      <alignment horizontal="center"/>
    </xf>
    <xf numFmtId="165" fontId="0" fillId="5" borderId="0" xfId="0" applyNumberFormat="1" applyFill="1" applyAlignment="1">
      <alignment horizontal="center"/>
    </xf>
    <xf numFmtId="1" fontId="0" fillId="5" borderId="0" xfId="0" applyNumberFormat="1" applyFill="1"/>
    <xf numFmtId="165" fontId="0" fillId="5" borderId="0" xfId="0" applyNumberFormat="1" applyFill="1"/>
    <xf numFmtId="0" fontId="9" fillId="7" borderId="0" xfId="0" applyFont="1" applyFill="1" applyAlignment="1">
      <alignment horizontal="center" wrapText="1"/>
    </xf>
    <xf numFmtId="16" fontId="0" fillId="0" borderId="0" xfId="0" applyNumberFormat="1"/>
    <xf numFmtId="2" fontId="0" fillId="5" borderId="0" xfId="0" applyNumberFormat="1" applyFill="1"/>
    <xf numFmtId="9" fontId="0" fillId="8" borderId="0" xfId="2" applyFont="1" applyFill="1" applyAlignment="1">
      <alignment horizontal="center"/>
    </xf>
    <xf numFmtId="0" fontId="0" fillId="8" borderId="0" xfId="0" applyFill="1"/>
  </cellXfs>
  <cellStyles count="4">
    <cellStyle name="Normal" xfId="0" builtinId="0"/>
    <cellStyle name="Normal 2" xfId="3"/>
    <cellStyle name="Normal_MD" xfId="1"/>
    <cellStyle name="Pourcentage"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Feuil1"/>
  <dimension ref="A1:AE1037"/>
  <sheetViews>
    <sheetView zoomScale="80" zoomScaleNormal="80" workbookViewId="0">
      <pane xSplit="5" ySplit="1" topLeftCell="F2" activePane="bottomRight" state="frozenSplit"/>
      <selection pane="topRight" activeCell="E1" sqref="E1"/>
      <selection pane="bottomLeft"/>
      <selection pane="bottomRight" activeCell="H187" sqref="H187"/>
    </sheetView>
  </sheetViews>
  <sheetFormatPr baseColWidth="10" defaultRowHeight="15"/>
  <cols>
    <col min="1" max="1" width="12.7109375" style="50" bestFit="1" customWidth="1"/>
    <col min="2" max="2" width="8.42578125" style="50" bestFit="1" customWidth="1"/>
    <col min="3" max="3" width="7.7109375" style="49" bestFit="1" customWidth="1"/>
    <col min="4" max="4" width="7.42578125" style="70" customWidth="1"/>
    <col min="5" max="5" width="18.28515625" style="47" bestFit="1" customWidth="1"/>
    <col min="6" max="6" width="16.42578125" style="18" bestFit="1" customWidth="1"/>
    <col min="7" max="7" width="46" style="18" customWidth="1"/>
    <col min="8" max="8" width="21.42578125" style="27" bestFit="1" customWidth="1"/>
    <col min="9" max="9" width="11.42578125" style="24"/>
    <col min="10" max="10" width="11.42578125" style="21"/>
    <col min="11" max="11" width="13.28515625" style="30" bestFit="1" customWidth="1"/>
    <col min="12" max="12" width="106.42578125" style="27" customWidth="1"/>
    <col min="13" max="13" width="28.5703125" style="25" customWidth="1"/>
    <col min="14" max="14" width="13" style="25" bestFit="1" customWidth="1"/>
    <col min="15" max="15" width="13.28515625" style="25" bestFit="1" customWidth="1"/>
    <col min="16" max="18" width="11.42578125" style="44"/>
    <col min="19" max="19" width="13.28515625" style="44" bestFit="1" customWidth="1"/>
    <col min="20" max="23" width="11.42578125" style="25"/>
    <col min="24" max="26" width="11.42578125" style="44"/>
    <col min="27" max="27" width="13.28515625" style="44" bestFit="1" customWidth="1"/>
    <col min="28" max="31" width="11.42578125" style="25"/>
  </cols>
  <sheetData>
    <row r="1" spans="1:31" s="1" customFormat="1">
      <c r="A1" s="45" t="s">
        <v>126</v>
      </c>
      <c r="B1" s="45" t="s">
        <v>0</v>
      </c>
      <c r="C1" s="46" t="s">
        <v>3</v>
      </c>
      <c r="D1" s="69" t="s">
        <v>198</v>
      </c>
      <c r="E1" s="45" t="s">
        <v>125</v>
      </c>
      <c r="F1" s="17" t="s">
        <v>1</v>
      </c>
      <c r="G1" s="17" t="s">
        <v>4</v>
      </c>
      <c r="H1" s="26" t="s">
        <v>96</v>
      </c>
      <c r="I1" s="23" t="s">
        <v>5</v>
      </c>
      <c r="J1" s="19" t="s">
        <v>6</v>
      </c>
      <c r="K1" s="28" t="s">
        <v>7</v>
      </c>
      <c r="L1" s="26" t="s">
        <v>127</v>
      </c>
      <c r="M1" s="79" t="s">
        <v>260</v>
      </c>
      <c r="N1" s="79" t="s">
        <v>381</v>
      </c>
      <c r="O1" s="79" t="s">
        <v>365</v>
      </c>
      <c r="P1" s="16" t="s">
        <v>9</v>
      </c>
      <c r="Q1" s="16" t="s">
        <v>10</v>
      </c>
      <c r="R1" s="16" t="s">
        <v>11</v>
      </c>
      <c r="S1" s="16" t="s">
        <v>8</v>
      </c>
      <c r="T1" s="23" t="s">
        <v>14</v>
      </c>
      <c r="U1" s="23" t="s">
        <v>15</v>
      </c>
      <c r="V1" s="23" t="s">
        <v>16</v>
      </c>
      <c r="W1" s="23" t="s">
        <v>12</v>
      </c>
      <c r="X1" s="16" t="s">
        <v>18</v>
      </c>
      <c r="Y1" s="16" t="s">
        <v>19</v>
      </c>
      <c r="Z1" s="16" t="s">
        <v>20</v>
      </c>
      <c r="AA1" s="16" t="s">
        <v>13</v>
      </c>
      <c r="AB1" s="23" t="s">
        <v>21</v>
      </c>
      <c r="AC1" s="23" t="s">
        <v>22</v>
      </c>
      <c r="AD1" s="23" t="s">
        <v>23</v>
      </c>
      <c r="AE1" s="23" t="s">
        <v>17</v>
      </c>
    </row>
    <row r="2" spans="1:31" s="5" customFormat="1">
      <c r="A2" s="47" t="s">
        <v>121</v>
      </c>
      <c r="B2" s="47" t="s">
        <v>122</v>
      </c>
      <c r="C2" s="48">
        <v>43013</v>
      </c>
      <c r="D2" s="64">
        <v>40</v>
      </c>
      <c r="E2" s="47" t="s">
        <v>123</v>
      </c>
      <c r="F2" s="18" t="s">
        <v>84</v>
      </c>
      <c r="G2" s="18" t="s">
        <v>30</v>
      </c>
      <c r="H2" s="27" t="s">
        <v>124</v>
      </c>
      <c r="I2" s="24">
        <v>1</v>
      </c>
      <c r="J2" s="20" t="str">
        <f>VLOOKUP(G2,MD!M$2:O$93,3,FALSE)</f>
        <v>ha</v>
      </c>
      <c r="K2" s="29">
        <v>1</v>
      </c>
      <c r="L2" s="27"/>
      <c r="M2" s="25"/>
      <c r="N2" s="25"/>
      <c r="O2" s="25"/>
      <c r="P2" s="22"/>
      <c r="Q2" s="22"/>
      <c r="R2" s="22"/>
      <c r="S2" s="22"/>
      <c r="T2" s="24"/>
      <c r="U2" s="24"/>
      <c r="V2" s="24"/>
      <c r="W2" s="24"/>
      <c r="X2" s="22"/>
      <c r="Y2" s="22"/>
      <c r="Z2" s="22"/>
      <c r="AA2" s="22"/>
      <c r="AB2" s="24"/>
      <c r="AC2" s="24"/>
      <c r="AD2" s="24"/>
      <c r="AE2" s="24"/>
    </row>
    <row r="3" spans="1:31">
      <c r="A3" s="47" t="s">
        <v>121</v>
      </c>
      <c r="B3" s="47" t="s">
        <v>122</v>
      </c>
      <c r="C3" s="48">
        <v>43013</v>
      </c>
      <c r="D3" s="64">
        <v>40</v>
      </c>
      <c r="E3" s="47" t="s">
        <v>123</v>
      </c>
      <c r="F3" s="18" t="s">
        <v>87</v>
      </c>
      <c r="G3" s="18" t="s">
        <v>93</v>
      </c>
      <c r="H3" s="27" t="s">
        <v>160</v>
      </c>
      <c r="I3" s="24">
        <v>220</v>
      </c>
      <c r="J3" s="20" t="str">
        <f>VLOOKUP(G3,MD!M$2:O$93,3,FALSE)</f>
        <v>gr./m2</v>
      </c>
      <c r="K3" s="29">
        <v>1</v>
      </c>
      <c r="P3" s="22"/>
      <c r="X3" s="22"/>
    </row>
    <row r="4" spans="1:31">
      <c r="A4" s="47" t="s">
        <v>121</v>
      </c>
      <c r="B4" s="47" t="s">
        <v>122</v>
      </c>
      <c r="C4" s="48">
        <v>43013</v>
      </c>
      <c r="D4" s="64">
        <v>40</v>
      </c>
      <c r="E4" s="47" t="s">
        <v>123</v>
      </c>
      <c r="F4" s="18" t="s">
        <v>89</v>
      </c>
      <c r="G4" s="18" t="s">
        <v>133</v>
      </c>
      <c r="H4" s="27" t="s">
        <v>97</v>
      </c>
      <c r="J4" s="20" t="str">
        <f>VLOOKUP(G4,MD!M$2:O$93,3,FALSE)</f>
        <v>Dose hom.</v>
      </c>
      <c r="K4" s="29">
        <v>1</v>
      </c>
      <c r="L4" s="27" t="s">
        <v>675</v>
      </c>
      <c r="M4" s="25" t="s">
        <v>263</v>
      </c>
      <c r="N4" s="25">
        <v>86</v>
      </c>
      <c r="O4" s="25" t="s">
        <v>358</v>
      </c>
      <c r="P4" s="22"/>
      <c r="X4" s="22"/>
    </row>
    <row r="5" spans="1:31" s="59" customFormat="1">
      <c r="A5" s="47" t="s">
        <v>121</v>
      </c>
      <c r="B5" s="47" t="s">
        <v>122</v>
      </c>
      <c r="C5" s="48">
        <v>43016</v>
      </c>
      <c r="D5" s="64">
        <v>40</v>
      </c>
      <c r="E5" s="47" t="s">
        <v>123</v>
      </c>
      <c r="F5" s="18" t="s">
        <v>83</v>
      </c>
      <c r="G5" s="18" t="s">
        <v>60</v>
      </c>
      <c r="H5" s="27"/>
      <c r="I5" s="24">
        <v>1</v>
      </c>
      <c r="J5" s="20" t="s">
        <v>70</v>
      </c>
      <c r="K5" s="29">
        <v>1</v>
      </c>
      <c r="L5" s="27"/>
      <c r="M5" s="25"/>
      <c r="N5" s="25"/>
      <c r="O5" s="25"/>
      <c r="P5" s="22"/>
      <c r="Q5" s="44"/>
      <c r="R5" s="44"/>
      <c r="S5" s="44"/>
      <c r="T5" s="25"/>
      <c r="U5" s="25"/>
      <c r="V5" s="25"/>
      <c r="W5" s="25"/>
      <c r="X5" s="22"/>
      <c r="Y5" s="44"/>
      <c r="Z5" s="44"/>
      <c r="AA5" s="44"/>
      <c r="AB5" s="25"/>
      <c r="AC5" s="25"/>
      <c r="AD5" s="25"/>
      <c r="AE5" s="25"/>
    </row>
    <row r="6" spans="1:31">
      <c r="A6" s="47" t="s">
        <v>121</v>
      </c>
      <c r="B6" s="47" t="s">
        <v>122</v>
      </c>
      <c r="C6" s="48">
        <v>43039</v>
      </c>
      <c r="D6" s="64">
        <v>44</v>
      </c>
      <c r="E6" s="47" t="s">
        <v>121</v>
      </c>
      <c r="F6" s="18" t="s">
        <v>86</v>
      </c>
      <c r="G6" s="18" t="s">
        <v>64</v>
      </c>
      <c r="I6" s="57">
        <v>1</v>
      </c>
      <c r="J6" s="20" t="str">
        <f>VLOOKUP(G6,MD!M$2:O$93,3,FALSE)</f>
        <v>ha</v>
      </c>
      <c r="K6" s="29">
        <v>1</v>
      </c>
      <c r="P6" s="22"/>
      <c r="X6" s="22"/>
    </row>
    <row r="7" spans="1:31">
      <c r="A7" s="47" t="s">
        <v>121</v>
      </c>
      <c r="B7" s="47" t="s">
        <v>122</v>
      </c>
      <c r="C7" s="48">
        <v>43039</v>
      </c>
      <c r="D7" s="64">
        <v>44</v>
      </c>
      <c r="E7" s="47" t="s">
        <v>121</v>
      </c>
      <c r="F7" s="18" t="s">
        <v>89</v>
      </c>
      <c r="G7" s="18" t="s">
        <v>113</v>
      </c>
      <c r="H7" s="27" t="s">
        <v>746</v>
      </c>
      <c r="I7" s="57">
        <f>4/4.5</f>
        <v>0.88888888888888884</v>
      </c>
      <c r="J7" s="20" t="str">
        <f>VLOOKUP(G7,MD!M$2:O$93,3,FALSE)</f>
        <v>Dose hom.</v>
      </c>
      <c r="K7" s="29">
        <v>1</v>
      </c>
      <c r="L7" s="27" t="s">
        <v>161</v>
      </c>
      <c r="M7" s="25" t="s">
        <v>402</v>
      </c>
      <c r="N7" s="25">
        <f>4*400</f>
        <v>1600</v>
      </c>
      <c r="O7" s="25" t="s">
        <v>358</v>
      </c>
      <c r="P7" s="22"/>
      <c r="X7" s="22"/>
    </row>
    <row r="8" spans="1:31" s="59" customFormat="1">
      <c r="A8" s="47" t="s">
        <v>121</v>
      </c>
      <c r="B8" s="47" t="s">
        <v>122</v>
      </c>
      <c r="C8" s="48">
        <v>43039</v>
      </c>
      <c r="D8" s="64">
        <v>44</v>
      </c>
      <c r="E8" s="47" t="s">
        <v>121</v>
      </c>
      <c r="F8" s="18" t="s">
        <v>89</v>
      </c>
      <c r="G8" s="18" t="s">
        <v>113</v>
      </c>
      <c r="H8" s="27" t="s">
        <v>747</v>
      </c>
      <c r="I8" s="57">
        <f>4/4.5</f>
        <v>0.88888888888888884</v>
      </c>
      <c r="J8" s="20" t="str">
        <f>VLOOKUP(G8,MD!M$2:O$93,3,FALSE)</f>
        <v>Dose hom.</v>
      </c>
      <c r="K8" s="29">
        <v>1</v>
      </c>
      <c r="L8" s="27" t="s">
        <v>161</v>
      </c>
      <c r="M8" s="25" t="s">
        <v>751</v>
      </c>
      <c r="N8" s="25">
        <f>4*25</f>
        <v>100</v>
      </c>
      <c r="O8" s="25" t="s">
        <v>358</v>
      </c>
      <c r="P8" s="22"/>
      <c r="Q8" s="44"/>
      <c r="R8" s="44"/>
      <c r="S8" s="44"/>
      <c r="T8" s="25"/>
      <c r="U8" s="25"/>
      <c r="V8" s="25"/>
      <c r="W8" s="25"/>
      <c r="X8" s="22"/>
      <c r="Y8" s="44"/>
      <c r="Z8" s="44"/>
      <c r="AA8" s="44"/>
      <c r="AB8" s="25"/>
      <c r="AC8" s="25"/>
      <c r="AD8" s="25"/>
      <c r="AE8" s="25"/>
    </row>
    <row r="9" spans="1:31">
      <c r="A9" s="47" t="s">
        <v>121</v>
      </c>
      <c r="B9" s="47" t="s">
        <v>122</v>
      </c>
      <c r="C9" s="48">
        <v>43165</v>
      </c>
      <c r="D9" s="64">
        <v>10</v>
      </c>
      <c r="E9" s="47" t="s">
        <v>121</v>
      </c>
      <c r="F9" s="18" t="s">
        <v>85</v>
      </c>
      <c r="G9" s="18" t="s">
        <v>67</v>
      </c>
      <c r="I9" s="24">
        <v>1</v>
      </c>
      <c r="J9" s="20" t="str">
        <f>VLOOKUP(G9,MD!M$2:O$93,3,FALSE)</f>
        <v>ha</v>
      </c>
      <c r="K9" s="29">
        <v>0.96</v>
      </c>
      <c r="P9" s="22"/>
      <c r="X9" s="22"/>
    </row>
    <row r="10" spans="1:31">
      <c r="A10" s="47" t="s">
        <v>121</v>
      </c>
      <c r="B10" s="47" t="s">
        <v>122</v>
      </c>
      <c r="C10" s="48">
        <v>43165</v>
      </c>
      <c r="D10" s="64">
        <v>10</v>
      </c>
      <c r="E10" s="47" t="s">
        <v>121</v>
      </c>
      <c r="F10" s="18" t="s">
        <v>88</v>
      </c>
      <c r="G10" s="18" t="s">
        <v>191</v>
      </c>
      <c r="H10" s="27" t="s">
        <v>279</v>
      </c>
      <c r="I10" s="24">
        <v>200</v>
      </c>
      <c r="J10" s="20" t="str">
        <f>VLOOKUP(G10,MD!M$2:O$93,3,FALSE)</f>
        <v>l/ha</v>
      </c>
      <c r="K10" s="29">
        <v>0.96</v>
      </c>
      <c r="P10" s="22"/>
      <c r="X10" s="22"/>
    </row>
    <row r="11" spans="1:31">
      <c r="A11" s="47" t="s">
        <v>121</v>
      </c>
      <c r="B11" s="47" t="s">
        <v>122</v>
      </c>
      <c r="C11" s="48">
        <v>43186</v>
      </c>
      <c r="D11" s="64">
        <v>13</v>
      </c>
      <c r="E11" s="47" t="s">
        <v>121</v>
      </c>
      <c r="F11" s="18" t="s">
        <v>85</v>
      </c>
      <c r="G11" s="18" t="s">
        <v>67</v>
      </c>
      <c r="I11" s="24">
        <v>1</v>
      </c>
      <c r="J11" s="20" t="str">
        <f>VLOOKUP(G11,MD!M$2:O$93,3,FALSE)</f>
        <v>ha</v>
      </c>
      <c r="K11" s="29">
        <v>0.96</v>
      </c>
      <c r="P11" s="22"/>
      <c r="X11" s="22"/>
    </row>
    <row r="12" spans="1:31">
      <c r="A12" s="47" t="s">
        <v>121</v>
      </c>
      <c r="B12" s="47" t="s">
        <v>122</v>
      </c>
      <c r="C12" s="48">
        <v>43186</v>
      </c>
      <c r="D12" s="64">
        <v>13</v>
      </c>
      <c r="E12" s="47" t="s">
        <v>121</v>
      </c>
      <c r="F12" s="18" t="s">
        <v>88</v>
      </c>
      <c r="G12" s="18" t="s">
        <v>192</v>
      </c>
      <c r="H12" s="27" t="s">
        <v>208</v>
      </c>
      <c r="I12" s="24">
        <v>200</v>
      </c>
      <c r="J12" s="20" t="str">
        <f>VLOOKUP(G12,MD!M$2:O$93,3,FALSE)</f>
        <v>l/ha</v>
      </c>
      <c r="K12" s="29">
        <v>0.96</v>
      </c>
      <c r="L12" s="27" t="s">
        <v>210</v>
      </c>
      <c r="P12" s="22"/>
      <c r="X12" s="22"/>
    </row>
    <row r="13" spans="1:31" s="59" customFormat="1">
      <c r="A13" s="47" t="s">
        <v>121</v>
      </c>
      <c r="B13" s="47" t="s">
        <v>122</v>
      </c>
      <c r="C13" s="48">
        <v>43202</v>
      </c>
      <c r="D13" s="64">
        <v>15</v>
      </c>
      <c r="E13" s="47" t="s">
        <v>121</v>
      </c>
      <c r="F13" s="18" t="s">
        <v>84</v>
      </c>
      <c r="G13" s="18" t="s">
        <v>221</v>
      </c>
      <c r="H13" s="27"/>
      <c r="I13" s="24">
        <v>1</v>
      </c>
      <c r="J13" s="20" t="str">
        <f>VLOOKUP(G13,MD!M$2:O$93,3,FALSE)</f>
        <v>ha</v>
      </c>
      <c r="K13" s="29">
        <v>1</v>
      </c>
      <c r="L13" s="27"/>
      <c r="M13" s="25"/>
      <c r="N13" s="25"/>
      <c r="O13" s="25"/>
      <c r="P13" s="22"/>
      <c r="Q13" s="44"/>
      <c r="R13" s="44"/>
      <c r="S13" s="44"/>
      <c r="T13" s="25"/>
      <c r="U13" s="25"/>
      <c r="V13" s="25"/>
      <c r="W13" s="25"/>
      <c r="X13" s="22"/>
      <c r="Y13" s="44"/>
      <c r="Z13" s="44"/>
      <c r="AA13" s="44"/>
      <c r="AB13" s="25"/>
      <c r="AC13" s="25"/>
      <c r="AD13" s="25"/>
      <c r="AE13" s="25"/>
    </row>
    <row r="14" spans="1:31" s="59" customFormat="1">
      <c r="A14" s="47" t="s">
        <v>121</v>
      </c>
      <c r="B14" s="47" t="s">
        <v>122</v>
      </c>
      <c r="C14" s="48">
        <v>43202</v>
      </c>
      <c r="D14" s="64">
        <v>15</v>
      </c>
      <c r="E14" s="47" t="s">
        <v>121</v>
      </c>
      <c r="F14" s="18" t="s">
        <v>87</v>
      </c>
      <c r="G14" s="18" t="s">
        <v>94</v>
      </c>
      <c r="H14" s="27" t="s">
        <v>217</v>
      </c>
      <c r="I14" s="24" t="s">
        <v>251</v>
      </c>
      <c r="J14" s="20" t="s">
        <v>106</v>
      </c>
      <c r="K14" s="29">
        <v>1</v>
      </c>
      <c r="L14" s="27"/>
      <c r="M14" s="25"/>
      <c r="N14" s="25"/>
      <c r="O14" s="25"/>
      <c r="P14" s="22"/>
      <c r="Q14" s="44"/>
      <c r="R14" s="44"/>
      <c r="S14" s="44"/>
      <c r="T14" s="25"/>
      <c r="U14" s="25"/>
      <c r="V14" s="25"/>
      <c r="W14" s="25"/>
      <c r="X14" s="22"/>
      <c r="Y14" s="44"/>
      <c r="Z14" s="44"/>
      <c r="AA14" s="44"/>
      <c r="AB14" s="25"/>
      <c r="AC14" s="25"/>
      <c r="AD14" s="25"/>
      <c r="AE14" s="25"/>
    </row>
    <row r="15" spans="1:31">
      <c r="A15" s="47" t="s">
        <v>121</v>
      </c>
      <c r="B15" s="47" t="s">
        <v>122</v>
      </c>
      <c r="C15" s="48">
        <v>43204</v>
      </c>
      <c r="D15" s="64">
        <v>15</v>
      </c>
      <c r="E15" s="47" t="s">
        <v>121</v>
      </c>
      <c r="F15" s="18" t="s">
        <v>86</v>
      </c>
      <c r="G15" s="18" t="s">
        <v>64</v>
      </c>
      <c r="I15" s="24">
        <v>1</v>
      </c>
      <c r="J15" s="20" t="str">
        <f>VLOOKUP(G15,MD!M$2:O$93,3,FALSE)</f>
        <v>ha</v>
      </c>
      <c r="K15" s="29">
        <v>1</v>
      </c>
      <c r="P15" s="22"/>
      <c r="X15" s="22"/>
    </row>
    <row r="16" spans="1:31">
      <c r="A16" s="47" t="s">
        <v>121</v>
      </c>
      <c r="B16" s="47" t="s">
        <v>122</v>
      </c>
      <c r="C16" s="48">
        <v>43204</v>
      </c>
      <c r="D16" s="64">
        <v>15</v>
      </c>
      <c r="E16" s="47" t="s">
        <v>121</v>
      </c>
      <c r="F16" s="18" t="s">
        <v>89</v>
      </c>
      <c r="G16" s="18" t="s">
        <v>113</v>
      </c>
      <c r="H16" s="27" t="s">
        <v>770</v>
      </c>
      <c r="I16" s="24" t="s">
        <v>252</v>
      </c>
      <c r="J16" s="20" t="str">
        <f>VLOOKUP(G16,MD!M$2:O$93,3,FALSE)</f>
        <v>Dose hom.</v>
      </c>
      <c r="K16" s="29">
        <v>1</v>
      </c>
      <c r="L16" s="27" t="s">
        <v>222</v>
      </c>
      <c r="M16" s="25" t="s">
        <v>486</v>
      </c>
      <c r="N16" s="25">
        <f>1*100</f>
        <v>100</v>
      </c>
      <c r="O16" s="25" t="s">
        <v>358</v>
      </c>
      <c r="P16" s="22"/>
      <c r="X16" s="22"/>
    </row>
    <row r="17" spans="1:31" s="59" customFormat="1">
      <c r="A17" s="47" t="s">
        <v>121</v>
      </c>
      <c r="B17" s="47" t="s">
        <v>122</v>
      </c>
      <c r="C17" s="48">
        <v>43204</v>
      </c>
      <c r="D17" s="64">
        <v>15</v>
      </c>
      <c r="E17" s="47" t="s">
        <v>121</v>
      </c>
      <c r="F17" s="18" t="s">
        <v>89</v>
      </c>
      <c r="G17" s="18" t="s">
        <v>113</v>
      </c>
      <c r="H17" s="27" t="s">
        <v>771</v>
      </c>
      <c r="I17" s="24" t="s">
        <v>252</v>
      </c>
      <c r="J17" s="20" t="str">
        <f>VLOOKUP(G17,MD!M$2:O$93,3,FALSE)</f>
        <v>Dose hom.</v>
      </c>
      <c r="K17" s="29">
        <v>1</v>
      </c>
      <c r="L17" s="27" t="s">
        <v>222</v>
      </c>
      <c r="M17" s="25" t="s">
        <v>485</v>
      </c>
      <c r="N17" s="103">
        <f>1*12.5</f>
        <v>12.5</v>
      </c>
      <c r="O17" s="25" t="s">
        <v>358</v>
      </c>
      <c r="P17" s="22"/>
      <c r="Q17" s="44"/>
      <c r="R17" s="44"/>
      <c r="S17" s="44"/>
      <c r="T17" s="25"/>
      <c r="U17" s="25"/>
      <c r="V17" s="25"/>
      <c r="W17" s="25"/>
      <c r="X17" s="22"/>
      <c r="Y17" s="44"/>
      <c r="Z17" s="44"/>
      <c r="AA17" s="44"/>
      <c r="AB17" s="25"/>
      <c r="AC17" s="25"/>
      <c r="AD17" s="25"/>
      <c r="AE17" s="25"/>
    </row>
    <row r="18" spans="1:31">
      <c r="A18" s="47" t="s">
        <v>121</v>
      </c>
      <c r="B18" s="47" t="s">
        <v>122</v>
      </c>
      <c r="C18" s="48">
        <v>43207</v>
      </c>
      <c r="D18" s="64">
        <v>16</v>
      </c>
      <c r="E18" s="47" t="s">
        <v>121</v>
      </c>
      <c r="F18" s="18" t="s">
        <v>86</v>
      </c>
      <c r="G18" s="18" t="s">
        <v>64</v>
      </c>
      <c r="I18" s="24">
        <v>1</v>
      </c>
      <c r="J18" s="20" t="str">
        <f>VLOOKUP(G18,MD!M$2:O$93,3,FALSE)</f>
        <v>ha</v>
      </c>
      <c r="K18" s="29">
        <v>1</v>
      </c>
      <c r="L18" s="27" t="s">
        <v>275</v>
      </c>
      <c r="P18" s="22"/>
      <c r="X18" s="22"/>
    </row>
    <row r="19" spans="1:31">
      <c r="A19" s="47" t="s">
        <v>121</v>
      </c>
      <c r="B19" s="47" t="s">
        <v>122</v>
      </c>
      <c r="C19" s="48">
        <v>43207</v>
      </c>
      <c r="D19" s="64">
        <v>16</v>
      </c>
      <c r="E19" s="47" t="s">
        <v>121</v>
      </c>
      <c r="F19" s="18" t="s">
        <v>89</v>
      </c>
      <c r="G19" s="18" t="s">
        <v>112</v>
      </c>
      <c r="H19" s="27" t="s">
        <v>752</v>
      </c>
      <c r="I19" s="24">
        <f>1.33/2</f>
        <v>0.66500000000000004</v>
      </c>
      <c r="J19" s="20" t="str">
        <f>VLOOKUP(G19,MD!M$2:O$93,3,FALSE)</f>
        <v>Dose hom.</v>
      </c>
      <c r="K19" s="29">
        <v>1</v>
      </c>
      <c r="L19" s="27" t="s">
        <v>756</v>
      </c>
      <c r="M19" s="25" t="s">
        <v>754</v>
      </c>
      <c r="N19" s="103">
        <f>1.33*62.5</f>
        <v>83.125</v>
      </c>
      <c r="O19" s="25" t="s">
        <v>358</v>
      </c>
      <c r="P19" s="22"/>
      <c r="X19" s="22"/>
    </row>
    <row r="20" spans="1:31" s="59" customFormat="1">
      <c r="A20" s="47" t="s">
        <v>121</v>
      </c>
      <c r="B20" s="47" t="s">
        <v>122</v>
      </c>
      <c r="C20" s="48">
        <v>43207</v>
      </c>
      <c r="D20" s="64">
        <v>16</v>
      </c>
      <c r="E20" s="47" t="s">
        <v>121</v>
      </c>
      <c r="F20" s="18" t="s">
        <v>89</v>
      </c>
      <c r="G20" s="18" t="s">
        <v>112</v>
      </c>
      <c r="H20" s="27" t="s">
        <v>752</v>
      </c>
      <c r="I20" s="24">
        <f>1.33/2</f>
        <v>0.66500000000000004</v>
      </c>
      <c r="J20" s="20" t="str">
        <f>VLOOKUP(G20,MD!M$2:O$93,3,FALSE)</f>
        <v>Dose hom.</v>
      </c>
      <c r="K20" s="29">
        <v>1</v>
      </c>
      <c r="L20" s="27" t="s">
        <v>757</v>
      </c>
      <c r="M20" s="25" t="s">
        <v>755</v>
      </c>
      <c r="N20" s="103">
        <f>1.33*50</f>
        <v>66.5</v>
      </c>
      <c r="O20" s="25" t="s">
        <v>358</v>
      </c>
      <c r="P20" s="22"/>
      <c r="Q20" s="44"/>
      <c r="R20" s="44"/>
      <c r="S20" s="44"/>
      <c r="T20" s="25"/>
      <c r="U20" s="25"/>
      <c r="V20" s="25"/>
      <c r="W20" s="25"/>
      <c r="X20" s="22"/>
      <c r="Y20" s="44"/>
      <c r="Z20" s="44"/>
      <c r="AA20" s="44"/>
      <c r="AB20" s="25"/>
      <c r="AC20" s="25"/>
      <c r="AD20" s="25"/>
      <c r="AE20" s="25"/>
    </row>
    <row r="21" spans="1:31" s="59" customFormat="1">
      <c r="A21" s="47" t="s">
        <v>121</v>
      </c>
      <c r="B21" s="47" t="s">
        <v>122</v>
      </c>
      <c r="C21" s="48">
        <v>43207</v>
      </c>
      <c r="D21" s="64">
        <v>16</v>
      </c>
      <c r="E21" s="47" t="s">
        <v>121</v>
      </c>
      <c r="F21" s="18" t="s">
        <v>89</v>
      </c>
      <c r="G21" s="18" t="s">
        <v>112</v>
      </c>
      <c r="H21" s="27" t="s">
        <v>752</v>
      </c>
      <c r="I21" s="24">
        <f>1.33/2</f>
        <v>0.66500000000000004</v>
      </c>
      <c r="J21" s="20" t="str">
        <f>VLOOKUP(G21,MD!M$2:O$93,3,FALSE)</f>
        <v>Dose hom.</v>
      </c>
      <c r="K21" s="29">
        <v>1</v>
      </c>
      <c r="L21" s="27" t="s">
        <v>758</v>
      </c>
      <c r="M21" s="25" t="s">
        <v>474</v>
      </c>
      <c r="N21" s="103">
        <f>1.33*375</f>
        <v>498.75</v>
      </c>
      <c r="O21" s="25" t="s">
        <v>358</v>
      </c>
      <c r="P21" s="22"/>
      <c r="Q21" s="44"/>
      <c r="R21" s="44"/>
      <c r="S21" s="44"/>
      <c r="T21" s="25"/>
      <c r="U21" s="25"/>
      <c r="V21" s="25"/>
      <c r="W21" s="25"/>
      <c r="X21" s="22"/>
      <c r="Y21" s="44"/>
      <c r="Z21" s="44"/>
      <c r="AA21" s="44"/>
      <c r="AB21" s="25"/>
      <c r="AC21" s="25"/>
      <c r="AD21" s="25"/>
      <c r="AE21" s="25"/>
    </row>
    <row r="22" spans="1:31" s="59" customFormat="1">
      <c r="A22" s="47" t="s">
        <v>121</v>
      </c>
      <c r="B22" s="47" t="s">
        <v>122</v>
      </c>
      <c r="C22" s="48">
        <v>43207</v>
      </c>
      <c r="D22" s="64">
        <v>16</v>
      </c>
      <c r="E22" s="47" t="s">
        <v>121</v>
      </c>
      <c r="F22" s="18" t="s">
        <v>89</v>
      </c>
      <c r="G22" s="18" t="s">
        <v>110</v>
      </c>
      <c r="H22" s="27" t="s">
        <v>753</v>
      </c>
      <c r="I22" s="24"/>
      <c r="J22" s="20" t="str">
        <f>VLOOKUP(G22,MD!M$2:O$93,3,FALSE)</f>
        <v>Dose hom.</v>
      </c>
      <c r="K22" s="29">
        <v>1</v>
      </c>
      <c r="L22" s="27" t="s">
        <v>760</v>
      </c>
      <c r="M22" s="25" t="s">
        <v>759</v>
      </c>
      <c r="N22" s="103">
        <f>0.35*50</f>
        <v>17.5</v>
      </c>
      <c r="O22" s="25" t="s">
        <v>358</v>
      </c>
      <c r="P22" s="22"/>
      <c r="Q22" s="44"/>
      <c r="R22" s="44"/>
      <c r="S22" s="44"/>
      <c r="T22" s="25"/>
      <c r="U22" s="25"/>
      <c r="V22" s="25"/>
      <c r="W22" s="25"/>
      <c r="X22" s="22"/>
      <c r="Y22" s="44"/>
      <c r="Z22" s="44"/>
      <c r="AA22" s="44"/>
      <c r="AB22" s="25"/>
      <c r="AC22" s="25"/>
      <c r="AD22" s="25"/>
      <c r="AE22" s="25"/>
    </row>
    <row r="23" spans="1:31" s="59" customFormat="1">
      <c r="A23" s="47" t="s">
        <v>121</v>
      </c>
      <c r="B23" s="47" t="s">
        <v>122</v>
      </c>
      <c r="C23" s="48">
        <v>43207</v>
      </c>
      <c r="D23" s="64">
        <v>16</v>
      </c>
      <c r="E23" s="47" t="s">
        <v>121</v>
      </c>
      <c r="F23" s="18" t="s">
        <v>89</v>
      </c>
      <c r="G23" s="18" t="s">
        <v>110</v>
      </c>
      <c r="H23" s="27" t="s">
        <v>753</v>
      </c>
      <c r="I23" s="24"/>
      <c r="J23" s="20" t="str">
        <f>VLOOKUP(G23,MD!M$2:O$93,3,FALSE)</f>
        <v>Dose hom.</v>
      </c>
      <c r="K23" s="29">
        <v>1</v>
      </c>
      <c r="L23" s="27" t="s">
        <v>761</v>
      </c>
      <c r="M23" s="25" t="s">
        <v>469</v>
      </c>
      <c r="N23" s="103">
        <f>0.35*75</f>
        <v>26.25</v>
      </c>
      <c r="O23" s="25" t="s">
        <v>358</v>
      </c>
      <c r="P23" s="22"/>
      <c r="Q23" s="44"/>
      <c r="R23" s="44"/>
      <c r="S23" s="44"/>
      <c r="T23" s="25"/>
      <c r="U23" s="25"/>
      <c r="V23" s="25"/>
      <c r="W23" s="25"/>
      <c r="X23" s="22"/>
      <c r="Y23" s="44"/>
      <c r="Z23" s="44"/>
      <c r="AA23" s="44"/>
      <c r="AB23" s="25"/>
      <c r="AC23" s="25"/>
      <c r="AD23" s="25"/>
      <c r="AE23" s="25"/>
    </row>
    <row r="24" spans="1:31" s="59" customFormat="1">
      <c r="A24" s="47" t="s">
        <v>121</v>
      </c>
      <c r="B24" s="47" t="s">
        <v>122</v>
      </c>
      <c r="C24" s="48">
        <v>43219</v>
      </c>
      <c r="D24" s="64">
        <v>17</v>
      </c>
      <c r="E24" s="47" t="s">
        <v>121</v>
      </c>
      <c r="F24" s="18" t="s">
        <v>85</v>
      </c>
      <c r="G24" s="18" t="s">
        <v>67</v>
      </c>
      <c r="H24" s="27"/>
      <c r="I24" s="24">
        <v>1</v>
      </c>
      <c r="J24" s="20" t="str">
        <f>VLOOKUP(G24,MD!M$2:O$93,3,FALSE)</f>
        <v>ha</v>
      </c>
      <c r="K24" s="29">
        <v>0.96</v>
      </c>
      <c r="L24" s="27"/>
      <c r="M24" s="25"/>
      <c r="N24" s="25"/>
      <c r="O24" s="25"/>
      <c r="P24" s="22"/>
      <c r="Q24" s="44"/>
      <c r="R24" s="44"/>
      <c r="S24" s="44"/>
      <c r="T24" s="25"/>
      <c r="U24" s="25"/>
      <c r="V24" s="25"/>
      <c r="W24" s="25"/>
      <c r="X24" s="22"/>
      <c r="Y24" s="44"/>
      <c r="Z24" s="44"/>
      <c r="AA24" s="44"/>
      <c r="AB24" s="25"/>
      <c r="AC24" s="25"/>
      <c r="AD24" s="25"/>
      <c r="AE24" s="25"/>
    </row>
    <row r="25" spans="1:31" s="59" customFormat="1">
      <c r="A25" s="47" t="s">
        <v>121</v>
      </c>
      <c r="B25" s="47" t="s">
        <v>122</v>
      </c>
      <c r="C25" s="48">
        <v>43219</v>
      </c>
      <c r="D25" s="64">
        <v>17</v>
      </c>
      <c r="E25" s="47" t="s">
        <v>121</v>
      </c>
      <c r="F25" s="18" t="s">
        <v>88</v>
      </c>
      <c r="G25" s="18" t="s">
        <v>191</v>
      </c>
      <c r="H25" s="27" t="s">
        <v>405</v>
      </c>
      <c r="I25" s="24">
        <v>100</v>
      </c>
      <c r="J25" s="20" t="str">
        <f>VLOOKUP(G25,MD!M$2:O$93,3,FALSE)</f>
        <v>l/ha</v>
      </c>
      <c r="K25" s="29">
        <v>0.96</v>
      </c>
      <c r="L25" s="27" t="s">
        <v>244</v>
      </c>
      <c r="M25" s="25"/>
      <c r="N25" s="25"/>
      <c r="O25" s="25"/>
      <c r="P25" s="22"/>
      <c r="Q25" s="44"/>
      <c r="R25" s="44"/>
      <c r="S25" s="44"/>
      <c r="T25" s="25"/>
      <c r="U25" s="25"/>
      <c r="V25" s="25"/>
      <c r="W25" s="25"/>
      <c r="X25" s="22"/>
      <c r="Y25" s="44"/>
      <c r="Z25" s="44"/>
      <c r="AA25" s="44"/>
      <c r="AB25" s="25"/>
      <c r="AC25" s="25"/>
      <c r="AD25" s="25"/>
      <c r="AE25" s="25"/>
    </row>
    <row r="26" spans="1:31">
      <c r="A26" s="47" t="s">
        <v>121</v>
      </c>
      <c r="B26" s="47" t="s">
        <v>122</v>
      </c>
      <c r="C26" s="48">
        <v>43231</v>
      </c>
      <c r="D26" s="64">
        <v>19</v>
      </c>
      <c r="E26" s="47" t="s">
        <v>121</v>
      </c>
      <c r="F26" s="18" t="s">
        <v>86</v>
      </c>
      <c r="G26" s="18" t="s">
        <v>64</v>
      </c>
      <c r="I26" s="24">
        <v>1</v>
      </c>
      <c r="J26" s="20" t="str">
        <f>VLOOKUP(G26,MD!M$2:O$93,3,FALSE)</f>
        <v>ha</v>
      </c>
      <c r="K26" s="29">
        <v>1</v>
      </c>
      <c r="P26" s="22"/>
      <c r="X26" s="22"/>
    </row>
    <row r="27" spans="1:31">
      <c r="A27" s="47" t="s">
        <v>121</v>
      </c>
      <c r="B27" s="47" t="s">
        <v>122</v>
      </c>
      <c r="C27" s="48">
        <v>43231</v>
      </c>
      <c r="D27" s="64">
        <v>19</v>
      </c>
      <c r="E27" s="47" t="s">
        <v>121</v>
      </c>
      <c r="F27" s="18" t="s">
        <v>89</v>
      </c>
      <c r="G27" s="18" t="s">
        <v>112</v>
      </c>
      <c r="H27" s="27" t="s">
        <v>762</v>
      </c>
      <c r="I27" s="24">
        <v>0.5</v>
      </c>
      <c r="J27" s="20" t="str">
        <f>VLOOKUP(G27,MD!M$2:O$93,3,FALSE)</f>
        <v>Dose hom.</v>
      </c>
      <c r="K27" s="29">
        <v>1</v>
      </c>
      <c r="L27" s="27" t="s">
        <v>764</v>
      </c>
      <c r="M27" s="25" t="s">
        <v>471</v>
      </c>
      <c r="N27" s="103">
        <f>0.5*75</f>
        <v>37.5</v>
      </c>
      <c r="O27" s="25" t="s">
        <v>358</v>
      </c>
      <c r="P27" s="22"/>
      <c r="X27" s="22"/>
    </row>
    <row r="28" spans="1:31" s="59" customFormat="1">
      <c r="A28" s="47" t="s">
        <v>121</v>
      </c>
      <c r="B28" s="47" t="s">
        <v>122</v>
      </c>
      <c r="C28" s="48">
        <v>43231</v>
      </c>
      <c r="D28" s="64">
        <v>19</v>
      </c>
      <c r="E28" s="47" t="s">
        <v>121</v>
      </c>
      <c r="F28" s="18" t="s">
        <v>89</v>
      </c>
      <c r="G28" s="18" t="s">
        <v>112</v>
      </c>
      <c r="H28" s="27" t="s">
        <v>763</v>
      </c>
      <c r="I28" s="24">
        <v>0.5</v>
      </c>
      <c r="J28" s="20" t="str">
        <f>VLOOKUP(G28,MD!M$2:O$93,3,FALSE)</f>
        <v>Dose hom.</v>
      </c>
      <c r="K28" s="29">
        <v>1</v>
      </c>
      <c r="L28" s="27" t="s">
        <v>765</v>
      </c>
      <c r="M28" s="25" t="s">
        <v>754</v>
      </c>
      <c r="N28" s="25">
        <f>0.5*150</f>
        <v>75</v>
      </c>
      <c r="O28" s="25" t="s">
        <v>358</v>
      </c>
      <c r="P28" s="22"/>
      <c r="Q28" s="44"/>
      <c r="R28" s="44"/>
      <c r="S28" s="44"/>
      <c r="T28" s="25"/>
      <c r="U28" s="25"/>
      <c r="V28" s="25"/>
      <c r="W28" s="25"/>
      <c r="X28" s="22"/>
      <c r="Y28" s="44"/>
      <c r="Z28" s="44"/>
      <c r="AA28" s="44"/>
      <c r="AB28" s="25"/>
      <c r="AC28" s="25"/>
      <c r="AD28" s="25"/>
      <c r="AE28" s="25"/>
    </row>
    <row r="29" spans="1:31" s="59" customFormat="1">
      <c r="A29" s="47" t="s">
        <v>121</v>
      </c>
      <c r="B29" s="47" t="s">
        <v>122</v>
      </c>
      <c r="C29" s="48">
        <v>43231</v>
      </c>
      <c r="D29" s="64">
        <v>19</v>
      </c>
      <c r="E29" s="47" t="s">
        <v>121</v>
      </c>
      <c r="F29" s="18" t="s">
        <v>89</v>
      </c>
      <c r="G29" s="18" t="s">
        <v>112</v>
      </c>
      <c r="H29" s="27" t="s">
        <v>766</v>
      </c>
      <c r="I29" s="24">
        <v>0.33</v>
      </c>
      <c r="J29" s="20" t="str">
        <f>VLOOKUP(G29,MD!M$2:O$93,3,FALSE)</f>
        <v>Dose hom.</v>
      </c>
      <c r="K29" s="29">
        <v>1</v>
      </c>
      <c r="L29" s="27" t="s">
        <v>767</v>
      </c>
      <c r="M29" s="25" t="s">
        <v>548</v>
      </c>
      <c r="N29" s="25">
        <f>0.5*90</f>
        <v>45</v>
      </c>
      <c r="O29" s="25" t="s">
        <v>358</v>
      </c>
      <c r="P29" s="22"/>
      <c r="Q29" s="44"/>
      <c r="R29" s="44"/>
      <c r="S29" s="44"/>
      <c r="T29" s="25"/>
      <c r="U29" s="25"/>
      <c r="V29" s="25"/>
      <c r="W29" s="25"/>
      <c r="X29" s="22"/>
      <c r="Y29" s="44"/>
      <c r="Z29" s="44"/>
      <c r="AA29" s="44"/>
      <c r="AB29" s="25"/>
      <c r="AC29" s="25"/>
      <c r="AD29" s="25"/>
      <c r="AE29" s="25"/>
    </row>
    <row r="30" spans="1:31" s="59" customFormat="1">
      <c r="A30" s="47" t="s">
        <v>121</v>
      </c>
      <c r="B30" s="47" t="s">
        <v>122</v>
      </c>
      <c r="C30" s="48">
        <v>43231</v>
      </c>
      <c r="D30" s="64">
        <v>19</v>
      </c>
      <c r="E30" s="47" t="s">
        <v>121</v>
      </c>
      <c r="F30" s="18" t="s">
        <v>89</v>
      </c>
      <c r="G30" s="18" t="s">
        <v>112</v>
      </c>
      <c r="H30" s="27" t="s">
        <v>768</v>
      </c>
      <c r="I30" s="24"/>
      <c r="J30" s="20" t="str">
        <f>VLOOKUP(G30,MD!M$2:O$93,3,FALSE)</f>
        <v>Dose hom.</v>
      </c>
      <c r="K30" s="29">
        <v>1</v>
      </c>
      <c r="L30" s="27" t="s">
        <v>769</v>
      </c>
      <c r="M30" s="25" t="s">
        <v>481</v>
      </c>
      <c r="N30" s="25">
        <f>0.2*480</f>
        <v>96</v>
      </c>
      <c r="O30" s="25" t="s">
        <v>358</v>
      </c>
      <c r="P30" s="22"/>
      <c r="Q30" s="44"/>
      <c r="R30" s="44"/>
      <c r="S30" s="44"/>
      <c r="T30" s="25"/>
      <c r="U30" s="25"/>
      <c r="V30" s="25"/>
      <c r="W30" s="25"/>
      <c r="X30" s="22"/>
      <c r="Y30" s="44"/>
      <c r="Z30" s="44"/>
      <c r="AA30" s="44"/>
      <c r="AB30" s="25"/>
      <c r="AC30" s="25"/>
      <c r="AD30" s="25"/>
      <c r="AE30" s="25"/>
    </row>
    <row r="31" spans="1:31" s="59" customFormat="1">
      <c r="A31" s="47" t="s">
        <v>121</v>
      </c>
      <c r="B31" s="47" t="s">
        <v>122</v>
      </c>
      <c r="C31" s="48">
        <v>43232</v>
      </c>
      <c r="D31" s="64">
        <v>19</v>
      </c>
      <c r="E31" s="47" t="s">
        <v>121</v>
      </c>
      <c r="F31" s="18" t="s">
        <v>85</v>
      </c>
      <c r="G31" s="18" t="s">
        <v>67</v>
      </c>
      <c r="H31" s="27"/>
      <c r="I31" s="24">
        <v>1</v>
      </c>
      <c r="J31" s="20" t="str">
        <f>VLOOKUP(G31,MD!M$2:O$93,3,FALSE)</f>
        <v>ha</v>
      </c>
      <c r="K31" s="29">
        <v>0.96</v>
      </c>
      <c r="L31" s="27"/>
      <c r="M31" s="25"/>
      <c r="N31" s="25"/>
      <c r="O31" s="25"/>
      <c r="P31" s="22"/>
      <c r="Q31" s="44"/>
      <c r="R31" s="44"/>
      <c r="S31" s="44"/>
      <c r="T31" s="25"/>
      <c r="U31" s="25"/>
      <c r="V31" s="25"/>
      <c r="W31" s="25"/>
      <c r="X31" s="22"/>
      <c r="Y31" s="44"/>
      <c r="Z31" s="44"/>
      <c r="AA31" s="44"/>
      <c r="AB31" s="25"/>
      <c r="AC31" s="25"/>
      <c r="AD31" s="25"/>
      <c r="AE31" s="25"/>
    </row>
    <row r="32" spans="1:31" s="59" customFormat="1">
      <c r="A32" s="47" t="s">
        <v>121</v>
      </c>
      <c r="B32" s="47" t="s">
        <v>122</v>
      </c>
      <c r="C32" s="48">
        <v>43232</v>
      </c>
      <c r="D32" s="64">
        <v>19</v>
      </c>
      <c r="E32" s="47" t="s">
        <v>121</v>
      </c>
      <c r="F32" s="18" t="s">
        <v>88</v>
      </c>
      <c r="G32" s="18" t="s">
        <v>191</v>
      </c>
      <c r="H32" s="27" t="s">
        <v>404</v>
      </c>
      <c r="I32" s="24">
        <v>80</v>
      </c>
      <c r="J32" s="20" t="str">
        <f>VLOOKUP(G32,MD!M$2:O$93,3,FALSE)</f>
        <v>l/ha</v>
      </c>
      <c r="K32" s="29">
        <v>0.96</v>
      </c>
      <c r="L32" s="27" t="s">
        <v>254</v>
      </c>
      <c r="M32" s="25"/>
      <c r="N32" s="25"/>
      <c r="O32" s="25"/>
      <c r="P32" s="22"/>
      <c r="Q32" s="44"/>
      <c r="R32" s="44"/>
      <c r="S32" s="44"/>
      <c r="T32" s="25"/>
      <c r="U32" s="25"/>
      <c r="V32" s="25"/>
      <c r="W32" s="25"/>
      <c r="X32" s="22"/>
      <c r="Y32" s="44"/>
      <c r="Z32" s="44"/>
      <c r="AA32" s="44"/>
      <c r="AB32" s="25"/>
      <c r="AC32" s="25"/>
      <c r="AD32" s="25"/>
      <c r="AE32" s="25"/>
    </row>
    <row r="33" spans="1:31" s="59" customFormat="1">
      <c r="A33" s="47" t="s">
        <v>121</v>
      </c>
      <c r="B33" s="47" t="s">
        <v>122</v>
      </c>
      <c r="C33" s="48">
        <v>43247</v>
      </c>
      <c r="D33" s="64">
        <v>21</v>
      </c>
      <c r="E33" s="47" t="s">
        <v>121</v>
      </c>
      <c r="F33" s="18" t="s">
        <v>86</v>
      </c>
      <c r="G33" s="18" t="s">
        <v>64</v>
      </c>
      <c r="H33" s="27"/>
      <c r="I33" s="24">
        <v>1</v>
      </c>
      <c r="J33" s="20" t="str">
        <f>VLOOKUP(G33,MD!M$2:O$93,3,FALSE)</f>
        <v>ha</v>
      </c>
      <c r="K33" s="29">
        <v>1</v>
      </c>
      <c r="L33" s="27"/>
      <c r="M33" s="25"/>
      <c r="N33" s="25"/>
      <c r="O33" s="25"/>
      <c r="P33" s="22"/>
      <c r="Q33" s="44"/>
      <c r="R33" s="44"/>
      <c r="S33" s="44"/>
      <c r="T33" s="25"/>
      <c r="U33" s="25"/>
      <c r="V33" s="25"/>
      <c r="W33" s="25"/>
      <c r="X33" s="22"/>
      <c r="Y33" s="44"/>
      <c r="Z33" s="44"/>
      <c r="AA33" s="44"/>
      <c r="AB33" s="25"/>
      <c r="AC33" s="25"/>
      <c r="AD33" s="25"/>
      <c r="AE33" s="25"/>
    </row>
    <row r="34" spans="1:31" s="59" customFormat="1">
      <c r="A34" s="47" t="s">
        <v>121</v>
      </c>
      <c r="B34" s="47" t="s">
        <v>122</v>
      </c>
      <c r="C34" s="48">
        <v>43247</v>
      </c>
      <c r="D34" s="64">
        <v>21</v>
      </c>
      <c r="E34" s="47" t="s">
        <v>121</v>
      </c>
      <c r="F34" s="18" t="s">
        <v>89</v>
      </c>
      <c r="G34" s="18" t="s">
        <v>112</v>
      </c>
      <c r="H34" s="27" t="s">
        <v>773</v>
      </c>
      <c r="I34" s="24">
        <v>0.6</v>
      </c>
      <c r="J34" s="20" t="str">
        <f>VLOOKUP(G34,MD!M$2:O$93,3,FALSE)</f>
        <v>Dose hom.</v>
      </c>
      <c r="K34" s="29">
        <v>1</v>
      </c>
      <c r="L34" s="27" t="s">
        <v>775</v>
      </c>
      <c r="M34" s="25" t="s">
        <v>367</v>
      </c>
      <c r="N34" s="25">
        <f>0.6*160</f>
        <v>96</v>
      </c>
      <c r="O34" s="25" t="s">
        <v>358</v>
      </c>
      <c r="P34" s="22"/>
      <c r="Q34" s="44"/>
      <c r="R34" s="44"/>
      <c r="S34" s="44"/>
      <c r="T34" s="25"/>
      <c r="U34" s="25"/>
      <c r="V34" s="25"/>
      <c r="W34" s="25"/>
      <c r="X34" s="22"/>
      <c r="Y34" s="44"/>
      <c r="Z34" s="44"/>
      <c r="AA34" s="44"/>
      <c r="AB34" s="25"/>
      <c r="AC34" s="25"/>
      <c r="AD34" s="25"/>
      <c r="AE34" s="25"/>
    </row>
    <row r="35" spans="1:31" s="59" customFormat="1">
      <c r="A35" s="47" t="s">
        <v>121</v>
      </c>
      <c r="B35" s="47" t="s">
        <v>122</v>
      </c>
      <c r="C35" s="48">
        <v>43247</v>
      </c>
      <c r="D35" s="64">
        <v>21</v>
      </c>
      <c r="E35" s="47" t="s">
        <v>121</v>
      </c>
      <c r="F35" s="18" t="s">
        <v>89</v>
      </c>
      <c r="G35" s="18" t="s">
        <v>112</v>
      </c>
      <c r="H35" s="27" t="s">
        <v>773</v>
      </c>
      <c r="I35" s="24">
        <v>0.6</v>
      </c>
      <c r="J35" s="20" t="str">
        <f>VLOOKUP(G35,MD!M$2:O$93,3,FALSE)</f>
        <v>Dose hom.</v>
      </c>
      <c r="K35" s="29">
        <v>1</v>
      </c>
      <c r="L35" s="27" t="s">
        <v>774</v>
      </c>
      <c r="M35" s="25" t="s">
        <v>371</v>
      </c>
      <c r="N35" s="25">
        <f>0.6*80</f>
        <v>48</v>
      </c>
      <c r="O35" s="25" t="s">
        <v>358</v>
      </c>
      <c r="P35" s="22"/>
      <c r="Q35" s="44"/>
      <c r="R35" s="44"/>
      <c r="S35" s="44"/>
      <c r="T35" s="25"/>
      <c r="U35" s="25"/>
      <c r="V35" s="25"/>
      <c r="W35" s="25"/>
      <c r="X35" s="22"/>
      <c r="Y35" s="44"/>
      <c r="Z35" s="44"/>
      <c r="AA35" s="44"/>
      <c r="AB35" s="25"/>
      <c r="AC35" s="25"/>
      <c r="AD35" s="25"/>
      <c r="AE35" s="25"/>
    </row>
    <row r="36" spans="1:31" s="59" customFormat="1">
      <c r="A36" s="47" t="s">
        <v>121</v>
      </c>
      <c r="B36" s="47" t="s">
        <v>122</v>
      </c>
      <c r="C36" s="48">
        <v>43247</v>
      </c>
      <c r="D36" s="64">
        <v>21</v>
      </c>
      <c r="E36" s="47" t="s">
        <v>121</v>
      </c>
      <c r="F36" s="18" t="s">
        <v>89</v>
      </c>
      <c r="G36" s="18" t="s">
        <v>112</v>
      </c>
      <c r="H36" s="27" t="s">
        <v>772</v>
      </c>
      <c r="I36" s="24"/>
      <c r="J36" s="20" t="str">
        <f>VLOOKUP(G36,MD!M$2:O$93,3,FALSE)</f>
        <v>Dose hom.</v>
      </c>
      <c r="K36" s="29">
        <v>1</v>
      </c>
      <c r="L36" s="27" t="s">
        <v>777</v>
      </c>
      <c r="M36" s="25" t="s">
        <v>776</v>
      </c>
      <c r="N36" s="103">
        <f>0.115*845</f>
        <v>97.174999999999997</v>
      </c>
      <c r="O36" s="25" t="s">
        <v>358</v>
      </c>
      <c r="P36" s="22"/>
      <c r="Q36" s="44"/>
      <c r="R36" s="44"/>
      <c r="S36" s="44"/>
      <c r="T36" s="25"/>
      <c r="U36" s="25"/>
      <c r="V36" s="25"/>
      <c r="W36" s="25"/>
      <c r="X36" s="22"/>
      <c r="Y36" s="44"/>
      <c r="Z36" s="44"/>
      <c r="AA36" s="44"/>
      <c r="AB36" s="25"/>
      <c r="AC36" s="25"/>
      <c r="AD36" s="25"/>
      <c r="AE36" s="25"/>
    </row>
    <row r="37" spans="1:31" s="59" customFormat="1">
      <c r="A37" s="47" t="s">
        <v>121</v>
      </c>
      <c r="B37" s="47" t="s">
        <v>122</v>
      </c>
      <c r="C37" s="48">
        <v>43294</v>
      </c>
      <c r="D37" s="64">
        <v>28</v>
      </c>
      <c r="E37" s="47" t="s">
        <v>121</v>
      </c>
      <c r="F37" s="18" t="s">
        <v>86</v>
      </c>
      <c r="G37" s="18" t="s">
        <v>55</v>
      </c>
      <c r="H37" s="27"/>
      <c r="I37" s="24">
        <v>1</v>
      </c>
      <c r="J37" s="20" t="s">
        <v>70</v>
      </c>
      <c r="K37" s="29">
        <v>1</v>
      </c>
      <c r="L37" s="27"/>
      <c r="M37" s="25"/>
      <c r="N37" s="25"/>
      <c r="O37" s="25"/>
      <c r="P37" s="22"/>
      <c r="Q37" s="44"/>
      <c r="R37" s="44"/>
      <c r="S37" s="44"/>
      <c r="T37" s="25"/>
      <c r="U37" s="25"/>
      <c r="V37" s="25"/>
      <c r="W37" s="25"/>
      <c r="X37" s="22"/>
      <c r="Y37" s="44"/>
      <c r="Z37" s="44"/>
      <c r="AA37" s="44"/>
      <c r="AB37" s="25"/>
      <c r="AC37" s="25"/>
      <c r="AD37" s="25"/>
      <c r="AE37" s="25"/>
    </row>
    <row r="38" spans="1:31" s="59" customFormat="1">
      <c r="A38" s="47" t="s">
        <v>121</v>
      </c>
      <c r="B38" s="47" t="s">
        <v>122</v>
      </c>
      <c r="C38" s="48">
        <v>43294</v>
      </c>
      <c r="D38" s="64">
        <v>28</v>
      </c>
      <c r="E38" s="47" t="s">
        <v>121</v>
      </c>
      <c r="F38" s="18" t="s">
        <v>2</v>
      </c>
      <c r="G38" s="18" t="s">
        <v>115</v>
      </c>
      <c r="H38" s="27" t="s">
        <v>285</v>
      </c>
      <c r="I38" s="24">
        <v>102</v>
      </c>
      <c r="J38" s="20" t="str">
        <f>VLOOKUP(G38,MD!M$2:O$93,3,FALSE)</f>
        <v>Qtx/ha</v>
      </c>
      <c r="K38" s="29">
        <v>1</v>
      </c>
      <c r="L38" s="27" t="s">
        <v>286</v>
      </c>
      <c r="M38" s="25"/>
      <c r="N38" s="25"/>
      <c r="O38" s="25"/>
      <c r="P38" s="22"/>
      <c r="Q38" s="44"/>
      <c r="R38" s="44"/>
      <c r="S38" s="44"/>
      <c r="T38" s="25"/>
      <c r="U38" s="25"/>
      <c r="V38" s="25"/>
      <c r="W38" s="25"/>
      <c r="X38" s="22"/>
      <c r="Y38" s="44"/>
      <c r="Z38" s="44"/>
      <c r="AA38" s="44"/>
      <c r="AB38" s="25"/>
      <c r="AC38" s="25"/>
      <c r="AD38" s="25"/>
      <c r="AE38" s="25"/>
    </row>
    <row r="39" spans="1:31" s="59" customFormat="1">
      <c r="A39" s="47" t="s">
        <v>121</v>
      </c>
      <c r="B39" s="47" t="s">
        <v>122</v>
      </c>
      <c r="C39" s="48" t="s">
        <v>302</v>
      </c>
      <c r="D39" s="64">
        <v>29</v>
      </c>
      <c r="E39" s="47" t="s">
        <v>121</v>
      </c>
      <c r="F39" s="18" t="s">
        <v>86</v>
      </c>
      <c r="G39" s="18" t="s">
        <v>74</v>
      </c>
      <c r="H39" s="27" t="s">
        <v>284</v>
      </c>
      <c r="I39" s="24">
        <v>3.6</v>
      </c>
      <c r="J39" s="20" t="str">
        <f>VLOOKUP(G39,MD!M$2:O$93,3,FALSE)</f>
        <v>t/ha</v>
      </c>
      <c r="K39" s="29">
        <v>1</v>
      </c>
      <c r="L39" s="27"/>
      <c r="M39" s="25"/>
      <c r="N39" s="25"/>
      <c r="O39" s="25"/>
      <c r="P39" s="22"/>
      <c r="Q39" s="44"/>
      <c r="R39" s="44"/>
      <c r="S39" s="44"/>
      <c r="T39" s="25"/>
      <c r="U39" s="25"/>
      <c r="V39" s="25"/>
      <c r="W39" s="25"/>
      <c r="X39" s="22"/>
      <c r="Y39" s="44"/>
      <c r="Z39" s="44"/>
      <c r="AA39" s="44"/>
      <c r="AB39" s="25"/>
      <c r="AC39" s="25"/>
      <c r="AD39" s="25"/>
      <c r="AE39" s="25"/>
    </row>
    <row r="40" spans="1:31" s="59" customFormat="1">
      <c r="A40" s="47" t="s">
        <v>121</v>
      </c>
      <c r="B40" s="47" t="s">
        <v>122</v>
      </c>
      <c r="C40" s="48" t="s">
        <v>302</v>
      </c>
      <c r="D40" s="64">
        <v>29</v>
      </c>
      <c r="E40" s="47" t="s">
        <v>121</v>
      </c>
      <c r="F40" s="18" t="s">
        <v>86</v>
      </c>
      <c r="G40" s="18" t="s">
        <v>49</v>
      </c>
      <c r="H40" s="27" t="s">
        <v>284</v>
      </c>
      <c r="I40" s="24">
        <v>3.6</v>
      </c>
      <c r="J40" s="20" t="str">
        <f>VLOOKUP(G40,MD!M$2:O$93,3,FALSE)</f>
        <v>t/ha</v>
      </c>
      <c r="K40" s="29">
        <v>1</v>
      </c>
      <c r="L40" s="27"/>
      <c r="M40" s="25"/>
      <c r="N40" s="25"/>
      <c r="O40" s="25"/>
      <c r="P40" s="22"/>
      <c r="Q40" s="44"/>
      <c r="R40" s="44"/>
      <c r="S40" s="44"/>
      <c r="T40" s="25"/>
      <c r="U40" s="25"/>
      <c r="V40" s="25"/>
      <c r="W40" s="25"/>
      <c r="X40" s="22"/>
      <c r="Y40" s="44"/>
      <c r="Z40" s="44"/>
      <c r="AA40" s="44"/>
      <c r="AB40" s="25"/>
      <c r="AC40" s="25"/>
      <c r="AD40" s="25"/>
      <c r="AE40" s="25"/>
    </row>
    <row r="41" spans="1:31" s="59" customFormat="1">
      <c r="A41" s="47" t="s">
        <v>121</v>
      </c>
      <c r="B41" s="47" t="s">
        <v>122</v>
      </c>
      <c r="C41" s="48" t="s">
        <v>302</v>
      </c>
      <c r="D41" s="64">
        <v>29</v>
      </c>
      <c r="E41" s="47" t="s">
        <v>121</v>
      </c>
      <c r="F41" s="18" t="s">
        <v>86</v>
      </c>
      <c r="G41" s="18" t="s">
        <v>79</v>
      </c>
      <c r="H41" s="27" t="s">
        <v>284</v>
      </c>
      <c r="I41" s="24">
        <v>3.6</v>
      </c>
      <c r="J41" s="20" t="str">
        <f>VLOOKUP(G41,MD!M$2:O$93,3,FALSE)</f>
        <v>t/ha</v>
      </c>
      <c r="K41" s="29">
        <v>1</v>
      </c>
      <c r="L41" s="27"/>
      <c r="M41" s="25"/>
      <c r="N41" s="25"/>
      <c r="O41" s="25"/>
      <c r="P41" s="22"/>
      <c r="Q41" s="44"/>
      <c r="R41" s="44"/>
      <c r="S41" s="44"/>
      <c r="T41" s="25"/>
      <c r="U41" s="25"/>
      <c r="V41" s="25"/>
      <c r="W41" s="25"/>
      <c r="X41" s="22"/>
      <c r="Y41" s="44"/>
      <c r="Z41" s="44"/>
      <c r="AA41" s="44"/>
      <c r="AB41" s="25"/>
      <c r="AC41" s="25"/>
      <c r="AD41" s="25"/>
      <c r="AE41" s="25"/>
    </row>
    <row r="42" spans="1:31" s="59" customFormat="1">
      <c r="A42" s="47" t="s">
        <v>121</v>
      </c>
      <c r="B42" s="47" t="s">
        <v>122</v>
      </c>
      <c r="C42" s="48" t="s">
        <v>302</v>
      </c>
      <c r="D42" s="64">
        <v>29</v>
      </c>
      <c r="E42" s="47" t="s">
        <v>121</v>
      </c>
      <c r="F42" s="18" t="s">
        <v>2</v>
      </c>
      <c r="G42" s="18" t="s">
        <v>116</v>
      </c>
      <c r="H42" s="27" t="s">
        <v>284</v>
      </c>
      <c r="I42" s="24">
        <v>3.6</v>
      </c>
      <c r="J42" s="20" t="str">
        <f>VLOOKUP(G42,MD!M$2:O$93,3,FALSE)</f>
        <v>t/ha</v>
      </c>
      <c r="K42" s="29">
        <v>1</v>
      </c>
      <c r="L42" s="27"/>
      <c r="M42" s="25"/>
      <c r="N42" s="25"/>
      <c r="O42" s="25"/>
      <c r="P42" s="22"/>
      <c r="Q42" s="44"/>
      <c r="R42" s="44"/>
      <c r="S42" s="44"/>
      <c r="T42" s="25"/>
      <c r="U42" s="25"/>
      <c r="V42" s="25"/>
      <c r="W42" s="25"/>
      <c r="X42" s="22"/>
      <c r="Y42" s="44"/>
      <c r="Z42" s="44"/>
      <c r="AA42" s="44"/>
      <c r="AB42" s="25"/>
      <c r="AC42" s="25"/>
      <c r="AD42" s="25"/>
      <c r="AE42" s="25"/>
    </row>
    <row r="43" spans="1:31" s="59" customFormat="1">
      <c r="A43" s="47" t="s">
        <v>269</v>
      </c>
      <c r="B43" s="47" t="s">
        <v>270</v>
      </c>
      <c r="C43" s="48">
        <v>43300</v>
      </c>
      <c r="D43" s="64">
        <f>WEEKNUM(C43)</f>
        <v>29</v>
      </c>
      <c r="E43" s="47" t="s">
        <v>123</v>
      </c>
      <c r="F43" s="18" t="s">
        <v>84</v>
      </c>
      <c r="G43" s="18" t="s">
        <v>271</v>
      </c>
      <c r="H43" s="27"/>
      <c r="I43" s="24">
        <v>1</v>
      </c>
      <c r="J43" s="20" t="str">
        <f>VLOOKUP(G43,MD!M$2:O$93,3,FALSE)</f>
        <v>ha</v>
      </c>
      <c r="K43" s="29">
        <v>1</v>
      </c>
      <c r="L43" s="27" t="s">
        <v>583</v>
      </c>
      <c r="M43" s="25"/>
      <c r="N43" s="25"/>
      <c r="O43" s="25"/>
      <c r="P43" s="22"/>
      <c r="Q43" s="44"/>
      <c r="R43" s="44"/>
      <c r="S43" s="44"/>
      <c r="T43" s="25"/>
      <c r="U43" s="25"/>
      <c r="V43" s="25"/>
      <c r="W43" s="25"/>
      <c r="X43" s="22"/>
      <c r="Y43" s="44"/>
      <c r="Z43" s="44"/>
      <c r="AA43" s="44"/>
      <c r="AB43" s="25"/>
      <c r="AC43" s="25"/>
      <c r="AD43" s="25"/>
      <c r="AE43" s="25"/>
    </row>
    <row r="44" spans="1:31" s="59" customFormat="1">
      <c r="A44" s="47" t="s">
        <v>269</v>
      </c>
      <c r="B44" s="47" t="s">
        <v>270</v>
      </c>
      <c r="C44" s="48">
        <v>43300</v>
      </c>
      <c r="D44" s="64">
        <f t="shared" ref="D44:D89" si="0">WEEKNUM(C44)</f>
        <v>29</v>
      </c>
      <c r="E44" s="47" t="s">
        <v>123</v>
      </c>
      <c r="F44" s="18" t="s">
        <v>87</v>
      </c>
      <c r="G44" s="18" t="s">
        <v>94</v>
      </c>
      <c r="H44" s="27" t="s">
        <v>272</v>
      </c>
      <c r="I44" s="24">
        <v>15.8</v>
      </c>
      <c r="J44" s="95" t="s">
        <v>106</v>
      </c>
      <c r="K44" s="29">
        <v>1</v>
      </c>
      <c r="L44" s="27"/>
      <c r="M44" s="25"/>
      <c r="N44" s="25"/>
      <c r="O44" s="25"/>
      <c r="P44" s="22"/>
      <c r="Q44" s="44"/>
      <c r="R44" s="44"/>
      <c r="S44" s="44"/>
      <c r="T44" s="25"/>
      <c r="U44" s="25"/>
      <c r="V44" s="25"/>
      <c r="W44" s="25"/>
      <c r="X44" s="22"/>
      <c r="Y44" s="44"/>
      <c r="Z44" s="44"/>
      <c r="AA44" s="44"/>
      <c r="AB44" s="25"/>
      <c r="AC44" s="25"/>
      <c r="AD44" s="25"/>
      <c r="AE44" s="25"/>
    </row>
    <row r="45" spans="1:31" s="59" customFormat="1">
      <c r="A45" s="47" t="s">
        <v>269</v>
      </c>
      <c r="B45" s="47" t="s">
        <v>270</v>
      </c>
      <c r="C45" s="48">
        <v>43300</v>
      </c>
      <c r="D45" s="64">
        <f t="shared" si="0"/>
        <v>29</v>
      </c>
      <c r="E45" s="47" t="s">
        <v>123</v>
      </c>
      <c r="F45" s="18" t="s">
        <v>87</v>
      </c>
      <c r="G45" s="18" t="s">
        <v>94</v>
      </c>
      <c r="H45" s="27" t="s">
        <v>273</v>
      </c>
      <c r="I45" s="24">
        <v>12.7</v>
      </c>
      <c r="J45" s="95" t="s">
        <v>106</v>
      </c>
      <c r="K45" s="29">
        <v>1</v>
      </c>
      <c r="L45" s="27"/>
      <c r="M45" s="25"/>
      <c r="N45" s="25"/>
      <c r="O45" s="25"/>
      <c r="P45" s="22"/>
      <c r="Q45" s="44"/>
      <c r="R45" s="44"/>
      <c r="S45" s="44"/>
      <c r="T45" s="25"/>
      <c r="U45" s="25"/>
      <c r="V45" s="25"/>
      <c r="W45" s="25"/>
      <c r="X45" s="22"/>
      <c r="Y45" s="44"/>
      <c r="Z45" s="44"/>
      <c r="AA45" s="44"/>
      <c r="AB45" s="25"/>
      <c r="AC45" s="25"/>
      <c r="AD45" s="25"/>
      <c r="AE45" s="25"/>
    </row>
    <row r="46" spans="1:31" s="59" customFormat="1">
      <c r="A46" s="47" t="s">
        <v>269</v>
      </c>
      <c r="B46" s="47" t="s">
        <v>270</v>
      </c>
      <c r="C46" s="48">
        <v>43300</v>
      </c>
      <c r="D46" s="64">
        <f t="shared" si="0"/>
        <v>29</v>
      </c>
      <c r="E46" s="47" t="s">
        <v>123</v>
      </c>
      <c r="F46" s="18" t="s">
        <v>87</v>
      </c>
      <c r="G46" s="18" t="s">
        <v>94</v>
      </c>
      <c r="H46" s="27" t="s">
        <v>274</v>
      </c>
      <c r="I46" s="24">
        <v>6.3</v>
      </c>
      <c r="J46" s="95" t="s">
        <v>106</v>
      </c>
      <c r="K46" s="29">
        <v>1</v>
      </c>
      <c r="L46" s="27"/>
      <c r="M46" s="25"/>
      <c r="N46" s="25"/>
      <c r="O46" s="25"/>
      <c r="P46" s="22"/>
      <c r="Q46" s="44"/>
      <c r="R46" s="44"/>
      <c r="S46" s="44"/>
      <c r="T46" s="25"/>
      <c r="U46" s="25"/>
      <c r="V46" s="25"/>
      <c r="W46" s="25"/>
      <c r="X46" s="22"/>
      <c r="Y46" s="44"/>
      <c r="Z46" s="44"/>
      <c r="AA46" s="44"/>
      <c r="AB46" s="25"/>
      <c r="AC46" s="25"/>
      <c r="AD46" s="25"/>
      <c r="AE46" s="25"/>
    </row>
    <row r="47" spans="1:31" s="59" customFormat="1">
      <c r="A47" s="47" t="s">
        <v>269</v>
      </c>
      <c r="B47" s="47" t="s">
        <v>270</v>
      </c>
      <c r="C47" s="48">
        <v>43301</v>
      </c>
      <c r="D47" s="64">
        <f t="shared" si="0"/>
        <v>29</v>
      </c>
      <c r="E47" s="47" t="s">
        <v>123</v>
      </c>
      <c r="F47" s="18" t="s">
        <v>83</v>
      </c>
      <c r="G47" s="18" t="s">
        <v>60</v>
      </c>
      <c r="H47" s="27"/>
      <c r="I47" s="24">
        <v>1</v>
      </c>
      <c r="J47" s="20" t="str">
        <f>VLOOKUP(G47,MD!M$2:O$93,3,FALSE)</f>
        <v>ha</v>
      </c>
      <c r="K47" s="29">
        <v>1</v>
      </c>
      <c r="L47" s="27"/>
      <c r="M47" s="25"/>
      <c r="N47" s="25"/>
      <c r="O47" s="25"/>
      <c r="P47" s="22"/>
      <c r="Q47" s="44"/>
      <c r="R47" s="44"/>
      <c r="S47" s="44"/>
      <c r="T47" s="25"/>
      <c r="U47" s="25"/>
      <c r="V47" s="25"/>
      <c r="W47" s="25"/>
      <c r="X47" s="22"/>
      <c r="Y47" s="44"/>
      <c r="Z47" s="44"/>
      <c r="AA47" s="44"/>
      <c r="AB47" s="25"/>
      <c r="AC47" s="25"/>
      <c r="AD47" s="25"/>
      <c r="AE47" s="25"/>
    </row>
    <row r="48" spans="1:31" s="59" customFormat="1">
      <c r="A48" s="47" t="s">
        <v>269</v>
      </c>
      <c r="B48" s="47" t="s">
        <v>270</v>
      </c>
      <c r="C48" s="48">
        <v>43389</v>
      </c>
      <c r="D48" s="64">
        <f t="shared" si="0"/>
        <v>42</v>
      </c>
      <c r="E48" s="47" t="s">
        <v>304</v>
      </c>
      <c r="F48" s="18" t="s">
        <v>84</v>
      </c>
      <c r="G48" s="18" t="s">
        <v>30</v>
      </c>
      <c r="H48" s="27"/>
      <c r="I48" s="24">
        <v>1</v>
      </c>
      <c r="J48" s="20" t="str">
        <f>VLOOKUP(G48,MD!M$2:O$93,3,FALSE)</f>
        <v>ha</v>
      </c>
      <c r="K48" s="29">
        <v>1</v>
      </c>
      <c r="L48" s="27"/>
      <c r="M48" s="25"/>
      <c r="N48" s="25"/>
      <c r="O48" s="25"/>
      <c r="P48" s="22"/>
      <c r="Q48" s="44"/>
      <c r="R48" s="44"/>
      <c r="S48" s="44"/>
      <c r="T48" s="25"/>
      <c r="U48" s="25"/>
      <c r="V48" s="25"/>
      <c r="W48" s="25"/>
      <c r="X48" s="22"/>
      <c r="Y48" s="44"/>
      <c r="Z48" s="44"/>
      <c r="AA48" s="44"/>
      <c r="AB48" s="25"/>
      <c r="AC48" s="25"/>
      <c r="AD48" s="25"/>
      <c r="AE48" s="25"/>
    </row>
    <row r="49" spans="1:31" s="59" customFormat="1">
      <c r="A49" s="47" t="s">
        <v>269</v>
      </c>
      <c r="B49" s="47" t="s">
        <v>270</v>
      </c>
      <c r="C49" s="48">
        <v>43389</v>
      </c>
      <c r="D49" s="64">
        <f t="shared" si="0"/>
        <v>42</v>
      </c>
      <c r="E49" s="47" t="s">
        <v>304</v>
      </c>
      <c r="F49" s="18" t="s">
        <v>87</v>
      </c>
      <c r="G49" s="18" t="s">
        <v>93</v>
      </c>
      <c r="H49" s="27" t="s">
        <v>305</v>
      </c>
      <c r="I49" s="58">
        <f>250+250*2/17</f>
        <v>279.41176470588238</v>
      </c>
      <c r="J49" s="20" t="str">
        <f>VLOOKUP(G49,MD!M$2:O$93,3,FALSE)</f>
        <v>gr./m2</v>
      </c>
      <c r="K49" s="29">
        <f>15/17</f>
        <v>0.88235294117647056</v>
      </c>
      <c r="L49" s="27" t="s">
        <v>336</v>
      </c>
      <c r="M49" s="25" t="s">
        <v>584</v>
      </c>
      <c r="N49" s="25"/>
      <c r="O49" s="25"/>
      <c r="P49" s="22"/>
      <c r="Q49" s="44"/>
      <c r="R49" s="44">
        <f>250*15/17</f>
        <v>220.58823529411765</v>
      </c>
      <c r="S49" s="44">
        <f>220/1000*50/1000*10000</f>
        <v>110</v>
      </c>
      <c r="T49" s="25"/>
      <c r="U49" s="25"/>
      <c r="V49" s="25"/>
      <c r="W49" s="25"/>
      <c r="X49" s="22"/>
      <c r="Y49" s="44"/>
      <c r="Z49" s="44"/>
      <c r="AA49" s="44"/>
      <c r="AB49" s="25"/>
      <c r="AC49" s="25"/>
      <c r="AD49" s="25"/>
      <c r="AE49" s="25"/>
    </row>
    <row r="50" spans="1:31" s="59" customFormat="1">
      <c r="A50" s="47" t="s">
        <v>269</v>
      </c>
      <c r="B50" s="47" t="s">
        <v>270</v>
      </c>
      <c r="C50" s="48">
        <v>43389</v>
      </c>
      <c r="D50" s="64">
        <f t="shared" si="0"/>
        <v>42</v>
      </c>
      <c r="E50" s="47" t="s">
        <v>304</v>
      </c>
      <c r="F50" s="18" t="s">
        <v>89</v>
      </c>
      <c r="G50" s="18" t="s">
        <v>133</v>
      </c>
      <c r="H50" s="27" t="s">
        <v>366</v>
      </c>
      <c r="I50" s="58"/>
      <c r="J50" s="20" t="str">
        <f>VLOOKUP(G50,MD!M$2:O$93,3,FALSE)</f>
        <v>Dose hom.</v>
      </c>
      <c r="K50" s="29">
        <f>15/17</f>
        <v>0.88235294117647056</v>
      </c>
      <c r="L50" s="27" t="s">
        <v>372</v>
      </c>
      <c r="M50" s="25" t="s">
        <v>367</v>
      </c>
      <c r="N50" s="104">
        <f>100*0.05*279*0.043*0.00001*10000</f>
        <v>5.9984999999999999</v>
      </c>
      <c r="O50" s="25" t="s">
        <v>358</v>
      </c>
      <c r="P50" s="22"/>
      <c r="Q50" s="44"/>
      <c r="R50" s="44"/>
      <c r="S50" s="44"/>
      <c r="T50" s="25"/>
      <c r="U50" s="25"/>
      <c r="V50" s="25"/>
      <c r="W50" s="25"/>
      <c r="X50" s="22"/>
      <c r="Y50" s="44"/>
      <c r="Z50" s="44"/>
      <c r="AA50" s="44"/>
      <c r="AB50" s="25"/>
      <c r="AC50" s="25"/>
      <c r="AD50" s="25"/>
      <c r="AE50" s="25"/>
    </row>
    <row r="51" spans="1:31" s="59" customFormat="1">
      <c r="A51" s="47" t="s">
        <v>269</v>
      </c>
      <c r="B51" s="47" t="s">
        <v>270</v>
      </c>
      <c r="C51" s="48">
        <v>43389</v>
      </c>
      <c r="D51" s="64">
        <f t="shared" si="0"/>
        <v>42</v>
      </c>
      <c r="E51" s="47" t="s">
        <v>304</v>
      </c>
      <c r="F51" s="18" t="s">
        <v>89</v>
      </c>
      <c r="G51" s="18" t="s">
        <v>133</v>
      </c>
      <c r="H51" s="27" t="s">
        <v>368</v>
      </c>
      <c r="I51" s="58"/>
      <c r="J51" s="20" t="str">
        <f>VLOOKUP(G51,MD!M$2:O$93,3,FALSE)</f>
        <v>Dose hom.</v>
      </c>
      <c r="K51" s="29">
        <f>15/17</f>
        <v>0.88235294117647056</v>
      </c>
      <c r="L51" s="27" t="s">
        <v>373</v>
      </c>
      <c r="M51" s="25" t="s">
        <v>369</v>
      </c>
      <c r="N51" s="104">
        <f>20*0.05*279*0.043*0.00001*10000</f>
        <v>1.1997</v>
      </c>
      <c r="O51" s="25" t="s">
        <v>358</v>
      </c>
      <c r="P51" s="22"/>
      <c r="Q51" s="44"/>
      <c r="R51" s="44"/>
      <c r="S51" s="44"/>
      <c r="T51" s="25"/>
      <c r="U51" s="25"/>
      <c r="V51" s="25"/>
      <c r="W51" s="25"/>
      <c r="X51" s="22"/>
      <c r="Y51" s="44"/>
      <c r="Z51" s="44"/>
      <c r="AA51" s="44"/>
      <c r="AB51" s="25"/>
      <c r="AC51" s="25"/>
      <c r="AD51" s="25"/>
      <c r="AE51" s="25"/>
    </row>
    <row r="52" spans="1:31" s="59" customFormat="1">
      <c r="A52" s="47" t="s">
        <v>269</v>
      </c>
      <c r="B52" s="47" t="s">
        <v>270</v>
      </c>
      <c r="C52" s="48">
        <v>43389</v>
      </c>
      <c r="D52" s="64">
        <f t="shared" si="0"/>
        <v>42</v>
      </c>
      <c r="E52" s="47" t="s">
        <v>304</v>
      </c>
      <c r="F52" s="18" t="s">
        <v>89</v>
      </c>
      <c r="G52" s="18" t="s">
        <v>133</v>
      </c>
      <c r="H52" s="27" t="s">
        <v>370</v>
      </c>
      <c r="I52" s="58"/>
      <c r="J52" s="20" t="str">
        <f>VLOOKUP(G52,MD!M$2:O$93,3,FALSE)</f>
        <v>Dose hom.</v>
      </c>
      <c r="K52" s="29">
        <f>15/17</f>
        <v>0.88235294117647056</v>
      </c>
      <c r="L52" s="27" t="s">
        <v>374</v>
      </c>
      <c r="M52" s="25" t="s">
        <v>371</v>
      </c>
      <c r="N52" s="104">
        <f>60*0.05*279*0.043*0.00001*10000</f>
        <v>3.5991</v>
      </c>
      <c r="O52" s="25" t="s">
        <v>358</v>
      </c>
      <c r="P52" s="22"/>
      <c r="Q52" s="44"/>
      <c r="R52" s="44"/>
      <c r="S52" s="44"/>
      <c r="T52" s="25"/>
      <c r="U52" s="25"/>
      <c r="V52" s="25"/>
      <c r="W52" s="25"/>
      <c r="X52" s="22"/>
      <c r="Y52" s="44"/>
      <c r="Z52" s="44"/>
      <c r="AA52" s="44"/>
      <c r="AB52" s="25"/>
      <c r="AC52" s="25"/>
      <c r="AD52" s="25"/>
      <c r="AE52" s="25"/>
    </row>
    <row r="53" spans="1:31" s="59" customFormat="1">
      <c r="A53" s="47" t="s">
        <v>269</v>
      </c>
      <c r="B53" s="47" t="s">
        <v>270</v>
      </c>
      <c r="C53" s="48">
        <v>43390</v>
      </c>
      <c r="D53" s="64">
        <f t="shared" si="0"/>
        <v>42</v>
      </c>
      <c r="E53" s="47" t="s">
        <v>269</v>
      </c>
      <c r="F53" s="18" t="s">
        <v>83</v>
      </c>
      <c r="G53" s="18" t="s">
        <v>56</v>
      </c>
      <c r="H53" s="27"/>
      <c r="I53" s="24">
        <v>1</v>
      </c>
      <c r="J53" s="20" t="str">
        <f>VLOOKUP(G53,MD!M$2:O$93,3,FALSE)</f>
        <v>ha</v>
      </c>
      <c r="K53" s="29">
        <v>1</v>
      </c>
      <c r="L53" s="27"/>
      <c r="M53" s="25"/>
      <c r="N53" s="104"/>
      <c r="O53" s="25"/>
      <c r="P53" s="22"/>
      <c r="Q53" s="44"/>
      <c r="R53" s="44"/>
      <c r="S53" s="44"/>
      <c r="T53" s="25"/>
      <c r="U53" s="25"/>
      <c r="V53" s="25"/>
      <c r="W53" s="25"/>
      <c r="X53" s="22"/>
      <c r="Y53" s="44"/>
      <c r="Z53" s="44"/>
      <c r="AA53" s="44"/>
      <c r="AB53" s="25"/>
      <c r="AC53" s="25"/>
      <c r="AD53" s="25"/>
      <c r="AE53" s="25"/>
    </row>
    <row r="54" spans="1:31" s="59" customFormat="1">
      <c r="A54" s="47" t="s">
        <v>269</v>
      </c>
      <c r="B54" s="47" t="s">
        <v>270</v>
      </c>
      <c r="C54" s="48">
        <v>43391</v>
      </c>
      <c r="D54" s="64">
        <f t="shared" si="0"/>
        <v>42</v>
      </c>
      <c r="E54" s="47" t="s">
        <v>269</v>
      </c>
      <c r="F54" s="18" t="s">
        <v>86</v>
      </c>
      <c r="G54" s="18" t="s">
        <v>64</v>
      </c>
      <c r="H54" s="27"/>
      <c r="I54" s="24">
        <v>1</v>
      </c>
      <c r="J54" s="20" t="str">
        <f>VLOOKUP(G54,MD!M$2:O$93,3,FALSE)</f>
        <v>ha</v>
      </c>
      <c r="K54" s="29">
        <v>1</v>
      </c>
      <c r="L54" s="27"/>
      <c r="M54" s="25"/>
      <c r="N54" s="25"/>
      <c r="O54" s="25"/>
      <c r="P54" s="22"/>
      <c r="Q54" s="44"/>
      <c r="R54" s="44"/>
      <c r="S54" s="44"/>
      <c r="T54" s="25"/>
      <c r="U54" s="25"/>
      <c r="V54" s="25"/>
      <c r="W54" s="25"/>
      <c r="X54" s="22"/>
      <c r="Y54" s="44"/>
      <c r="Z54" s="44"/>
      <c r="AA54" s="44"/>
      <c r="AB54" s="25"/>
      <c r="AC54" s="25"/>
      <c r="AD54" s="25"/>
      <c r="AE54" s="25"/>
    </row>
    <row r="55" spans="1:31" s="59" customFormat="1">
      <c r="A55" s="47" t="s">
        <v>269</v>
      </c>
      <c r="B55" s="47" t="s">
        <v>270</v>
      </c>
      <c r="C55" s="48">
        <v>43391</v>
      </c>
      <c r="D55" s="64">
        <f t="shared" si="0"/>
        <v>42</v>
      </c>
      <c r="E55" s="47" t="s">
        <v>269</v>
      </c>
      <c r="F55" s="18" t="s">
        <v>89</v>
      </c>
      <c r="G55" s="18" t="s">
        <v>113</v>
      </c>
      <c r="H55" s="27" t="s">
        <v>306</v>
      </c>
      <c r="I55" s="24">
        <f>240*1.5</f>
        <v>360</v>
      </c>
      <c r="J55" s="20" t="s">
        <v>308</v>
      </c>
      <c r="K55" s="29">
        <v>1</v>
      </c>
      <c r="L55" s="27" t="s">
        <v>309</v>
      </c>
      <c r="M55" s="25" t="s">
        <v>306</v>
      </c>
      <c r="N55" s="25">
        <v>360</v>
      </c>
      <c r="O55" s="25" t="s">
        <v>358</v>
      </c>
      <c r="P55" s="22" t="s">
        <v>585</v>
      </c>
      <c r="Q55" s="44"/>
      <c r="R55" s="44"/>
      <c r="S55" s="44"/>
      <c r="T55" s="25"/>
      <c r="U55" s="25"/>
      <c r="V55" s="25"/>
      <c r="W55" s="25"/>
      <c r="X55" s="22"/>
      <c r="Y55" s="44"/>
      <c r="Z55" s="44"/>
      <c r="AA55" s="44"/>
      <c r="AB55" s="25"/>
      <c r="AC55" s="25"/>
      <c r="AD55" s="25"/>
      <c r="AE55" s="25"/>
    </row>
    <row r="56" spans="1:31" s="59" customFormat="1">
      <c r="A56" s="47" t="s">
        <v>269</v>
      </c>
      <c r="B56" s="47" t="s">
        <v>270</v>
      </c>
      <c r="C56" s="48">
        <v>43391</v>
      </c>
      <c r="D56" s="64">
        <f t="shared" si="0"/>
        <v>42</v>
      </c>
      <c r="E56" s="47" t="s">
        <v>269</v>
      </c>
      <c r="F56" s="18" t="s">
        <v>89</v>
      </c>
      <c r="G56" s="18" t="s">
        <v>113</v>
      </c>
      <c r="H56" s="27" t="s">
        <v>307</v>
      </c>
      <c r="I56" s="24">
        <v>0.5</v>
      </c>
      <c r="J56" s="20" t="s">
        <v>107</v>
      </c>
      <c r="K56" s="29">
        <v>1</v>
      </c>
      <c r="L56" s="27" t="s">
        <v>310</v>
      </c>
      <c r="M56" s="25" t="s">
        <v>307</v>
      </c>
      <c r="N56" s="25">
        <v>0.5</v>
      </c>
      <c r="O56" s="25" t="s">
        <v>359</v>
      </c>
      <c r="P56" s="22" t="s">
        <v>586</v>
      </c>
      <c r="Q56" s="44"/>
      <c r="R56" s="44"/>
      <c r="S56" s="44"/>
      <c r="T56" s="25"/>
      <c r="U56" s="25"/>
      <c r="V56" s="25"/>
      <c r="W56" s="25"/>
      <c r="X56" s="22"/>
      <c r="Y56" s="44"/>
      <c r="Z56" s="44"/>
      <c r="AA56" s="44"/>
      <c r="AB56" s="25"/>
      <c r="AC56" s="25"/>
      <c r="AD56" s="25"/>
      <c r="AE56" s="25"/>
    </row>
    <row r="57" spans="1:31" s="59" customFormat="1">
      <c r="A57" s="47" t="s">
        <v>269</v>
      </c>
      <c r="B57" s="47" t="s">
        <v>270</v>
      </c>
      <c r="C57" s="48">
        <v>43391</v>
      </c>
      <c r="D57" s="64">
        <f t="shared" si="0"/>
        <v>42</v>
      </c>
      <c r="E57" s="47" t="s">
        <v>269</v>
      </c>
      <c r="F57" s="18" t="s">
        <v>89</v>
      </c>
      <c r="G57" s="18" t="s">
        <v>108</v>
      </c>
      <c r="H57" s="27" t="s">
        <v>787</v>
      </c>
      <c r="I57" s="24">
        <v>460</v>
      </c>
      <c r="J57" s="95" t="s">
        <v>308</v>
      </c>
      <c r="K57" s="29">
        <v>1</v>
      </c>
      <c r="L57" s="27" t="s">
        <v>311</v>
      </c>
      <c r="M57" s="25" t="s">
        <v>362</v>
      </c>
      <c r="N57" s="25">
        <v>460</v>
      </c>
      <c r="O57" s="25" t="s">
        <v>358</v>
      </c>
      <c r="P57" s="22"/>
      <c r="Q57" s="44"/>
      <c r="R57" s="44"/>
      <c r="S57" s="44"/>
      <c r="T57" s="25"/>
      <c r="U57" s="25"/>
      <c r="V57" s="25"/>
      <c r="W57" s="25"/>
      <c r="X57" s="22"/>
      <c r="Y57" s="44"/>
      <c r="Z57" s="44"/>
      <c r="AA57" s="44"/>
      <c r="AB57" s="25"/>
      <c r="AC57" s="25"/>
      <c r="AD57" s="25"/>
      <c r="AE57" s="25"/>
    </row>
    <row r="58" spans="1:31" s="59" customFormat="1">
      <c r="A58" s="47" t="s">
        <v>269</v>
      </c>
      <c r="B58" s="47" t="s">
        <v>270</v>
      </c>
      <c r="C58" s="48">
        <v>43417</v>
      </c>
      <c r="D58" s="64">
        <f t="shared" si="0"/>
        <v>46</v>
      </c>
      <c r="E58" s="47" t="s">
        <v>269</v>
      </c>
      <c r="F58" s="18" t="s">
        <v>84</v>
      </c>
      <c r="G58" s="18" t="s">
        <v>221</v>
      </c>
      <c r="H58" s="27" t="s">
        <v>346</v>
      </c>
      <c r="I58" s="24">
        <v>1</v>
      </c>
      <c r="J58" s="20" t="str">
        <f>VLOOKUP(G58,MD!M$2:O$93,3,FALSE)</f>
        <v>ha</v>
      </c>
      <c r="K58" s="29">
        <v>1</v>
      </c>
      <c r="L58" s="27"/>
      <c r="M58" s="25"/>
      <c r="N58" s="25"/>
      <c r="O58" s="25"/>
      <c r="P58" s="22" t="s">
        <v>587</v>
      </c>
      <c r="Q58" s="44"/>
      <c r="R58" s="44"/>
      <c r="S58" s="44"/>
      <c r="T58" s="25"/>
      <c r="U58" s="25"/>
      <c r="V58" s="25"/>
      <c r="W58" s="25"/>
      <c r="X58" s="22"/>
      <c r="Y58" s="44"/>
      <c r="Z58" s="44"/>
      <c r="AA58" s="44"/>
      <c r="AB58" s="25"/>
      <c r="AC58" s="25"/>
      <c r="AD58" s="25"/>
      <c r="AE58" s="25"/>
    </row>
    <row r="59" spans="1:31" s="59" customFormat="1">
      <c r="A59" s="47" t="s">
        <v>269</v>
      </c>
      <c r="B59" s="47" t="s">
        <v>270</v>
      </c>
      <c r="C59" s="48">
        <v>43417</v>
      </c>
      <c r="D59" s="64">
        <f t="shared" si="0"/>
        <v>46</v>
      </c>
      <c r="E59" s="47" t="s">
        <v>269</v>
      </c>
      <c r="F59" s="18" t="s">
        <v>89</v>
      </c>
      <c r="G59" s="18" t="s">
        <v>109</v>
      </c>
      <c r="H59" s="27" t="s">
        <v>347</v>
      </c>
      <c r="I59" s="102">
        <f>5/7</f>
        <v>0.7142857142857143</v>
      </c>
      <c r="J59" s="20" t="str">
        <f>VLOOKUP(G59,MD!M$2:O$93,3,FALSE)</f>
        <v>Dose hom.</v>
      </c>
      <c r="K59" s="29">
        <v>1</v>
      </c>
      <c r="L59" s="27" t="s">
        <v>360</v>
      </c>
      <c r="M59" s="25" t="s">
        <v>361</v>
      </c>
      <c r="N59" s="103">
        <f>29.7*5</f>
        <v>148.5</v>
      </c>
      <c r="O59" s="25" t="s">
        <v>358</v>
      </c>
      <c r="P59" s="22"/>
      <c r="Q59" s="44"/>
      <c r="R59" s="44"/>
      <c r="S59" s="44"/>
      <c r="T59" s="25"/>
      <c r="U59" s="25"/>
      <c r="V59" s="25"/>
      <c r="W59" s="25"/>
      <c r="X59" s="22"/>
      <c r="Y59" s="44"/>
      <c r="Z59" s="44"/>
      <c r="AA59" s="44"/>
      <c r="AB59" s="25"/>
      <c r="AC59" s="25"/>
      <c r="AD59" s="25"/>
      <c r="AE59" s="25"/>
    </row>
    <row r="60" spans="1:31" s="59" customFormat="1">
      <c r="A60" s="47" t="s">
        <v>269</v>
      </c>
      <c r="B60" s="47" t="s">
        <v>270</v>
      </c>
      <c r="C60" s="48">
        <v>43427</v>
      </c>
      <c r="D60" s="64">
        <f t="shared" si="0"/>
        <v>47</v>
      </c>
      <c r="E60" s="47" t="s">
        <v>269</v>
      </c>
      <c r="F60" s="18" t="s">
        <v>86</v>
      </c>
      <c r="G60" s="18" t="s">
        <v>64</v>
      </c>
      <c r="H60" s="27"/>
      <c r="I60" s="24">
        <v>1</v>
      </c>
      <c r="J60" s="20" t="str">
        <f>VLOOKUP(G60,MD!M$2:O$93,3,FALSE)</f>
        <v>ha</v>
      </c>
      <c r="K60" s="29">
        <v>1</v>
      </c>
      <c r="L60" s="27"/>
      <c r="M60" s="25"/>
      <c r="N60" s="25"/>
      <c r="O60" s="25"/>
      <c r="P60" s="22"/>
      <c r="Q60" s="44"/>
      <c r="R60" s="44"/>
      <c r="S60" s="44"/>
      <c r="T60" s="25"/>
      <c r="U60" s="25"/>
      <c r="V60" s="25"/>
      <c r="W60" s="25"/>
      <c r="X60" s="22"/>
      <c r="Y60" s="44"/>
      <c r="Z60" s="44"/>
      <c r="AA60" s="44"/>
      <c r="AB60" s="25"/>
      <c r="AC60" s="25"/>
      <c r="AD60" s="25"/>
      <c r="AE60" s="25"/>
    </row>
    <row r="61" spans="1:31" s="59" customFormat="1">
      <c r="A61" s="47" t="s">
        <v>269</v>
      </c>
      <c r="B61" s="47" t="s">
        <v>270</v>
      </c>
      <c r="C61" s="48">
        <v>43427</v>
      </c>
      <c r="D61" s="64">
        <f t="shared" si="0"/>
        <v>47</v>
      </c>
      <c r="E61" s="47" t="s">
        <v>269</v>
      </c>
      <c r="F61" s="18" t="s">
        <v>89</v>
      </c>
      <c r="G61" s="18" t="s">
        <v>113</v>
      </c>
      <c r="H61" s="27" t="s">
        <v>338</v>
      </c>
      <c r="I61" s="102">
        <f>0.4/0.6</f>
        <v>0.66666666666666674</v>
      </c>
      <c r="J61" s="20" t="str">
        <f>VLOOKUP(G61,MD!M$2:O$93,3,FALSE)</f>
        <v>Dose hom.</v>
      </c>
      <c r="K61" s="29">
        <v>1</v>
      </c>
      <c r="L61" s="27" t="s">
        <v>354</v>
      </c>
      <c r="M61" s="25" t="s">
        <v>339</v>
      </c>
      <c r="N61" s="25">
        <v>80</v>
      </c>
      <c r="O61" s="25" t="s">
        <v>358</v>
      </c>
      <c r="P61" s="22"/>
      <c r="Q61" s="44"/>
      <c r="R61" s="44"/>
      <c r="S61" s="44"/>
      <c r="T61" s="25"/>
      <c r="U61" s="25"/>
      <c r="V61" s="25"/>
      <c r="W61" s="25"/>
      <c r="X61" s="22"/>
      <c r="Y61" s="44"/>
      <c r="Z61" s="44"/>
      <c r="AA61" s="44"/>
      <c r="AB61" s="25"/>
      <c r="AC61" s="25"/>
      <c r="AD61" s="25"/>
      <c r="AE61" s="25"/>
    </row>
    <row r="62" spans="1:31" s="59" customFormat="1">
      <c r="A62" s="47" t="s">
        <v>269</v>
      </c>
      <c r="B62" s="47" t="s">
        <v>270</v>
      </c>
      <c r="C62" s="48">
        <v>43427</v>
      </c>
      <c r="D62" s="64">
        <f t="shared" si="0"/>
        <v>47</v>
      </c>
      <c r="E62" s="47" t="s">
        <v>269</v>
      </c>
      <c r="F62" s="18" t="s">
        <v>89</v>
      </c>
      <c r="G62" s="18" t="s">
        <v>113</v>
      </c>
      <c r="H62" s="27" t="s">
        <v>341</v>
      </c>
      <c r="I62" s="102">
        <f>0.4/0.6</f>
        <v>0.66666666666666674</v>
      </c>
      <c r="J62" s="20" t="str">
        <f>VLOOKUP(G62,MD!M$2:O$93,3,FALSE)</f>
        <v>Dose hom.</v>
      </c>
      <c r="K62" s="29">
        <v>1</v>
      </c>
      <c r="L62" s="27" t="s">
        <v>355</v>
      </c>
      <c r="M62" s="25" t="s">
        <v>340</v>
      </c>
      <c r="N62" s="25">
        <v>160</v>
      </c>
      <c r="O62" s="25" t="s">
        <v>358</v>
      </c>
      <c r="P62" s="22"/>
      <c r="Q62" s="44"/>
      <c r="R62" s="44"/>
      <c r="S62" s="44"/>
      <c r="T62" s="25"/>
      <c r="U62" s="25"/>
      <c r="V62" s="25"/>
      <c r="W62" s="25"/>
      <c r="X62" s="22"/>
      <c r="Y62" s="44"/>
      <c r="Z62" s="44"/>
      <c r="AA62" s="44"/>
      <c r="AB62" s="25"/>
      <c r="AC62" s="25"/>
      <c r="AD62" s="25"/>
      <c r="AE62" s="25"/>
    </row>
    <row r="63" spans="1:31" s="59" customFormat="1">
      <c r="A63" s="47" t="s">
        <v>269</v>
      </c>
      <c r="B63" s="47" t="s">
        <v>270</v>
      </c>
      <c r="C63" s="48">
        <v>43434</v>
      </c>
      <c r="D63" s="64">
        <f t="shared" si="0"/>
        <v>48</v>
      </c>
      <c r="E63" s="47" t="s">
        <v>269</v>
      </c>
      <c r="F63" s="18" t="s">
        <v>87</v>
      </c>
      <c r="G63" s="18" t="s">
        <v>93</v>
      </c>
      <c r="H63" s="27" t="s">
        <v>344</v>
      </c>
      <c r="I63" s="24">
        <f>590/2</f>
        <v>295</v>
      </c>
      <c r="J63" s="20" t="str">
        <f>VLOOKUP(G63,MD!M$2:O$93,3,FALSE)</f>
        <v>gr./m2</v>
      </c>
      <c r="K63" s="29">
        <f>2/17</f>
        <v>0.11764705882352941</v>
      </c>
      <c r="L63" s="27" t="s">
        <v>345</v>
      </c>
      <c r="M63" s="25"/>
      <c r="N63" s="25"/>
      <c r="O63" s="25"/>
      <c r="P63" s="22">
        <f>295/1000*50/1000*10000*0.12</f>
        <v>17.7</v>
      </c>
      <c r="Q63" s="44"/>
      <c r="R63" s="44"/>
      <c r="S63" s="44"/>
      <c r="T63" s="25"/>
      <c r="U63" s="25"/>
      <c r="V63" s="25"/>
      <c r="W63" s="25"/>
      <c r="X63" s="22"/>
      <c r="Y63" s="44"/>
      <c r="Z63" s="44"/>
      <c r="AA63" s="44"/>
      <c r="AB63" s="25"/>
      <c r="AC63" s="25"/>
      <c r="AD63" s="25"/>
      <c r="AE63" s="25"/>
    </row>
    <row r="64" spans="1:31" s="59" customFormat="1">
      <c r="A64" s="47" t="s">
        <v>269</v>
      </c>
      <c r="B64" s="47" t="s">
        <v>270</v>
      </c>
      <c r="C64" s="48">
        <v>43434</v>
      </c>
      <c r="D64" s="64">
        <f t="shared" si="0"/>
        <v>48</v>
      </c>
      <c r="E64" s="47" t="s">
        <v>269</v>
      </c>
      <c r="F64" s="18" t="s">
        <v>89</v>
      </c>
      <c r="G64" s="18" t="s">
        <v>133</v>
      </c>
      <c r="H64" s="27" t="s">
        <v>349</v>
      </c>
      <c r="I64" s="24"/>
      <c r="J64" s="20" t="str">
        <f>VLOOKUP(G64,MD!M$2:O$93,3,FALSE)</f>
        <v>Dose hom.</v>
      </c>
      <c r="K64" s="29">
        <v>0.12</v>
      </c>
      <c r="L64" s="27" t="s">
        <v>363</v>
      </c>
      <c r="M64" s="25" t="s">
        <v>348</v>
      </c>
      <c r="N64" s="104">
        <f>25*0.2*295*0.039*0.00001*10000</f>
        <v>5.7525000000000004</v>
      </c>
      <c r="O64" s="25" t="s">
        <v>358</v>
      </c>
      <c r="P64" s="22"/>
      <c r="Q64" s="44"/>
      <c r="R64" s="44"/>
      <c r="S64" s="44"/>
      <c r="T64" s="25"/>
      <c r="U64" s="25"/>
      <c r="V64" s="25"/>
      <c r="W64" s="25"/>
      <c r="X64" s="22"/>
      <c r="Y64" s="44"/>
      <c r="Z64" s="44"/>
      <c r="AA64" s="44"/>
      <c r="AB64" s="25"/>
      <c r="AC64" s="25"/>
      <c r="AD64" s="25"/>
      <c r="AE64" s="25"/>
    </row>
    <row r="65" spans="1:31" s="59" customFormat="1">
      <c r="A65" s="47" t="s">
        <v>269</v>
      </c>
      <c r="B65" s="47" t="s">
        <v>270</v>
      </c>
      <c r="C65" s="48">
        <v>43434</v>
      </c>
      <c r="D65" s="64">
        <f t="shared" si="0"/>
        <v>48</v>
      </c>
      <c r="E65" s="47" t="s">
        <v>269</v>
      </c>
      <c r="F65" s="18" t="s">
        <v>89</v>
      </c>
      <c r="G65" s="18" t="s">
        <v>133</v>
      </c>
      <c r="H65" s="27" t="s">
        <v>350</v>
      </c>
      <c r="I65" s="24"/>
      <c r="J65" s="20" t="str">
        <f>VLOOKUP(G65,MD!M$2:O$93,3,FALSE)</f>
        <v>Dose hom.</v>
      </c>
      <c r="K65" s="29">
        <v>0.12</v>
      </c>
      <c r="L65" s="27" t="s">
        <v>363</v>
      </c>
      <c r="M65" s="25" t="s">
        <v>351</v>
      </c>
      <c r="N65" s="104">
        <f>25*0.2*295*0.039*0.00001*10000</f>
        <v>5.7525000000000004</v>
      </c>
      <c r="O65" s="25" t="s">
        <v>358</v>
      </c>
      <c r="P65" s="22"/>
      <c r="Q65" s="44"/>
      <c r="R65" s="44"/>
      <c r="S65" s="44"/>
      <c r="T65" s="25"/>
      <c r="U65" s="25"/>
      <c r="V65" s="25"/>
      <c r="W65" s="25"/>
      <c r="X65" s="22"/>
      <c r="Y65" s="44"/>
      <c r="Z65" s="44"/>
      <c r="AA65" s="44"/>
      <c r="AB65" s="25"/>
      <c r="AC65" s="25"/>
      <c r="AD65" s="25"/>
      <c r="AE65" s="25"/>
    </row>
    <row r="66" spans="1:31" s="59" customFormat="1">
      <c r="A66" s="47" t="s">
        <v>269</v>
      </c>
      <c r="B66" s="47" t="s">
        <v>270</v>
      </c>
      <c r="C66" s="48">
        <v>43434</v>
      </c>
      <c r="D66" s="64">
        <f t="shared" si="0"/>
        <v>48</v>
      </c>
      <c r="E66" s="47" t="s">
        <v>269</v>
      </c>
      <c r="F66" s="18" t="s">
        <v>89</v>
      </c>
      <c r="G66" s="18" t="s">
        <v>133</v>
      </c>
      <c r="H66" s="27" t="s">
        <v>352</v>
      </c>
      <c r="I66" s="24"/>
      <c r="J66" s="20" t="str">
        <f>VLOOKUP(G66,MD!M$2:O$93,3,FALSE)</f>
        <v>Dose hom.</v>
      </c>
      <c r="K66" s="29">
        <v>0.12</v>
      </c>
      <c r="L66" s="27" t="s">
        <v>364</v>
      </c>
      <c r="M66" s="25" t="s">
        <v>850</v>
      </c>
      <c r="N66" s="104">
        <f>50*0.2*295*0.039*0.00001*10000</f>
        <v>11.505000000000001</v>
      </c>
      <c r="O66" s="25" t="s">
        <v>358</v>
      </c>
      <c r="P66" s="22"/>
      <c r="Q66" s="44"/>
      <c r="R66" s="44"/>
      <c r="S66" s="44"/>
      <c r="T66" s="25"/>
      <c r="U66" s="25"/>
      <c r="V66" s="25"/>
      <c r="W66" s="25"/>
      <c r="X66" s="22"/>
      <c r="Y66" s="44"/>
      <c r="Z66" s="44"/>
      <c r="AA66" s="44"/>
      <c r="AB66" s="25"/>
      <c r="AC66" s="25"/>
      <c r="AD66" s="25"/>
      <c r="AE66" s="25"/>
    </row>
    <row r="67" spans="1:31" s="59" customFormat="1">
      <c r="A67" s="47" t="s">
        <v>269</v>
      </c>
      <c r="B67" s="47" t="s">
        <v>270</v>
      </c>
      <c r="C67" s="48">
        <v>43439</v>
      </c>
      <c r="D67" s="64">
        <f t="shared" si="0"/>
        <v>49</v>
      </c>
      <c r="E67" s="47" t="s">
        <v>269</v>
      </c>
      <c r="F67" s="18" t="s">
        <v>86</v>
      </c>
      <c r="G67" s="18" t="s">
        <v>64</v>
      </c>
      <c r="H67" s="27"/>
      <c r="I67" s="24">
        <v>1</v>
      </c>
      <c r="J67" s="20" t="str">
        <f>VLOOKUP(G67,MD!M$2:O$93,3,FALSE)</f>
        <v>ha</v>
      </c>
      <c r="K67" s="29">
        <v>1</v>
      </c>
      <c r="L67" s="27"/>
      <c r="M67" s="25"/>
      <c r="N67" s="25"/>
      <c r="O67" s="25"/>
      <c r="P67" s="22"/>
      <c r="Q67" s="44"/>
      <c r="R67" s="44"/>
      <c r="S67" s="44"/>
      <c r="T67" s="25"/>
      <c r="U67" s="25"/>
      <c r="V67" s="25"/>
      <c r="W67" s="25"/>
      <c r="X67" s="22"/>
      <c r="Y67" s="44"/>
      <c r="Z67" s="44"/>
      <c r="AA67" s="44"/>
      <c r="AB67" s="25"/>
      <c r="AC67" s="25"/>
      <c r="AD67" s="25"/>
      <c r="AE67" s="25"/>
    </row>
    <row r="68" spans="1:31" s="59" customFormat="1">
      <c r="A68" s="47" t="s">
        <v>269</v>
      </c>
      <c r="B68" s="47" t="s">
        <v>270</v>
      </c>
      <c r="C68" s="48">
        <v>43439</v>
      </c>
      <c r="D68" s="64">
        <f t="shared" si="0"/>
        <v>49</v>
      </c>
      <c r="E68" s="47" t="s">
        <v>269</v>
      </c>
      <c r="F68" s="18" t="s">
        <v>89</v>
      </c>
      <c r="G68" s="18" t="s">
        <v>113</v>
      </c>
      <c r="H68" s="27" t="s">
        <v>400</v>
      </c>
      <c r="I68" s="102">
        <f>1.5/2.6</f>
        <v>0.57692307692307687</v>
      </c>
      <c r="J68" s="20" t="str">
        <f>VLOOKUP(G68,MD!M$2:O$93,3,FALSE)</f>
        <v>Dose hom.</v>
      </c>
      <c r="K68" s="29">
        <v>1</v>
      </c>
      <c r="L68" s="27" t="s">
        <v>401</v>
      </c>
      <c r="M68" s="25" t="s">
        <v>402</v>
      </c>
      <c r="N68" s="25">
        <f>700*1.5</f>
        <v>1050</v>
      </c>
      <c r="O68" s="25" t="s">
        <v>358</v>
      </c>
      <c r="P68" s="22"/>
      <c r="Q68" s="44"/>
      <c r="R68" s="44"/>
      <c r="S68" s="44"/>
      <c r="T68" s="25"/>
      <c r="U68" s="25"/>
      <c r="V68" s="25"/>
      <c r="W68" s="25"/>
      <c r="X68" s="22"/>
      <c r="Y68" s="44"/>
      <c r="Z68" s="44"/>
      <c r="AA68" s="44"/>
      <c r="AB68" s="25"/>
      <c r="AC68" s="25"/>
      <c r="AD68" s="25"/>
      <c r="AE68" s="25"/>
    </row>
    <row r="69" spans="1:31" s="59" customFormat="1">
      <c r="A69" s="47" t="s">
        <v>269</v>
      </c>
      <c r="B69" s="47" t="s">
        <v>270</v>
      </c>
      <c r="C69" s="48">
        <v>43512</v>
      </c>
      <c r="D69" s="64">
        <f t="shared" si="0"/>
        <v>7</v>
      </c>
      <c r="E69" s="47" t="s">
        <v>269</v>
      </c>
      <c r="F69" s="18" t="s">
        <v>85</v>
      </c>
      <c r="G69" s="18" t="s">
        <v>67</v>
      </c>
      <c r="H69" s="27"/>
      <c r="I69" s="24">
        <v>1</v>
      </c>
      <c r="J69" s="20" t="str">
        <f>VLOOKUP(G69,MD!M$2:O$93,3,FALSE)</f>
        <v>ha</v>
      </c>
      <c r="K69" s="29">
        <v>1</v>
      </c>
      <c r="L69" s="27"/>
      <c r="M69" s="25"/>
      <c r="N69" s="25"/>
      <c r="O69" s="25"/>
      <c r="P69" s="22"/>
      <c r="Q69" s="44"/>
      <c r="R69" s="44"/>
      <c r="S69" s="44"/>
      <c r="T69" s="25"/>
      <c r="U69" s="25"/>
      <c r="V69" s="25"/>
      <c r="W69" s="25"/>
      <c r="X69" s="22"/>
      <c r="Y69" s="44"/>
      <c r="Z69" s="44"/>
      <c r="AA69" s="44"/>
      <c r="AB69" s="25"/>
      <c r="AC69" s="25"/>
      <c r="AD69" s="25"/>
      <c r="AE69" s="25"/>
    </row>
    <row r="70" spans="1:31" s="59" customFormat="1">
      <c r="A70" s="47" t="s">
        <v>269</v>
      </c>
      <c r="B70" s="47" t="s">
        <v>270</v>
      </c>
      <c r="C70" s="48">
        <v>43512</v>
      </c>
      <c r="D70" s="64">
        <f t="shared" si="0"/>
        <v>7</v>
      </c>
      <c r="E70" s="47" t="s">
        <v>269</v>
      </c>
      <c r="F70" s="18" t="s">
        <v>88</v>
      </c>
      <c r="G70" s="18" t="s">
        <v>406</v>
      </c>
      <c r="H70" s="27" t="s">
        <v>403</v>
      </c>
      <c r="I70" s="24">
        <v>100</v>
      </c>
      <c r="J70" s="20" t="str">
        <f>VLOOKUP(G70,MD!M$2:O$93,3,FALSE)</f>
        <v>l/ha</v>
      </c>
      <c r="K70" s="29">
        <v>1</v>
      </c>
      <c r="L70" s="27"/>
      <c r="M70" s="25"/>
      <c r="N70" s="25"/>
      <c r="O70" s="25"/>
      <c r="P70" s="22"/>
      <c r="Q70" s="44"/>
      <c r="R70" s="44"/>
      <c r="S70" s="44"/>
      <c r="T70" s="25"/>
      <c r="U70" s="25"/>
      <c r="V70" s="25"/>
      <c r="W70" s="25"/>
      <c r="X70" s="22"/>
      <c r="Y70" s="44"/>
      <c r="Z70" s="44"/>
      <c r="AA70" s="44"/>
      <c r="AB70" s="25"/>
      <c r="AC70" s="25"/>
      <c r="AD70" s="25"/>
      <c r="AE70" s="25"/>
    </row>
    <row r="71" spans="1:31" s="59" customFormat="1">
      <c r="A71" s="47" t="s">
        <v>269</v>
      </c>
      <c r="B71" s="47" t="s">
        <v>270</v>
      </c>
      <c r="C71" s="48">
        <v>43538</v>
      </c>
      <c r="D71" s="64">
        <f t="shared" si="0"/>
        <v>11</v>
      </c>
      <c r="E71" s="47" t="s">
        <v>269</v>
      </c>
      <c r="F71" s="18" t="s">
        <v>85</v>
      </c>
      <c r="G71" s="18" t="s">
        <v>67</v>
      </c>
      <c r="H71" s="27"/>
      <c r="I71" s="24">
        <v>1</v>
      </c>
      <c r="J71" s="20" t="str">
        <f>VLOOKUP(G71,MD!M$2:O$93,3,FALSE)</f>
        <v>ha</v>
      </c>
      <c r="K71" s="29">
        <v>1</v>
      </c>
      <c r="L71" s="27"/>
      <c r="M71" s="25"/>
      <c r="N71" s="25"/>
      <c r="O71" s="25"/>
      <c r="P71" s="22"/>
      <c r="Q71" s="44"/>
      <c r="R71" s="44"/>
      <c r="S71" s="44"/>
      <c r="T71" s="25"/>
      <c r="U71" s="25"/>
      <c r="V71" s="25"/>
      <c r="W71" s="25"/>
      <c r="X71" s="22"/>
      <c r="Y71" s="44"/>
      <c r="Z71" s="44"/>
      <c r="AA71" s="44"/>
      <c r="AB71" s="25"/>
      <c r="AC71" s="25"/>
      <c r="AD71" s="25"/>
      <c r="AE71" s="25"/>
    </row>
    <row r="72" spans="1:31" s="59" customFormat="1">
      <c r="A72" s="47" t="s">
        <v>269</v>
      </c>
      <c r="B72" s="47" t="s">
        <v>270</v>
      </c>
      <c r="C72" s="48">
        <v>43538</v>
      </c>
      <c r="D72" s="64">
        <f t="shared" si="0"/>
        <v>11</v>
      </c>
      <c r="E72" s="47" t="s">
        <v>269</v>
      </c>
      <c r="F72" s="18" t="s">
        <v>88</v>
      </c>
      <c r="G72" s="18" t="s">
        <v>191</v>
      </c>
      <c r="H72" s="27" t="s">
        <v>427</v>
      </c>
      <c r="I72" s="24">
        <v>185</v>
      </c>
      <c r="J72" s="20" t="str">
        <f>VLOOKUP(G72,MD!M$2:O$93,3,FALSE)</f>
        <v>l/ha</v>
      </c>
      <c r="K72" s="29">
        <v>1</v>
      </c>
      <c r="L72" s="27"/>
      <c r="M72" s="25"/>
      <c r="N72" s="25"/>
      <c r="O72" s="25"/>
      <c r="P72" s="22"/>
      <c r="Q72" s="44"/>
      <c r="R72" s="44"/>
      <c r="S72" s="44"/>
      <c r="T72" s="25"/>
      <c r="U72" s="25"/>
      <c r="V72" s="25"/>
      <c r="W72" s="25"/>
      <c r="X72" s="22"/>
      <c r="Y72" s="44"/>
      <c r="Z72" s="44"/>
      <c r="AA72" s="44"/>
      <c r="AB72" s="25"/>
      <c r="AC72" s="25"/>
      <c r="AD72" s="25"/>
      <c r="AE72" s="25"/>
    </row>
    <row r="73" spans="1:31" s="59" customFormat="1">
      <c r="A73" s="47" t="s">
        <v>269</v>
      </c>
      <c r="B73" s="47" t="s">
        <v>270</v>
      </c>
      <c r="C73" s="48">
        <v>43574</v>
      </c>
      <c r="D73" s="64">
        <f t="shared" si="0"/>
        <v>16</v>
      </c>
      <c r="E73" s="47" t="s">
        <v>269</v>
      </c>
      <c r="F73" s="18" t="s">
        <v>86</v>
      </c>
      <c r="G73" s="18" t="s">
        <v>64</v>
      </c>
      <c r="H73" s="27"/>
      <c r="I73" s="24">
        <v>1</v>
      </c>
      <c r="J73" s="20" t="str">
        <f>VLOOKUP(G73,MD!M$2:O$93,3,FALSE)</f>
        <v>ha</v>
      </c>
      <c r="K73" s="29">
        <v>1</v>
      </c>
      <c r="L73" s="27"/>
      <c r="M73" s="25"/>
      <c r="N73" s="25"/>
      <c r="O73" s="25"/>
      <c r="P73" s="22"/>
      <c r="Q73" s="44"/>
      <c r="R73" s="44"/>
      <c r="S73" s="44"/>
      <c r="T73" s="25"/>
      <c r="U73" s="25"/>
      <c r="V73" s="25"/>
      <c r="W73" s="25"/>
      <c r="X73" s="22"/>
      <c r="Y73" s="44"/>
      <c r="Z73" s="44"/>
      <c r="AA73" s="44"/>
      <c r="AB73" s="25"/>
      <c r="AC73" s="25"/>
      <c r="AD73" s="25"/>
      <c r="AE73" s="25"/>
    </row>
    <row r="74" spans="1:31" s="59" customFormat="1">
      <c r="A74" s="47" t="s">
        <v>269</v>
      </c>
      <c r="B74" s="47" t="s">
        <v>270</v>
      </c>
      <c r="C74" s="48">
        <v>43574</v>
      </c>
      <c r="D74" s="64">
        <f t="shared" si="0"/>
        <v>16</v>
      </c>
      <c r="E74" s="47" t="s">
        <v>269</v>
      </c>
      <c r="F74" s="18" t="s">
        <v>89</v>
      </c>
      <c r="G74" s="18" t="s">
        <v>112</v>
      </c>
      <c r="H74" s="27" t="s">
        <v>466</v>
      </c>
      <c r="I74" s="24">
        <f>0.6/1.25</f>
        <v>0.48</v>
      </c>
      <c r="J74" s="20" t="str">
        <f>VLOOKUP(G74,MD!M$2:O$93,3,FALSE)</f>
        <v>Dose hom.</v>
      </c>
      <c r="K74" s="29">
        <v>1</v>
      </c>
      <c r="L74" s="27" t="s">
        <v>463</v>
      </c>
      <c r="M74" s="25" t="s">
        <v>460</v>
      </c>
      <c r="N74" s="25">
        <v>96</v>
      </c>
      <c r="O74" s="25" t="s">
        <v>358</v>
      </c>
      <c r="P74" s="22"/>
      <c r="Q74" s="44"/>
      <c r="R74" s="44"/>
      <c r="S74" s="44"/>
      <c r="T74" s="25"/>
      <c r="U74" s="25"/>
      <c r="V74" s="25"/>
      <c r="W74" s="25"/>
      <c r="X74" s="22"/>
      <c r="Y74" s="44"/>
      <c r="Z74" s="44"/>
      <c r="AA74" s="44"/>
      <c r="AB74" s="25"/>
      <c r="AC74" s="25"/>
      <c r="AD74" s="25"/>
      <c r="AE74" s="25"/>
    </row>
    <row r="75" spans="1:31" s="59" customFormat="1">
      <c r="A75" s="47" t="s">
        <v>269</v>
      </c>
      <c r="B75" s="47" t="s">
        <v>270</v>
      </c>
      <c r="C75" s="48">
        <v>43574</v>
      </c>
      <c r="D75" s="64">
        <f t="shared" si="0"/>
        <v>16</v>
      </c>
      <c r="E75" s="47" t="s">
        <v>269</v>
      </c>
      <c r="F75" s="18" t="s">
        <v>89</v>
      </c>
      <c r="G75" s="18" t="s">
        <v>112</v>
      </c>
      <c r="H75" s="27" t="s">
        <v>461</v>
      </c>
      <c r="I75" s="24">
        <f>0.6/1.25</f>
        <v>0.48</v>
      </c>
      <c r="J75" s="20" t="str">
        <f>VLOOKUP(G75,MD!M$2:O$93,3,FALSE)</f>
        <v>Dose hom.</v>
      </c>
      <c r="K75" s="29">
        <v>1</v>
      </c>
      <c r="L75" s="27" t="s">
        <v>464</v>
      </c>
      <c r="M75" s="25" t="s">
        <v>462</v>
      </c>
      <c r="N75" s="25">
        <v>180</v>
      </c>
      <c r="O75" s="25" t="s">
        <v>358</v>
      </c>
      <c r="P75" s="22"/>
      <c r="Q75" s="44"/>
      <c r="R75" s="44"/>
      <c r="S75" s="44"/>
      <c r="T75" s="25"/>
      <c r="U75" s="25"/>
      <c r="V75" s="25"/>
      <c r="W75" s="25"/>
      <c r="X75" s="22"/>
      <c r="Y75" s="44"/>
      <c r="Z75" s="44"/>
      <c r="AA75" s="44"/>
      <c r="AB75" s="25"/>
      <c r="AC75" s="25"/>
      <c r="AD75" s="25"/>
      <c r="AE75" s="25"/>
    </row>
    <row r="76" spans="1:31" s="59" customFormat="1">
      <c r="A76" s="47" t="s">
        <v>269</v>
      </c>
      <c r="B76" s="47" t="s">
        <v>270</v>
      </c>
      <c r="C76" s="48">
        <v>43574</v>
      </c>
      <c r="D76" s="64">
        <f t="shared" si="0"/>
        <v>16</v>
      </c>
      <c r="E76" s="47" t="s">
        <v>269</v>
      </c>
      <c r="F76" s="18" t="s">
        <v>89</v>
      </c>
      <c r="G76" s="18" t="s">
        <v>110</v>
      </c>
      <c r="H76" s="27" t="s">
        <v>465</v>
      </c>
      <c r="I76" s="24">
        <f>0.35/1</f>
        <v>0.35</v>
      </c>
      <c r="J76" s="20" t="str">
        <f>VLOOKUP(G76,MD!M$2:O$93,3,FALSE)</f>
        <v>Dose hom.</v>
      </c>
      <c r="K76" s="29">
        <v>1</v>
      </c>
      <c r="L76" s="27" t="s">
        <v>567</v>
      </c>
      <c r="M76" s="25" t="s">
        <v>467</v>
      </c>
      <c r="N76" s="25">
        <f>50*0.35</f>
        <v>17.5</v>
      </c>
      <c r="O76" s="25" t="s">
        <v>358</v>
      </c>
      <c r="P76" s="22"/>
      <c r="Q76" s="44"/>
      <c r="R76" s="44"/>
      <c r="S76" s="44"/>
      <c r="T76" s="25"/>
      <c r="U76" s="25"/>
      <c r="V76" s="25"/>
      <c r="W76" s="25"/>
      <c r="X76" s="22"/>
      <c r="Y76" s="44"/>
      <c r="Z76" s="44"/>
      <c r="AA76" s="44"/>
      <c r="AB76" s="25"/>
      <c r="AC76" s="25"/>
      <c r="AD76" s="25"/>
      <c r="AE76" s="25"/>
    </row>
    <row r="77" spans="1:31" s="59" customFormat="1">
      <c r="A77" s="47" t="s">
        <v>269</v>
      </c>
      <c r="B77" s="47" t="s">
        <v>270</v>
      </c>
      <c r="C77" s="48">
        <v>43574</v>
      </c>
      <c r="D77" s="64">
        <f t="shared" si="0"/>
        <v>16</v>
      </c>
      <c r="E77" s="47" t="s">
        <v>269</v>
      </c>
      <c r="F77" s="18" t="s">
        <v>89</v>
      </c>
      <c r="G77" s="18" t="s">
        <v>110</v>
      </c>
      <c r="H77" s="27" t="s">
        <v>468</v>
      </c>
      <c r="I77" s="24">
        <f>0.35/1</f>
        <v>0.35</v>
      </c>
      <c r="J77" s="20" t="str">
        <f>VLOOKUP(G77,MD!M$2:O$93,3,FALSE)</f>
        <v>Dose hom.</v>
      </c>
      <c r="K77" s="29">
        <v>1</v>
      </c>
      <c r="L77" s="27" t="s">
        <v>568</v>
      </c>
      <c r="M77" s="25" t="s">
        <v>469</v>
      </c>
      <c r="N77" s="25">
        <f>75*0.35</f>
        <v>26.25</v>
      </c>
      <c r="O77" s="25" t="s">
        <v>358</v>
      </c>
      <c r="P77" s="22"/>
      <c r="Q77" s="44"/>
      <c r="R77" s="44"/>
      <c r="S77" s="44"/>
      <c r="T77" s="25"/>
      <c r="U77" s="25"/>
      <c r="V77" s="25"/>
      <c r="W77" s="25"/>
      <c r="X77" s="22"/>
      <c r="Y77" s="44"/>
      <c r="Z77" s="44"/>
      <c r="AA77" s="44"/>
      <c r="AB77" s="25"/>
      <c r="AC77" s="25"/>
      <c r="AD77" s="25"/>
      <c r="AE77" s="25"/>
    </row>
    <row r="78" spans="1:31" s="59" customFormat="1">
      <c r="A78" s="47" t="s">
        <v>269</v>
      </c>
      <c r="B78" s="47" t="s">
        <v>270</v>
      </c>
      <c r="C78" s="48">
        <v>43586</v>
      </c>
      <c r="D78" s="64">
        <f t="shared" si="0"/>
        <v>18</v>
      </c>
      <c r="E78" s="47" t="s">
        <v>269</v>
      </c>
      <c r="F78" s="18" t="s">
        <v>86</v>
      </c>
      <c r="G78" s="18" t="s">
        <v>64</v>
      </c>
      <c r="H78" s="27"/>
      <c r="I78" s="24">
        <v>1</v>
      </c>
      <c r="J78" s="20" t="str">
        <f>VLOOKUP(G78,MD!M$2:O$93,3,FALSE)</f>
        <v>ha</v>
      </c>
      <c r="K78" s="29">
        <v>1</v>
      </c>
      <c r="L78" s="27"/>
      <c r="M78" s="25"/>
      <c r="N78" s="25"/>
      <c r="O78" s="25"/>
      <c r="P78" s="22"/>
      <c r="Q78" s="44"/>
      <c r="R78" s="44"/>
      <c r="S78" s="44"/>
      <c r="T78" s="25"/>
      <c r="U78" s="25"/>
      <c r="V78" s="25"/>
      <c r="W78" s="25"/>
      <c r="X78" s="22"/>
      <c r="Y78" s="44"/>
      <c r="Z78" s="44"/>
      <c r="AA78" s="44"/>
      <c r="AB78" s="25"/>
      <c r="AC78" s="25"/>
      <c r="AD78" s="25"/>
      <c r="AE78" s="25"/>
    </row>
    <row r="79" spans="1:31" s="59" customFormat="1">
      <c r="A79" s="47" t="s">
        <v>269</v>
      </c>
      <c r="B79" s="47" t="s">
        <v>270</v>
      </c>
      <c r="C79" s="48">
        <v>43586</v>
      </c>
      <c r="D79" s="64">
        <f t="shared" si="0"/>
        <v>18</v>
      </c>
      <c r="E79" s="47" t="s">
        <v>269</v>
      </c>
      <c r="F79" s="18" t="s">
        <v>89</v>
      </c>
      <c r="G79" s="18" t="s">
        <v>112</v>
      </c>
      <c r="H79" s="27" t="s">
        <v>472</v>
      </c>
      <c r="I79" s="24">
        <f>0.6/0.75</f>
        <v>0.79999999999999993</v>
      </c>
      <c r="J79" s="20" t="str">
        <f>VLOOKUP(G79,MD!M$2:O$93,3,FALSE)</f>
        <v>Dose hom.</v>
      </c>
      <c r="K79" s="29">
        <v>1</v>
      </c>
      <c r="L79" s="27" t="s">
        <v>470</v>
      </c>
      <c r="M79" s="25" t="s">
        <v>471</v>
      </c>
      <c r="N79" s="25">
        <f>100*0.6</f>
        <v>60</v>
      </c>
      <c r="O79" s="25" t="s">
        <v>358</v>
      </c>
      <c r="P79" s="22"/>
      <c r="Q79" s="44"/>
      <c r="R79" s="44"/>
      <c r="S79" s="44"/>
      <c r="T79" s="25"/>
      <c r="U79" s="25"/>
      <c r="V79" s="25"/>
      <c r="W79" s="25"/>
      <c r="X79" s="22"/>
      <c r="Y79" s="44"/>
      <c r="Z79" s="44"/>
      <c r="AA79" s="44"/>
      <c r="AB79" s="25"/>
      <c r="AC79" s="25"/>
      <c r="AD79" s="25"/>
      <c r="AE79" s="25"/>
    </row>
    <row r="80" spans="1:31" s="59" customFormat="1">
      <c r="A80" s="47" t="s">
        <v>269</v>
      </c>
      <c r="B80" s="47" t="s">
        <v>270</v>
      </c>
      <c r="C80" s="48">
        <v>43586</v>
      </c>
      <c r="D80" s="64">
        <f t="shared" si="0"/>
        <v>18</v>
      </c>
      <c r="E80" s="47" t="s">
        <v>269</v>
      </c>
      <c r="F80" s="18" t="s">
        <v>89</v>
      </c>
      <c r="G80" s="18" t="s">
        <v>112</v>
      </c>
      <c r="H80" s="27" t="s">
        <v>473</v>
      </c>
      <c r="I80" s="24">
        <f>0.9/2.5</f>
        <v>0.36</v>
      </c>
      <c r="J80" s="20" t="str">
        <f>VLOOKUP(G80,MD!M$2:O$93,3,FALSE)</f>
        <v>Dose hom.</v>
      </c>
      <c r="K80" s="29">
        <v>1</v>
      </c>
      <c r="L80" s="27" t="s">
        <v>477</v>
      </c>
      <c r="M80" s="25" t="s">
        <v>474</v>
      </c>
      <c r="N80" s="25">
        <f>400*0.9</f>
        <v>360</v>
      </c>
      <c r="O80" s="25" t="s">
        <v>358</v>
      </c>
      <c r="P80" s="22"/>
      <c r="Q80" s="44"/>
      <c r="R80" s="44"/>
      <c r="S80" s="44"/>
      <c r="T80" s="25"/>
      <c r="U80" s="25"/>
      <c r="V80" s="25"/>
      <c r="W80" s="25"/>
      <c r="X80" s="22"/>
      <c r="Y80" s="44"/>
      <c r="Z80" s="44"/>
      <c r="AA80" s="44"/>
      <c r="AB80" s="25"/>
      <c r="AC80" s="25"/>
      <c r="AD80" s="25"/>
      <c r="AE80" s="25"/>
    </row>
    <row r="81" spans="1:31" s="59" customFormat="1">
      <c r="A81" s="47" t="s">
        <v>269</v>
      </c>
      <c r="B81" s="47" t="s">
        <v>270</v>
      </c>
      <c r="C81" s="48">
        <v>43586</v>
      </c>
      <c r="D81" s="64">
        <f t="shared" si="0"/>
        <v>18</v>
      </c>
      <c r="E81" s="47" t="s">
        <v>269</v>
      </c>
      <c r="F81" s="18" t="s">
        <v>89</v>
      </c>
      <c r="G81" s="18" t="s">
        <v>112</v>
      </c>
      <c r="H81" s="27" t="s">
        <v>475</v>
      </c>
      <c r="I81" s="24">
        <f>0.9/2.5</f>
        <v>0.36</v>
      </c>
      <c r="J81" s="20" t="str">
        <f>VLOOKUP(G81,MD!M$2:O$93,3,FALSE)</f>
        <v>Dose hom.</v>
      </c>
      <c r="K81" s="29">
        <v>1</v>
      </c>
      <c r="L81" s="27" t="s">
        <v>478</v>
      </c>
      <c r="M81" s="25" t="s">
        <v>476</v>
      </c>
      <c r="N81" s="25">
        <f>80*0.9</f>
        <v>72</v>
      </c>
      <c r="O81" s="25" t="s">
        <v>358</v>
      </c>
      <c r="P81" s="22"/>
      <c r="Q81" s="44"/>
      <c r="R81" s="44"/>
      <c r="S81" s="44"/>
      <c r="T81" s="25"/>
      <c r="U81" s="25"/>
      <c r="V81" s="25"/>
      <c r="W81" s="25"/>
      <c r="X81" s="22"/>
      <c r="Y81" s="44"/>
      <c r="Z81" s="44"/>
      <c r="AA81" s="44"/>
      <c r="AB81" s="25"/>
      <c r="AC81" s="25"/>
      <c r="AD81" s="25"/>
      <c r="AE81" s="25"/>
    </row>
    <row r="82" spans="1:31" s="59" customFormat="1">
      <c r="A82" s="47" t="s">
        <v>269</v>
      </c>
      <c r="B82" s="47" t="s">
        <v>270</v>
      </c>
      <c r="C82" s="48">
        <v>43586</v>
      </c>
      <c r="D82" s="64">
        <f t="shared" si="0"/>
        <v>18</v>
      </c>
      <c r="E82" s="47" t="s">
        <v>269</v>
      </c>
      <c r="F82" s="18" t="s">
        <v>89</v>
      </c>
      <c r="G82" s="18" t="s">
        <v>110</v>
      </c>
      <c r="H82" s="27" t="s">
        <v>479</v>
      </c>
      <c r="I82" s="24">
        <f>0.3/1</f>
        <v>0.3</v>
      </c>
      <c r="J82" s="20" t="str">
        <f>VLOOKUP(G82,MD!M$2:O$93,3,FALSE)</f>
        <v>Dose hom.</v>
      </c>
      <c r="K82" s="29">
        <v>1</v>
      </c>
      <c r="L82" s="27" t="s">
        <v>480</v>
      </c>
      <c r="M82" s="25" t="s">
        <v>481</v>
      </c>
      <c r="N82" s="25">
        <v>144</v>
      </c>
      <c r="O82" s="25" t="s">
        <v>358</v>
      </c>
      <c r="P82" s="22"/>
      <c r="Q82" s="44"/>
      <c r="R82" s="44"/>
      <c r="S82" s="44"/>
      <c r="T82" s="25"/>
      <c r="U82" s="25"/>
      <c r="V82" s="25"/>
      <c r="W82" s="25"/>
      <c r="X82" s="22"/>
      <c r="Y82" s="44"/>
      <c r="Z82" s="44"/>
      <c r="AA82" s="44"/>
      <c r="AB82" s="25"/>
      <c r="AC82" s="25"/>
      <c r="AD82" s="25"/>
      <c r="AE82" s="25"/>
    </row>
    <row r="83" spans="1:31" s="59" customFormat="1">
      <c r="A83" s="47" t="s">
        <v>269</v>
      </c>
      <c r="B83" s="47" t="s">
        <v>270</v>
      </c>
      <c r="C83" s="48">
        <v>43651</v>
      </c>
      <c r="D83" s="64">
        <f t="shared" si="0"/>
        <v>27</v>
      </c>
      <c r="E83" s="47" t="s">
        <v>269</v>
      </c>
      <c r="F83" s="18" t="s">
        <v>86</v>
      </c>
      <c r="G83" s="18" t="s">
        <v>55</v>
      </c>
      <c r="H83" s="27"/>
      <c r="I83" s="24">
        <v>1</v>
      </c>
      <c r="J83" s="20" t="str">
        <f>VLOOKUP(G83,MD!M$2:O$93,3,FALSE)</f>
        <v>ha</v>
      </c>
      <c r="K83" s="29">
        <v>1</v>
      </c>
      <c r="L83" s="27"/>
      <c r="M83" s="25"/>
      <c r="N83" s="25"/>
      <c r="O83" s="25"/>
      <c r="P83" s="22"/>
      <c r="Q83" s="44"/>
      <c r="R83" s="44"/>
      <c r="S83" s="44"/>
      <c r="T83" s="25"/>
      <c r="U83" s="25"/>
      <c r="V83" s="25"/>
      <c r="W83" s="25"/>
      <c r="X83" s="22"/>
      <c r="Y83" s="44"/>
      <c r="Z83" s="44"/>
      <c r="AA83" s="44"/>
      <c r="AB83" s="25"/>
      <c r="AC83" s="25"/>
      <c r="AD83" s="25"/>
      <c r="AE83" s="25"/>
    </row>
    <row r="84" spans="1:31" s="59" customFormat="1">
      <c r="A84" s="47" t="s">
        <v>269</v>
      </c>
      <c r="B84" s="47" t="s">
        <v>270</v>
      </c>
      <c r="C84" s="48">
        <v>43651</v>
      </c>
      <c r="D84" s="64">
        <f t="shared" si="0"/>
        <v>27</v>
      </c>
      <c r="E84" s="47" t="s">
        <v>269</v>
      </c>
      <c r="F84" s="18" t="s">
        <v>2</v>
      </c>
      <c r="G84" s="18" t="s">
        <v>115</v>
      </c>
      <c r="H84" s="27" t="s">
        <v>285</v>
      </c>
      <c r="I84" s="24">
        <v>105</v>
      </c>
      <c r="J84" s="20" t="str">
        <f>VLOOKUP(G84,MD!M$2:O$93,3,FALSE)</f>
        <v>Qtx/ha</v>
      </c>
      <c r="K84" s="29">
        <v>1</v>
      </c>
      <c r="L84" s="27" t="s">
        <v>528</v>
      </c>
      <c r="M84" s="25"/>
      <c r="N84" s="25"/>
      <c r="O84" s="25"/>
      <c r="P84" s="22"/>
      <c r="Q84" s="44"/>
      <c r="R84" s="44"/>
      <c r="S84" s="44"/>
      <c r="T84" s="25"/>
      <c r="U84" s="25"/>
      <c r="V84" s="25"/>
      <c r="W84" s="25"/>
      <c r="X84" s="22"/>
      <c r="Y84" s="44"/>
      <c r="Z84" s="44"/>
      <c r="AA84" s="44"/>
      <c r="AB84" s="25"/>
      <c r="AC84" s="25"/>
      <c r="AD84" s="25"/>
      <c r="AE84" s="25"/>
    </row>
    <row r="85" spans="1:31" s="59" customFormat="1">
      <c r="A85" s="47" t="s">
        <v>269</v>
      </c>
      <c r="B85" s="47" t="s">
        <v>270</v>
      </c>
      <c r="C85" s="48">
        <v>43654</v>
      </c>
      <c r="D85" s="64">
        <f t="shared" si="0"/>
        <v>28</v>
      </c>
      <c r="E85" s="47" t="s">
        <v>269</v>
      </c>
      <c r="F85" s="18" t="s">
        <v>86</v>
      </c>
      <c r="G85" s="18" t="s">
        <v>74</v>
      </c>
      <c r="H85" s="27"/>
      <c r="I85" s="24"/>
      <c r="J85" s="20" t="str">
        <f>VLOOKUP(G85,MD!M$2:O$93,3,FALSE)</f>
        <v>t/ha</v>
      </c>
      <c r="K85" s="29">
        <v>1</v>
      </c>
      <c r="L85" s="27"/>
      <c r="M85" s="25"/>
      <c r="N85" s="25"/>
      <c r="O85" s="25"/>
      <c r="P85" s="22"/>
      <c r="Q85" s="44"/>
      <c r="R85" s="44"/>
      <c r="S85" s="44"/>
      <c r="T85" s="25"/>
      <c r="U85" s="25"/>
      <c r="V85" s="25"/>
      <c r="W85" s="25"/>
      <c r="X85" s="22"/>
      <c r="Y85" s="44"/>
      <c r="Z85" s="44"/>
      <c r="AA85" s="44"/>
      <c r="AB85" s="25"/>
      <c r="AC85" s="25"/>
      <c r="AD85" s="25"/>
      <c r="AE85" s="25"/>
    </row>
    <row r="86" spans="1:31" s="59" customFormat="1">
      <c r="A86" s="47" t="s">
        <v>269</v>
      </c>
      <c r="B86" s="47" t="s">
        <v>270</v>
      </c>
      <c r="C86" s="48">
        <v>43654</v>
      </c>
      <c r="D86" s="64">
        <f t="shared" si="0"/>
        <v>28</v>
      </c>
      <c r="E86" s="47" t="s">
        <v>269</v>
      </c>
      <c r="F86" s="18" t="s">
        <v>86</v>
      </c>
      <c r="G86" s="18" t="s">
        <v>49</v>
      </c>
      <c r="H86" s="27"/>
      <c r="I86" s="24"/>
      <c r="J86" s="20" t="str">
        <f>VLOOKUP(G86,MD!M$2:O$93,3,FALSE)</f>
        <v>t/ha</v>
      </c>
      <c r="K86" s="29">
        <v>1</v>
      </c>
      <c r="L86" s="27"/>
      <c r="M86" s="25"/>
      <c r="N86" s="25"/>
      <c r="O86" s="25"/>
      <c r="P86" s="22"/>
      <c r="Q86" s="44"/>
      <c r="R86" s="44"/>
      <c r="S86" s="44"/>
      <c r="T86" s="25"/>
      <c r="U86" s="25"/>
      <c r="V86" s="25"/>
      <c r="W86" s="25"/>
      <c r="X86" s="22"/>
      <c r="Y86" s="44"/>
      <c r="Z86" s="44"/>
      <c r="AA86" s="44"/>
      <c r="AB86" s="25"/>
      <c r="AC86" s="25"/>
      <c r="AD86" s="25"/>
      <c r="AE86" s="25"/>
    </row>
    <row r="87" spans="1:31" s="59" customFormat="1">
      <c r="A87" s="47" t="s">
        <v>269</v>
      </c>
      <c r="B87" s="47" t="s">
        <v>270</v>
      </c>
      <c r="C87" s="48">
        <v>43654</v>
      </c>
      <c r="D87" s="64">
        <f t="shared" si="0"/>
        <v>28</v>
      </c>
      <c r="E87" s="47" t="s">
        <v>269</v>
      </c>
      <c r="F87" s="18" t="s">
        <v>86</v>
      </c>
      <c r="G87" s="18" t="s">
        <v>79</v>
      </c>
      <c r="H87" s="27"/>
      <c r="I87" s="24"/>
      <c r="J87" s="20" t="str">
        <f>VLOOKUP(G87,MD!M$2:O$93,3,FALSE)</f>
        <v>t/ha</v>
      </c>
      <c r="K87" s="29">
        <v>1</v>
      </c>
      <c r="L87" s="27"/>
      <c r="M87" s="25"/>
      <c r="N87" s="25"/>
      <c r="O87" s="25"/>
      <c r="P87" s="22"/>
      <c r="Q87" s="44"/>
      <c r="R87" s="44"/>
      <c r="S87" s="44"/>
      <c r="T87" s="25"/>
      <c r="U87" s="25"/>
      <c r="V87" s="25"/>
      <c r="W87" s="25"/>
      <c r="X87" s="22"/>
      <c r="Y87" s="44"/>
      <c r="Z87" s="44"/>
      <c r="AA87" s="44"/>
      <c r="AB87" s="25"/>
      <c r="AC87" s="25"/>
      <c r="AD87" s="25"/>
      <c r="AE87" s="25"/>
    </row>
    <row r="88" spans="1:31" s="59" customFormat="1">
      <c r="A88" s="47" t="s">
        <v>269</v>
      </c>
      <c r="B88" s="47" t="s">
        <v>270</v>
      </c>
      <c r="C88" s="48">
        <v>43654</v>
      </c>
      <c r="D88" s="64">
        <f t="shared" si="0"/>
        <v>28</v>
      </c>
      <c r="E88" s="47" t="s">
        <v>269</v>
      </c>
      <c r="F88" s="18" t="s">
        <v>2</v>
      </c>
      <c r="G88" s="18" t="s">
        <v>116</v>
      </c>
      <c r="H88" s="27"/>
      <c r="I88" s="24"/>
      <c r="J88" s="20" t="str">
        <f>VLOOKUP(G88,MD!M$2:O$93,3,FALSE)</f>
        <v>t/ha</v>
      </c>
      <c r="K88" s="29">
        <v>1</v>
      </c>
      <c r="L88" s="27"/>
      <c r="M88" s="25"/>
      <c r="N88" s="25"/>
      <c r="O88" s="25"/>
      <c r="P88" s="22"/>
      <c r="Q88" s="44"/>
      <c r="R88" s="44"/>
      <c r="S88" s="44"/>
      <c r="T88" s="25"/>
      <c r="U88" s="25"/>
      <c r="V88" s="25"/>
      <c r="W88" s="25"/>
      <c r="X88" s="22"/>
      <c r="Y88" s="44"/>
      <c r="Z88" s="44"/>
      <c r="AA88" s="44"/>
      <c r="AB88" s="25"/>
      <c r="AC88" s="25"/>
      <c r="AD88" s="25"/>
      <c r="AE88" s="25"/>
    </row>
    <row r="89" spans="1:31" s="59" customFormat="1">
      <c r="A89" s="47" t="s">
        <v>553</v>
      </c>
      <c r="B89" s="47" t="s">
        <v>554</v>
      </c>
      <c r="C89" s="48">
        <v>43693</v>
      </c>
      <c r="D89" s="64">
        <f t="shared" si="0"/>
        <v>33</v>
      </c>
      <c r="E89" s="47" t="s">
        <v>123</v>
      </c>
      <c r="F89" s="18" t="s">
        <v>86</v>
      </c>
      <c r="G89" s="18" t="s">
        <v>64</v>
      </c>
      <c r="H89" s="27"/>
      <c r="I89" s="24">
        <v>1</v>
      </c>
      <c r="J89" s="20" t="str">
        <f>VLOOKUP(G89,MD!M$2:O$93,3,FALSE)</f>
        <v>ha</v>
      </c>
      <c r="K89" s="29">
        <v>1</v>
      </c>
      <c r="L89" s="27"/>
      <c r="M89" s="25"/>
      <c r="N89" s="25"/>
      <c r="O89" s="25"/>
      <c r="P89" s="22"/>
      <c r="Q89" s="44"/>
      <c r="R89" s="44"/>
      <c r="S89" s="44"/>
      <c r="T89" s="25"/>
      <c r="U89" s="25"/>
      <c r="V89" s="25"/>
      <c r="W89" s="25"/>
      <c r="X89" s="22"/>
      <c r="Y89" s="44"/>
      <c r="Z89" s="44"/>
      <c r="AA89" s="44"/>
      <c r="AB89" s="25"/>
      <c r="AC89" s="25"/>
      <c r="AD89" s="25"/>
      <c r="AE89" s="25"/>
    </row>
    <row r="90" spans="1:31" s="59" customFormat="1">
      <c r="A90" s="47" t="s">
        <v>553</v>
      </c>
      <c r="B90" s="47" t="s">
        <v>554</v>
      </c>
      <c r="C90" s="48">
        <v>43693</v>
      </c>
      <c r="D90" s="64">
        <f t="shared" ref="D90:D115" si="1">WEEKNUM(C90)</f>
        <v>33</v>
      </c>
      <c r="E90" s="47" t="s">
        <v>123</v>
      </c>
      <c r="F90" s="18" t="s">
        <v>89</v>
      </c>
      <c r="G90" s="18" t="s">
        <v>113</v>
      </c>
      <c r="H90" s="27" t="s">
        <v>595</v>
      </c>
      <c r="I90" s="102">
        <f>1/6</f>
        <v>0.16666666666666666</v>
      </c>
      <c r="J90" s="20" t="str">
        <f>VLOOKUP(G90,MD!M$2:O$93,3,FALSE)</f>
        <v>Dose hom.</v>
      </c>
      <c r="K90" s="29">
        <v>1</v>
      </c>
      <c r="L90" s="27" t="s">
        <v>596</v>
      </c>
      <c r="M90" s="25" t="s">
        <v>306</v>
      </c>
      <c r="N90" s="25">
        <f>360*1</f>
        <v>360</v>
      </c>
      <c r="O90" s="25" t="s">
        <v>358</v>
      </c>
      <c r="P90" s="22"/>
      <c r="Q90" s="44"/>
      <c r="R90" s="44"/>
      <c r="S90" s="44"/>
      <c r="T90" s="25"/>
      <c r="U90" s="25"/>
      <c r="V90" s="25"/>
      <c r="W90" s="25"/>
      <c r="X90" s="22"/>
      <c r="Y90" s="44"/>
      <c r="Z90" s="44"/>
      <c r="AA90" s="44"/>
      <c r="AB90" s="25"/>
      <c r="AC90" s="25"/>
      <c r="AD90" s="25"/>
      <c r="AE90" s="25"/>
    </row>
    <row r="91" spans="1:31" s="59" customFormat="1">
      <c r="A91" s="47" t="s">
        <v>553</v>
      </c>
      <c r="B91" s="47" t="s">
        <v>554</v>
      </c>
      <c r="C91" s="48">
        <v>43693</v>
      </c>
      <c r="D91" s="64">
        <f t="shared" si="1"/>
        <v>33</v>
      </c>
      <c r="E91" s="47" t="s">
        <v>123</v>
      </c>
      <c r="F91" s="18" t="s">
        <v>89</v>
      </c>
      <c r="G91" s="18" t="s">
        <v>108</v>
      </c>
      <c r="H91" s="27" t="s">
        <v>597</v>
      </c>
      <c r="I91" s="24" t="s">
        <v>602</v>
      </c>
      <c r="J91" s="20" t="str">
        <f>VLOOKUP(G91,MD!M$2:O$93,3,FALSE)</f>
        <v>Dose hom.</v>
      </c>
      <c r="K91" s="29">
        <v>1</v>
      </c>
      <c r="L91" s="27" t="s">
        <v>599</v>
      </c>
      <c r="M91" s="25" t="s">
        <v>598</v>
      </c>
      <c r="N91" s="25">
        <f>460*1</f>
        <v>460</v>
      </c>
      <c r="O91" s="25" t="s">
        <v>358</v>
      </c>
      <c r="P91" s="22"/>
      <c r="Q91" s="44"/>
      <c r="R91" s="44"/>
      <c r="S91" s="44"/>
      <c r="T91" s="25"/>
      <c r="U91" s="25"/>
      <c r="V91" s="25"/>
      <c r="W91" s="25"/>
      <c r="X91" s="22"/>
      <c r="Y91" s="44"/>
      <c r="Z91" s="44"/>
      <c r="AA91" s="44"/>
      <c r="AB91" s="25"/>
      <c r="AC91" s="25"/>
      <c r="AD91" s="25"/>
      <c r="AE91" s="25"/>
    </row>
    <row r="92" spans="1:31" s="59" customFormat="1">
      <c r="A92" s="47" t="s">
        <v>553</v>
      </c>
      <c r="B92" s="47" t="s">
        <v>554</v>
      </c>
      <c r="C92" s="48">
        <v>43693</v>
      </c>
      <c r="D92" s="64">
        <f t="shared" si="1"/>
        <v>33</v>
      </c>
      <c r="E92" s="47" t="s">
        <v>123</v>
      </c>
      <c r="F92" s="18" t="s">
        <v>89</v>
      </c>
      <c r="G92" s="18" t="s">
        <v>113</v>
      </c>
      <c r="H92" s="27" t="s">
        <v>595</v>
      </c>
      <c r="I92" s="102">
        <f>1.5/6</f>
        <v>0.25</v>
      </c>
      <c r="J92" s="20" t="str">
        <f>VLOOKUP(G92,MD!M$2:O$93,3,FALSE)</f>
        <v>Dose hom.</v>
      </c>
      <c r="K92" s="29">
        <f>7/27</f>
        <v>0.25925925925925924</v>
      </c>
      <c r="L92" s="27" t="s">
        <v>600</v>
      </c>
      <c r="M92" s="25" t="s">
        <v>306</v>
      </c>
      <c r="N92" s="25">
        <f>360*1.5</f>
        <v>540</v>
      </c>
      <c r="O92" s="25" t="s">
        <v>358</v>
      </c>
      <c r="P92" s="22"/>
      <c r="Q92" s="44"/>
      <c r="R92" s="44"/>
      <c r="S92" s="44"/>
      <c r="T92" s="25"/>
      <c r="U92" s="25"/>
      <c r="V92" s="25"/>
      <c r="W92" s="25"/>
      <c r="X92" s="22"/>
      <c r="Y92" s="44"/>
      <c r="Z92" s="44"/>
      <c r="AA92" s="44"/>
      <c r="AB92" s="25"/>
      <c r="AC92" s="25"/>
      <c r="AD92" s="25"/>
      <c r="AE92" s="25"/>
    </row>
    <row r="93" spans="1:31" s="59" customFormat="1">
      <c r="A93" s="47" t="s">
        <v>553</v>
      </c>
      <c r="B93" s="47" t="s">
        <v>554</v>
      </c>
      <c r="C93" s="48">
        <v>43693</v>
      </c>
      <c r="D93" s="64">
        <f t="shared" si="1"/>
        <v>33</v>
      </c>
      <c r="E93" s="47" t="s">
        <v>123</v>
      </c>
      <c r="F93" s="18" t="s">
        <v>89</v>
      </c>
      <c r="G93" s="18" t="s">
        <v>108</v>
      </c>
      <c r="H93" s="27" t="s">
        <v>597</v>
      </c>
      <c r="I93" s="24" t="s">
        <v>602</v>
      </c>
      <c r="J93" s="20" t="str">
        <f>VLOOKUP(G93,MD!M$2:O$93,3,FALSE)</f>
        <v>Dose hom.</v>
      </c>
      <c r="K93" s="29">
        <f>7/27</f>
        <v>0.25925925925925924</v>
      </c>
      <c r="L93" s="27" t="s">
        <v>601</v>
      </c>
      <c r="M93" s="25" t="s">
        <v>598</v>
      </c>
      <c r="N93" s="25">
        <f>460*1.5</f>
        <v>690</v>
      </c>
      <c r="O93" s="25" t="s">
        <v>358</v>
      </c>
      <c r="P93" s="22"/>
      <c r="Q93" s="44"/>
      <c r="R93" s="44"/>
      <c r="S93" s="44"/>
      <c r="T93" s="25"/>
      <c r="U93" s="25"/>
      <c r="V93" s="25"/>
      <c r="W93" s="25"/>
      <c r="X93" s="22"/>
      <c r="Y93" s="44"/>
      <c r="Z93" s="44"/>
      <c r="AA93" s="44"/>
      <c r="AB93" s="25"/>
      <c r="AC93" s="25"/>
      <c r="AD93" s="25"/>
      <c r="AE93" s="25"/>
    </row>
    <row r="94" spans="1:31">
      <c r="A94" s="47" t="s">
        <v>553</v>
      </c>
      <c r="B94" s="47" t="s">
        <v>554</v>
      </c>
      <c r="C94" s="48">
        <v>43693</v>
      </c>
      <c r="D94" s="64">
        <f t="shared" si="1"/>
        <v>33</v>
      </c>
      <c r="E94" s="47" t="s">
        <v>609</v>
      </c>
      <c r="F94" s="18" t="s">
        <v>84</v>
      </c>
      <c r="G94" s="18" t="s">
        <v>30</v>
      </c>
      <c r="I94" s="24">
        <v>1</v>
      </c>
      <c r="J94" s="20" t="str">
        <f>VLOOKUP(G94,MD!M$2:O$93,3,FALSE)</f>
        <v>ha</v>
      </c>
      <c r="K94" s="29">
        <v>1</v>
      </c>
      <c r="L94" s="27">
        <f>80/1000*0.00465*10000</f>
        <v>3.7199999999999998</v>
      </c>
      <c r="P94" s="22"/>
      <c r="X94" s="22"/>
    </row>
    <row r="95" spans="1:31">
      <c r="A95" s="47" t="s">
        <v>553</v>
      </c>
      <c r="B95" s="47" t="s">
        <v>554</v>
      </c>
      <c r="C95" s="48">
        <v>43693</v>
      </c>
      <c r="D95" s="64">
        <f t="shared" si="1"/>
        <v>33</v>
      </c>
      <c r="E95" s="47" t="s">
        <v>609</v>
      </c>
      <c r="F95" s="18" t="s">
        <v>87</v>
      </c>
      <c r="G95" s="18" t="s">
        <v>93</v>
      </c>
      <c r="H95" s="27" t="s">
        <v>603</v>
      </c>
      <c r="I95" s="24">
        <v>80</v>
      </c>
      <c r="J95" s="20" t="str">
        <f>VLOOKUP(G95,MD!M$2:O$93,3,FALSE)</f>
        <v>gr./m2</v>
      </c>
      <c r="K95" s="29">
        <v>1</v>
      </c>
      <c r="L95" s="27" t="s">
        <v>623</v>
      </c>
      <c r="P95" s="22"/>
      <c r="X95" s="22"/>
    </row>
    <row r="96" spans="1:31" s="59" customFormat="1">
      <c r="A96" s="47" t="s">
        <v>553</v>
      </c>
      <c r="B96" s="47" t="s">
        <v>554</v>
      </c>
      <c r="C96" s="48">
        <v>43693</v>
      </c>
      <c r="D96" s="64">
        <f t="shared" si="1"/>
        <v>33</v>
      </c>
      <c r="E96" s="47" t="s">
        <v>609</v>
      </c>
      <c r="F96" s="18" t="s">
        <v>89</v>
      </c>
      <c r="G96" s="18" t="s">
        <v>133</v>
      </c>
      <c r="H96" s="27" t="s">
        <v>606</v>
      </c>
      <c r="I96" s="24"/>
      <c r="J96" s="20" t="str">
        <f>VLOOKUP(G96,MD!M$2:O$93,3,FALSE)</f>
        <v>Dose hom.</v>
      </c>
      <c r="K96" s="29">
        <v>1</v>
      </c>
      <c r="L96" s="27" t="s">
        <v>626</v>
      </c>
      <c r="M96" s="25" t="s">
        <v>607</v>
      </c>
      <c r="N96" s="103">
        <f>22000000000*160*0.00465*80*0.00001*10000/1000000000</f>
        <v>130.94399999999999</v>
      </c>
      <c r="O96" s="25" t="s">
        <v>608</v>
      </c>
      <c r="P96" s="22"/>
      <c r="Q96" s="44"/>
      <c r="R96" s="44"/>
      <c r="S96" s="44"/>
      <c r="T96" s="25"/>
      <c r="U96" s="25"/>
      <c r="V96" s="25"/>
      <c r="W96" s="25"/>
      <c r="X96" s="22"/>
      <c r="Y96" s="44"/>
      <c r="Z96" s="44"/>
      <c r="AA96" s="44"/>
      <c r="AB96" s="25"/>
      <c r="AC96" s="25"/>
      <c r="AD96" s="25"/>
      <c r="AE96" s="25"/>
    </row>
    <row r="97" spans="1:31" s="59" customFormat="1">
      <c r="A97" s="47" t="s">
        <v>553</v>
      </c>
      <c r="B97" s="47" t="s">
        <v>554</v>
      </c>
      <c r="C97" s="48">
        <v>43693</v>
      </c>
      <c r="D97" s="64">
        <f t="shared" si="1"/>
        <v>33</v>
      </c>
      <c r="E97" s="47" t="s">
        <v>609</v>
      </c>
      <c r="F97" s="18" t="s">
        <v>87</v>
      </c>
      <c r="G97" s="18" t="s">
        <v>93</v>
      </c>
      <c r="H97" s="27" t="s">
        <v>604</v>
      </c>
      <c r="I97" s="58">
        <f>80*0.05</f>
        <v>4</v>
      </c>
      <c r="J97" s="20" t="str">
        <f>VLOOKUP(G97,MD!M$2:O$93,3,FALSE)</f>
        <v>gr./m2</v>
      </c>
      <c r="K97" s="29">
        <v>1</v>
      </c>
      <c r="L97" s="27" t="s">
        <v>605</v>
      </c>
      <c r="M97" s="25">
        <f>4/1000*0.00465*10000</f>
        <v>0.18599999999999997</v>
      </c>
      <c r="N97" s="25"/>
      <c r="O97" s="25"/>
      <c r="P97" s="22"/>
      <c r="Q97" s="44"/>
      <c r="R97" s="44"/>
      <c r="S97" s="44"/>
      <c r="T97" s="25"/>
      <c r="U97" s="25"/>
      <c r="V97" s="25"/>
      <c r="W97" s="25"/>
      <c r="X97" s="22"/>
      <c r="Y97" s="44"/>
      <c r="Z97" s="44"/>
      <c r="AA97" s="44"/>
      <c r="AB97" s="25"/>
      <c r="AC97" s="25"/>
      <c r="AD97" s="25"/>
      <c r="AE97" s="25"/>
    </row>
    <row r="98" spans="1:31" s="59" customFormat="1">
      <c r="A98" s="47" t="s">
        <v>553</v>
      </c>
      <c r="B98" s="47" t="s">
        <v>554</v>
      </c>
      <c r="C98" s="48">
        <v>43693</v>
      </c>
      <c r="D98" s="64">
        <f t="shared" si="1"/>
        <v>33</v>
      </c>
      <c r="E98" s="47" t="s">
        <v>609</v>
      </c>
      <c r="F98" s="18" t="s">
        <v>89</v>
      </c>
      <c r="G98" s="18" t="s">
        <v>133</v>
      </c>
      <c r="H98" s="27" t="s">
        <v>606</v>
      </c>
      <c r="I98" s="24"/>
      <c r="J98" s="20" t="str">
        <f>VLOOKUP(G98,MD!M$2:O$93,3,FALSE)</f>
        <v>Dose hom.</v>
      </c>
      <c r="K98" s="29">
        <v>1</v>
      </c>
      <c r="L98" s="27" t="s">
        <v>627</v>
      </c>
      <c r="M98" s="25" t="s">
        <v>607</v>
      </c>
      <c r="N98" s="103">
        <f>22000000000*160*0.00465*4*0.00001*10000/1000000000</f>
        <v>6.5472000000000001</v>
      </c>
      <c r="O98" s="25" t="s">
        <v>608</v>
      </c>
      <c r="P98" s="22"/>
      <c r="Q98" s="44"/>
      <c r="R98" s="44"/>
      <c r="S98" s="44"/>
      <c r="T98" s="25"/>
      <c r="U98" s="25"/>
      <c r="V98" s="25"/>
      <c r="W98" s="25"/>
      <c r="X98" s="22"/>
      <c r="Y98" s="44"/>
      <c r="Z98" s="44"/>
      <c r="AA98" s="44"/>
      <c r="AB98" s="25"/>
      <c r="AC98" s="25"/>
      <c r="AD98" s="25"/>
      <c r="AE98" s="25"/>
    </row>
    <row r="99" spans="1:31">
      <c r="A99" s="47" t="s">
        <v>553</v>
      </c>
      <c r="B99" s="47" t="s">
        <v>554</v>
      </c>
      <c r="C99" s="48">
        <v>43693</v>
      </c>
      <c r="D99" s="64">
        <f t="shared" si="1"/>
        <v>33</v>
      </c>
      <c r="E99" s="47" t="s">
        <v>609</v>
      </c>
      <c r="F99" s="18" t="s">
        <v>87</v>
      </c>
      <c r="G99" s="18" t="s">
        <v>94</v>
      </c>
      <c r="H99" s="27" t="s">
        <v>610</v>
      </c>
      <c r="I99" s="24">
        <v>94</v>
      </c>
      <c r="J99" s="20" t="str">
        <f>VLOOKUP(G99,MD!M$2:O$93,3,FALSE)</f>
        <v>gr./m2</v>
      </c>
      <c r="K99" s="29">
        <v>1</v>
      </c>
      <c r="L99" s="27" t="s">
        <v>624</v>
      </c>
      <c r="P99" s="22"/>
      <c r="X99" s="22"/>
    </row>
    <row r="100" spans="1:31">
      <c r="A100" s="47" t="s">
        <v>553</v>
      </c>
      <c r="B100" s="47" t="s">
        <v>554</v>
      </c>
      <c r="C100" s="48">
        <v>43693</v>
      </c>
      <c r="D100" s="64">
        <f t="shared" si="1"/>
        <v>33</v>
      </c>
      <c r="E100" s="47" t="s">
        <v>609</v>
      </c>
      <c r="F100" s="18" t="s">
        <v>87</v>
      </c>
      <c r="G100" s="18" t="s">
        <v>94</v>
      </c>
      <c r="H100" s="27" t="s">
        <v>611</v>
      </c>
      <c r="I100" s="24">
        <v>9</v>
      </c>
      <c r="J100" s="20" t="str">
        <f>VLOOKUP(G100,MD!M$2:O$93,3,FALSE)</f>
        <v>gr./m2</v>
      </c>
      <c r="K100" s="29">
        <v>1</v>
      </c>
      <c r="L100" s="27" t="s">
        <v>625</v>
      </c>
      <c r="P100" s="22"/>
      <c r="X100" s="22"/>
    </row>
    <row r="101" spans="1:31">
      <c r="A101" s="47" t="s">
        <v>553</v>
      </c>
      <c r="B101" s="47" t="s">
        <v>554</v>
      </c>
      <c r="C101" s="48">
        <v>43693</v>
      </c>
      <c r="D101" s="64">
        <f t="shared" si="1"/>
        <v>33</v>
      </c>
      <c r="E101" s="47" t="s">
        <v>609</v>
      </c>
      <c r="F101" s="18" t="s">
        <v>84</v>
      </c>
      <c r="G101" s="18" t="s">
        <v>221</v>
      </c>
      <c r="I101" s="24">
        <v>1</v>
      </c>
      <c r="J101" s="20" t="str">
        <f>VLOOKUP(G101,MD!M$2:O$93,3,FALSE)</f>
        <v>ha</v>
      </c>
      <c r="K101" s="29">
        <v>1</v>
      </c>
      <c r="P101" s="22"/>
      <c r="X101" s="22"/>
    </row>
    <row r="102" spans="1:31">
      <c r="A102" s="47" t="s">
        <v>553</v>
      </c>
      <c r="B102" s="47" t="s">
        <v>554</v>
      </c>
      <c r="C102" s="48">
        <v>43693</v>
      </c>
      <c r="D102" s="64">
        <f t="shared" si="1"/>
        <v>33</v>
      </c>
      <c r="E102" s="47" t="s">
        <v>609</v>
      </c>
      <c r="F102" s="18" t="s">
        <v>89</v>
      </c>
      <c r="G102" s="18" t="s">
        <v>109</v>
      </c>
      <c r="H102" s="27" t="s">
        <v>612</v>
      </c>
      <c r="I102" s="102">
        <f>5/7</f>
        <v>0.7142857142857143</v>
      </c>
      <c r="J102" s="20" t="str">
        <f>VLOOKUP(G102,MD!M$2:O$93,3,FALSE)</f>
        <v>Dose hom.</v>
      </c>
      <c r="K102" s="29">
        <v>1</v>
      </c>
      <c r="L102" s="27" t="s">
        <v>613</v>
      </c>
      <c r="M102" s="25" t="s">
        <v>361</v>
      </c>
      <c r="N102" s="103">
        <f>5*29.7</f>
        <v>148.5</v>
      </c>
      <c r="O102" s="25" t="s">
        <v>358</v>
      </c>
      <c r="P102" s="22"/>
      <c r="X102" s="22"/>
    </row>
    <row r="103" spans="1:31">
      <c r="A103" s="47" t="s">
        <v>553</v>
      </c>
      <c r="B103" s="47" t="s">
        <v>554</v>
      </c>
      <c r="C103" s="48">
        <v>43693</v>
      </c>
      <c r="D103" s="64">
        <f t="shared" si="1"/>
        <v>33</v>
      </c>
      <c r="E103" s="47" t="s">
        <v>609</v>
      </c>
      <c r="F103" s="18" t="s">
        <v>83</v>
      </c>
      <c r="G103" s="18" t="s">
        <v>60</v>
      </c>
      <c r="I103" s="24">
        <v>1</v>
      </c>
      <c r="J103" s="20" t="str">
        <f>VLOOKUP(G103,MD!M$2:O$93,3,FALSE)</f>
        <v>ha</v>
      </c>
      <c r="K103" s="29">
        <v>1</v>
      </c>
      <c r="N103" s="103"/>
      <c r="P103" s="22"/>
      <c r="X103" s="22"/>
    </row>
    <row r="104" spans="1:31" s="59" customFormat="1">
      <c r="A104" s="47" t="s">
        <v>553</v>
      </c>
      <c r="B104" s="47" t="s">
        <v>554</v>
      </c>
      <c r="C104" s="48">
        <v>43693</v>
      </c>
      <c r="D104" s="64">
        <f t="shared" si="1"/>
        <v>33</v>
      </c>
      <c r="E104" s="47" t="s">
        <v>609</v>
      </c>
      <c r="F104" s="18" t="s">
        <v>86</v>
      </c>
      <c r="G104" s="18" t="s">
        <v>64</v>
      </c>
      <c r="H104" s="27"/>
      <c r="I104" s="24">
        <v>1</v>
      </c>
      <c r="J104" s="20" t="str">
        <f>VLOOKUP(G104,MD!M$2:O$93,3,FALSE)</f>
        <v>ha</v>
      </c>
      <c r="K104" s="29">
        <v>1</v>
      </c>
      <c r="L104" s="27"/>
      <c r="M104" s="25"/>
      <c r="N104" s="103"/>
      <c r="O104" s="25"/>
      <c r="P104" s="22"/>
      <c r="Q104" s="44"/>
      <c r="R104" s="44"/>
      <c r="S104" s="44"/>
      <c r="T104" s="25"/>
      <c r="U104" s="25"/>
      <c r="V104" s="25"/>
      <c r="W104" s="25"/>
      <c r="X104" s="22"/>
      <c r="Y104" s="44"/>
      <c r="Z104" s="44"/>
      <c r="AA104" s="44"/>
      <c r="AB104" s="25"/>
      <c r="AC104" s="25"/>
      <c r="AD104" s="25"/>
      <c r="AE104" s="25"/>
    </row>
    <row r="105" spans="1:31" s="59" customFormat="1">
      <c r="A105" s="47" t="s">
        <v>553</v>
      </c>
      <c r="B105" s="47" t="s">
        <v>554</v>
      </c>
      <c r="C105" s="48">
        <v>43693</v>
      </c>
      <c r="D105" s="64">
        <f t="shared" si="1"/>
        <v>33</v>
      </c>
      <c r="E105" s="47" t="s">
        <v>609</v>
      </c>
      <c r="F105" s="18" t="s">
        <v>89</v>
      </c>
      <c r="G105" s="18" t="s">
        <v>113</v>
      </c>
      <c r="H105" s="27" t="s">
        <v>614</v>
      </c>
      <c r="I105" s="102">
        <f>0.73/1.5</f>
        <v>0.48666666666666664</v>
      </c>
      <c r="J105" s="20" t="str">
        <f>VLOOKUP(G105,MD!M$2:O$93,3,FALSE)</f>
        <v>Dose hom.</v>
      </c>
      <c r="K105" s="29">
        <v>1</v>
      </c>
      <c r="L105" s="27" t="s">
        <v>616</v>
      </c>
      <c r="M105" s="25" t="s">
        <v>615</v>
      </c>
      <c r="N105" s="103">
        <f>0.73*333</f>
        <v>243.09</v>
      </c>
      <c r="O105" s="25" t="s">
        <v>358</v>
      </c>
      <c r="P105" s="22"/>
      <c r="Q105" s="44"/>
      <c r="R105" s="44"/>
      <c r="S105" s="44"/>
      <c r="T105" s="25"/>
      <c r="U105" s="25"/>
      <c r="V105" s="25"/>
      <c r="W105" s="25"/>
      <c r="X105" s="22"/>
      <c r="Y105" s="44"/>
      <c r="Z105" s="44"/>
      <c r="AA105" s="44"/>
      <c r="AB105" s="25"/>
      <c r="AC105" s="25"/>
      <c r="AD105" s="25"/>
      <c r="AE105" s="25"/>
    </row>
    <row r="106" spans="1:31" s="59" customFormat="1">
      <c r="A106" s="47" t="s">
        <v>553</v>
      </c>
      <c r="B106" s="47" t="s">
        <v>554</v>
      </c>
      <c r="C106" s="48">
        <v>43693</v>
      </c>
      <c r="D106" s="64">
        <f t="shared" si="1"/>
        <v>33</v>
      </c>
      <c r="E106" s="47" t="s">
        <v>609</v>
      </c>
      <c r="F106" s="18" t="s">
        <v>89</v>
      </c>
      <c r="G106" s="18" t="s">
        <v>113</v>
      </c>
      <c r="H106" s="27" t="s">
        <v>617</v>
      </c>
      <c r="I106" s="102">
        <f>0.73/1.5</f>
        <v>0.48666666666666664</v>
      </c>
      <c r="J106" s="20" t="str">
        <f>VLOOKUP(G106,MD!M$2:O$93,3,FALSE)</f>
        <v>Dose hom.</v>
      </c>
      <c r="K106" s="29">
        <v>1</v>
      </c>
      <c r="L106" s="27" t="s">
        <v>619</v>
      </c>
      <c r="M106" s="25" t="s">
        <v>618</v>
      </c>
      <c r="N106" s="103">
        <f>0.73*167</f>
        <v>121.91</v>
      </c>
      <c r="O106" s="25" t="s">
        <v>358</v>
      </c>
      <c r="P106" s="22"/>
      <c r="Q106" s="44"/>
      <c r="R106" s="44"/>
      <c r="S106" s="44"/>
      <c r="T106" s="25"/>
      <c r="U106" s="25"/>
      <c r="V106" s="25"/>
      <c r="W106" s="25"/>
      <c r="X106" s="22"/>
      <c r="Y106" s="44"/>
      <c r="Z106" s="44"/>
      <c r="AA106" s="44"/>
      <c r="AB106" s="25"/>
      <c r="AC106" s="25"/>
      <c r="AD106" s="25"/>
      <c r="AE106" s="25"/>
    </row>
    <row r="107" spans="1:31" s="59" customFormat="1">
      <c r="A107" s="47" t="s">
        <v>553</v>
      </c>
      <c r="B107" s="47" t="s">
        <v>554</v>
      </c>
      <c r="C107" s="48">
        <v>43693</v>
      </c>
      <c r="D107" s="64">
        <f t="shared" si="1"/>
        <v>33</v>
      </c>
      <c r="E107" s="47" t="s">
        <v>609</v>
      </c>
      <c r="F107" s="18" t="s">
        <v>89</v>
      </c>
      <c r="G107" s="18" t="s">
        <v>113</v>
      </c>
      <c r="H107" s="27" t="s">
        <v>620</v>
      </c>
      <c r="I107" s="102">
        <f>0.5/2</f>
        <v>0.25</v>
      </c>
      <c r="J107" s="20" t="str">
        <f>VLOOKUP(G107,MD!M$2:O$93,3,FALSE)</f>
        <v>Dose hom.</v>
      </c>
      <c r="K107" s="29">
        <v>1</v>
      </c>
      <c r="L107" s="27" t="s">
        <v>621</v>
      </c>
      <c r="M107" s="25" t="s">
        <v>622</v>
      </c>
      <c r="N107" s="103">
        <v>250</v>
      </c>
      <c r="O107" s="25" t="s">
        <v>358</v>
      </c>
      <c r="P107" s="22"/>
      <c r="Q107" s="44"/>
      <c r="R107" s="44"/>
      <c r="S107" s="44"/>
      <c r="T107" s="25"/>
      <c r="U107" s="25"/>
      <c r="V107" s="25"/>
      <c r="W107" s="25"/>
      <c r="X107" s="22"/>
      <c r="Y107" s="44"/>
      <c r="Z107" s="44"/>
      <c r="AA107" s="44"/>
      <c r="AB107" s="25"/>
      <c r="AC107" s="25"/>
      <c r="AD107" s="25"/>
      <c r="AE107" s="25"/>
    </row>
    <row r="108" spans="1:31" s="59" customFormat="1">
      <c r="A108" s="47" t="s">
        <v>553</v>
      </c>
      <c r="B108" s="47" t="s">
        <v>554</v>
      </c>
      <c r="C108" s="48">
        <v>43698</v>
      </c>
      <c r="D108" s="64">
        <f t="shared" si="1"/>
        <v>34</v>
      </c>
      <c r="E108" s="47" t="s">
        <v>609</v>
      </c>
      <c r="F108" s="18" t="s">
        <v>84</v>
      </c>
      <c r="G108" s="18" t="s">
        <v>221</v>
      </c>
      <c r="H108" s="27"/>
      <c r="I108" s="24">
        <v>1</v>
      </c>
      <c r="J108" s="20" t="str">
        <f>VLOOKUP(G108,MD!M$2:O$93,3,FALSE)</f>
        <v>ha</v>
      </c>
      <c r="K108" s="29">
        <v>1</v>
      </c>
      <c r="L108" s="27"/>
      <c r="M108" s="25"/>
      <c r="N108" s="25"/>
      <c r="O108" s="25"/>
      <c r="P108" s="22"/>
      <c r="Q108" s="44"/>
      <c r="R108" s="44"/>
      <c r="S108" s="44"/>
      <c r="T108" s="25"/>
      <c r="U108" s="25"/>
      <c r="V108" s="25"/>
      <c r="W108" s="25"/>
      <c r="X108" s="22"/>
      <c r="Y108" s="44"/>
      <c r="Z108" s="44"/>
      <c r="AA108" s="44"/>
      <c r="AB108" s="25"/>
      <c r="AC108" s="25"/>
      <c r="AD108" s="25"/>
      <c r="AE108" s="25"/>
    </row>
    <row r="109" spans="1:31" s="59" customFormat="1">
      <c r="A109" s="47" t="s">
        <v>553</v>
      </c>
      <c r="B109" s="47" t="s">
        <v>554</v>
      </c>
      <c r="C109" s="48">
        <v>43698</v>
      </c>
      <c r="D109" s="64">
        <f t="shared" si="1"/>
        <v>34</v>
      </c>
      <c r="E109" s="47" t="s">
        <v>609</v>
      </c>
      <c r="F109" s="18" t="s">
        <v>89</v>
      </c>
      <c r="G109" s="18" t="s">
        <v>109</v>
      </c>
      <c r="H109" s="27" t="s">
        <v>612</v>
      </c>
      <c r="I109" s="102">
        <f>5/7</f>
        <v>0.7142857142857143</v>
      </c>
      <c r="J109" s="20" t="str">
        <f>VLOOKUP(G109,MD!M$2:O$93,3,FALSE)</f>
        <v>Dose hom.</v>
      </c>
      <c r="K109" s="29">
        <v>1</v>
      </c>
      <c r="L109" s="27" t="s">
        <v>613</v>
      </c>
      <c r="M109" s="25" t="s">
        <v>361</v>
      </c>
      <c r="N109" s="103">
        <f>5*29.7</f>
        <v>148.5</v>
      </c>
      <c r="O109" s="25" t="s">
        <v>358</v>
      </c>
      <c r="P109" s="22"/>
      <c r="Q109" s="44"/>
      <c r="R109" s="44"/>
      <c r="S109" s="44"/>
      <c r="T109" s="25"/>
      <c r="U109" s="25"/>
      <c r="V109" s="25"/>
      <c r="W109" s="25"/>
      <c r="X109" s="22"/>
      <c r="Y109" s="44"/>
      <c r="Z109" s="44"/>
      <c r="AA109" s="44"/>
      <c r="AB109" s="25"/>
      <c r="AC109" s="25"/>
      <c r="AD109" s="25"/>
      <c r="AE109" s="25"/>
    </row>
    <row r="110" spans="1:31" s="59" customFormat="1">
      <c r="A110" s="47" t="s">
        <v>553</v>
      </c>
      <c r="B110" s="47" t="s">
        <v>554</v>
      </c>
      <c r="C110" s="48">
        <v>43707</v>
      </c>
      <c r="D110" s="64">
        <f t="shared" si="1"/>
        <v>35</v>
      </c>
      <c r="E110" s="47" t="s">
        <v>609</v>
      </c>
      <c r="F110" s="18" t="s">
        <v>84</v>
      </c>
      <c r="G110" s="18" t="s">
        <v>221</v>
      </c>
      <c r="H110" s="27"/>
      <c r="I110" s="24">
        <v>1</v>
      </c>
      <c r="J110" s="20" t="str">
        <f>VLOOKUP(G110,MD!M$2:O$93,3,FALSE)</f>
        <v>ha</v>
      </c>
      <c r="K110" s="29">
        <v>1</v>
      </c>
      <c r="L110" s="27"/>
      <c r="M110" s="25"/>
      <c r="N110" s="25"/>
      <c r="O110" s="25"/>
      <c r="P110" s="22"/>
      <c r="Q110" s="44"/>
      <c r="R110" s="44"/>
      <c r="S110" s="44"/>
      <c r="T110" s="25"/>
      <c r="U110" s="25"/>
      <c r="V110" s="25"/>
      <c r="W110" s="25"/>
      <c r="X110" s="22"/>
      <c r="Y110" s="44"/>
      <c r="Z110" s="44"/>
      <c r="AA110" s="44"/>
      <c r="AB110" s="25"/>
      <c r="AC110" s="25"/>
      <c r="AD110" s="25"/>
      <c r="AE110" s="25"/>
    </row>
    <row r="111" spans="1:31" s="59" customFormat="1">
      <c r="A111" s="47" t="s">
        <v>553</v>
      </c>
      <c r="B111" s="47" t="s">
        <v>554</v>
      </c>
      <c r="C111" s="48">
        <v>43707</v>
      </c>
      <c r="D111" s="64">
        <f t="shared" si="1"/>
        <v>35</v>
      </c>
      <c r="E111" s="47" t="s">
        <v>609</v>
      </c>
      <c r="F111" s="18" t="s">
        <v>89</v>
      </c>
      <c r="G111" s="18" t="s">
        <v>109</v>
      </c>
      <c r="H111" s="27" t="s">
        <v>612</v>
      </c>
      <c r="I111" s="102">
        <f>5/7</f>
        <v>0.7142857142857143</v>
      </c>
      <c r="J111" s="20" t="str">
        <f>VLOOKUP(G111,MD!M$2:O$93,3,FALSE)</f>
        <v>Dose hom.</v>
      </c>
      <c r="K111" s="29">
        <v>1</v>
      </c>
      <c r="L111" s="27" t="s">
        <v>613</v>
      </c>
      <c r="M111" s="25" t="s">
        <v>361</v>
      </c>
      <c r="N111" s="103">
        <f>5*29.7</f>
        <v>148.5</v>
      </c>
      <c r="O111" s="25" t="s">
        <v>358</v>
      </c>
      <c r="P111" s="22"/>
      <c r="Q111" s="44"/>
      <c r="R111" s="44"/>
      <c r="S111" s="44"/>
      <c r="T111" s="25"/>
      <c r="U111" s="25"/>
      <c r="V111" s="25"/>
      <c r="W111" s="25"/>
      <c r="X111" s="22"/>
      <c r="Y111" s="44"/>
      <c r="Z111" s="44"/>
      <c r="AA111" s="44"/>
      <c r="AB111" s="25"/>
      <c r="AC111" s="25"/>
      <c r="AD111" s="25"/>
      <c r="AE111" s="25"/>
    </row>
    <row r="112" spans="1:31" s="59" customFormat="1">
      <c r="A112" s="47" t="s">
        <v>553</v>
      </c>
      <c r="B112" s="47" t="s">
        <v>554</v>
      </c>
      <c r="C112" s="48">
        <v>43731</v>
      </c>
      <c r="D112" s="64">
        <f t="shared" si="1"/>
        <v>39</v>
      </c>
      <c r="E112" s="47" t="s">
        <v>609</v>
      </c>
      <c r="F112" s="18" t="s">
        <v>86</v>
      </c>
      <c r="G112" s="18" t="s">
        <v>64</v>
      </c>
      <c r="H112" s="27"/>
      <c r="I112" s="24">
        <v>1</v>
      </c>
      <c r="J112" s="20" t="str">
        <f>VLOOKUP(G112,MD!M$2:O$93,3,FALSE)</f>
        <v>ha</v>
      </c>
      <c r="K112" s="29">
        <v>1</v>
      </c>
      <c r="L112" s="27"/>
      <c r="M112" s="25"/>
      <c r="N112" s="103"/>
      <c r="O112" s="25"/>
      <c r="P112" s="22"/>
      <c r="Q112" s="44"/>
      <c r="R112" s="44"/>
      <c r="S112" s="44"/>
      <c r="T112" s="25"/>
      <c r="U112" s="25"/>
      <c r="V112" s="25"/>
      <c r="W112" s="25"/>
      <c r="X112" s="22"/>
      <c r="Y112" s="44"/>
      <c r="Z112" s="44"/>
      <c r="AA112" s="44"/>
      <c r="AB112" s="25"/>
      <c r="AC112" s="25"/>
      <c r="AD112" s="25"/>
      <c r="AE112" s="25"/>
    </row>
    <row r="113" spans="1:31" s="59" customFormat="1">
      <c r="A113" s="47" t="s">
        <v>553</v>
      </c>
      <c r="B113" s="47" t="s">
        <v>554</v>
      </c>
      <c r="C113" s="48">
        <v>43731</v>
      </c>
      <c r="D113" s="64">
        <f t="shared" si="1"/>
        <v>39</v>
      </c>
      <c r="E113" s="47" t="s">
        <v>609</v>
      </c>
      <c r="F113" s="18" t="s">
        <v>89</v>
      </c>
      <c r="G113" s="18" t="s">
        <v>113</v>
      </c>
      <c r="H113" s="27" t="s">
        <v>632</v>
      </c>
      <c r="I113" s="102">
        <f>0.4/1.5</f>
        <v>0.26666666666666666</v>
      </c>
      <c r="J113" s="20" t="str">
        <f>VLOOKUP(G113,MD!M$2:O$93,3,FALSE)</f>
        <v>Dose hom.</v>
      </c>
      <c r="K113" s="29">
        <v>1</v>
      </c>
      <c r="L113" s="27" t="s">
        <v>633</v>
      </c>
      <c r="M113" s="25" t="s">
        <v>628</v>
      </c>
      <c r="N113" s="103">
        <f>0.4*100</f>
        <v>40</v>
      </c>
      <c r="O113" s="25" t="s">
        <v>358</v>
      </c>
      <c r="P113" s="22"/>
      <c r="Q113" s="44"/>
      <c r="R113" s="44"/>
      <c r="S113" s="44"/>
      <c r="T113" s="25"/>
      <c r="U113" s="25"/>
      <c r="V113" s="25"/>
      <c r="W113" s="25"/>
      <c r="X113" s="22"/>
      <c r="Y113" s="44"/>
      <c r="Z113" s="44"/>
      <c r="AA113" s="44"/>
      <c r="AB113" s="25"/>
      <c r="AC113" s="25"/>
      <c r="AD113" s="25"/>
      <c r="AE113" s="25"/>
    </row>
    <row r="114" spans="1:31">
      <c r="A114" s="47" t="s">
        <v>553</v>
      </c>
      <c r="B114" s="47" t="s">
        <v>554</v>
      </c>
      <c r="C114" s="48">
        <v>43731</v>
      </c>
      <c r="D114" s="64">
        <f t="shared" si="1"/>
        <v>39</v>
      </c>
      <c r="E114" s="47" t="s">
        <v>609</v>
      </c>
      <c r="F114" s="18" t="s">
        <v>89</v>
      </c>
      <c r="G114" s="18" t="s">
        <v>108</v>
      </c>
      <c r="H114" s="27" t="s">
        <v>629</v>
      </c>
      <c r="I114" s="24" t="s">
        <v>602</v>
      </c>
      <c r="J114" s="20" t="str">
        <f>VLOOKUP(G114,MD!M$2:O$93,3,FALSE)</f>
        <v>Dose hom.</v>
      </c>
      <c r="K114" s="29">
        <v>1</v>
      </c>
      <c r="L114" s="27" t="s">
        <v>630</v>
      </c>
      <c r="M114" s="25" t="s">
        <v>631</v>
      </c>
      <c r="N114" s="103">
        <f>0.7*842</f>
        <v>589.4</v>
      </c>
      <c r="O114" s="25" t="s">
        <v>358</v>
      </c>
      <c r="P114" s="22"/>
      <c r="X114" s="22"/>
    </row>
    <row r="115" spans="1:31">
      <c r="A115" s="47" t="s">
        <v>553</v>
      </c>
      <c r="B115" s="47" t="s">
        <v>554</v>
      </c>
      <c r="C115" s="48">
        <v>43837</v>
      </c>
      <c r="D115" s="64">
        <f t="shared" si="1"/>
        <v>2</v>
      </c>
      <c r="E115" s="47" t="s">
        <v>553</v>
      </c>
      <c r="F115" s="18" t="s">
        <v>86</v>
      </c>
      <c r="G115" s="18" t="s">
        <v>64</v>
      </c>
      <c r="I115" s="24">
        <v>1</v>
      </c>
      <c r="J115" s="20" t="str">
        <f>VLOOKUP(G115,MD!M$2:O$93,3,FALSE)</f>
        <v>ha</v>
      </c>
      <c r="K115" s="29">
        <v>1</v>
      </c>
      <c r="P115" s="22"/>
      <c r="X115" s="22"/>
    </row>
    <row r="116" spans="1:31" s="59" customFormat="1">
      <c r="A116" s="47" t="s">
        <v>553</v>
      </c>
      <c r="B116" s="47" t="s">
        <v>554</v>
      </c>
      <c r="C116" s="48">
        <v>43837</v>
      </c>
      <c r="D116" s="64">
        <f t="shared" ref="D116" si="2">WEEKNUM(C116)</f>
        <v>2</v>
      </c>
      <c r="E116" s="47" t="s">
        <v>553</v>
      </c>
      <c r="F116" s="18" t="s">
        <v>89</v>
      </c>
      <c r="G116" s="18" t="s">
        <v>113</v>
      </c>
      <c r="H116" s="27" t="s">
        <v>709</v>
      </c>
      <c r="I116" s="102">
        <f>1/1.5</f>
        <v>0.66666666666666663</v>
      </c>
      <c r="J116" s="20" t="str">
        <f>VLOOKUP(G116,MD!M$2:O$93,3,FALSE)</f>
        <v>Dose hom.</v>
      </c>
      <c r="K116" s="29">
        <v>1</v>
      </c>
      <c r="L116" s="27" t="s">
        <v>710</v>
      </c>
      <c r="M116" s="25" t="s">
        <v>711</v>
      </c>
      <c r="N116" s="103">
        <f>1*500</f>
        <v>500</v>
      </c>
      <c r="O116" s="25" t="s">
        <v>358</v>
      </c>
      <c r="P116" s="22"/>
      <c r="Q116" s="44"/>
      <c r="R116" s="44"/>
      <c r="S116" s="44"/>
      <c r="T116" s="25"/>
      <c r="U116" s="25"/>
      <c r="V116" s="25"/>
      <c r="W116" s="25"/>
      <c r="X116" s="22"/>
      <c r="Y116" s="44"/>
      <c r="Z116" s="44"/>
      <c r="AA116" s="44"/>
      <c r="AB116" s="25"/>
      <c r="AC116" s="25"/>
      <c r="AD116" s="25"/>
      <c r="AE116" s="25"/>
    </row>
    <row r="117" spans="1:31" s="59" customFormat="1">
      <c r="A117" s="47" t="s">
        <v>553</v>
      </c>
      <c r="B117" s="47" t="s">
        <v>554</v>
      </c>
      <c r="C117" s="48">
        <v>43837</v>
      </c>
      <c r="D117" s="64">
        <f t="shared" ref="D117" si="3">WEEKNUM(C117)</f>
        <v>2</v>
      </c>
      <c r="E117" s="47" t="s">
        <v>553</v>
      </c>
      <c r="F117" s="18" t="s">
        <v>89</v>
      </c>
      <c r="G117" s="18" t="s">
        <v>113</v>
      </c>
      <c r="H117" s="27" t="s">
        <v>712</v>
      </c>
      <c r="I117" s="102">
        <f>1/1.5</f>
        <v>0.66666666666666663</v>
      </c>
      <c r="J117" s="20" t="str">
        <f>VLOOKUP(G117,MD!M$2:O$93,3,FALSE)</f>
        <v>Dose hom.</v>
      </c>
      <c r="K117" s="29">
        <v>1</v>
      </c>
      <c r="L117" s="27" t="s">
        <v>713</v>
      </c>
      <c r="M117" s="25" t="s">
        <v>714</v>
      </c>
      <c r="N117" s="103">
        <f>1*6.272</f>
        <v>6.2720000000000002</v>
      </c>
      <c r="O117" s="25" t="s">
        <v>358</v>
      </c>
      <c r="P117" s="22"/>
      <c r="Q117" s="44"/>
      <c r="R117" s="44"/>
      <c r="S117" s="44"/>
      <c r="T117" s="25"/>
      <c r="U117" s="25"/>
      <c r="V117" s="25"/>
      <c r="W117" s="25"/>
      <c r="X117" s="22"/>
      <c r="Y117" s="44"/>
      <c r="Z117" s="44"/>
      <c r="AA117" s="44"/>
      <c r="AB117" s="25"/>
      <c r="AC117" s="25"/>
      <c r="AD117" s="25"/>
      <c r="AE117" s="25"/>
    </row>
    <row r="118" spans="1:31" s="59" customFormat="1">
      <c r="A118" s="47" t="s">
        <v>553</v>
      </c>
      <c r="B118" s="47" t="s">
        <v>554</v>
      </c>
      <c r="C118" s="48">
        <v>43861</v>
      </c>
      <c r="D118" s="64">
        <f t="shared" ref="D118:D119" si="4">WEEKNUM(C118)</f>
        <v>5</v>
      </c>
      <c r="E118" s="47" t="s">
        <v>553</v>
      </c>
      <c r="F118" s="18" t="s">
        <v>24</v>
      </c>
      <c r="G118" s="18"/>
      <c r="H118" s="27" t="s">
        <v>687</v>
      </c>
      <c r="I118" s="24">
        <v>1</v>
      </c>
      <c r="J118" s="95" t="s">
        <v>70</v>
      </c>
      <c r="K118" s="29">
        <v>1</v>
      </c>
      <c r="L118" s="27"/>
      <c r="M118" s="25"/>
      <c r="N118" s="25"/>
      <c r="O118" s="25"/>
      <c r="P118" s="22"/>
      <c r="Q118" s="44"/>
      <c r="R118" s="44"/>
      <c r="S118" s="44"/>
      <c r="T118" s="25"/>
      <c r="U118" s="25"/>
      <c r="V118" s="25"/>
      <c r="W118" s="25"/>
      <c r="X118" s="22"/>
      <c r="Y118" s="44"/>
      <c r="Z118" s="44"/>
      <c r="AA118" s="44"/>
      <c r="AB118" s="25"/>
      <c r="AC118" s="25"/>
      <c r="AD118" s="25"/>
      <c r="AE118" s="25"/>
    </row>
    <row r="119" spans="1:31">
      <c r="A119" s="47" t="s">
        <v>553</v>
      </c>
      <c r="B119" s="47" t="s">
        <v>554</v>
      </c>
      <c r="C119" s="48">
        <v>43867</v>
      </c>
      <c r="D119" s="64">
        <f t="shared" si="4"/>
        <v>6</v>
      </c>
      <c r="E119" s="47" t="s">
        <v>553</v>
      </c>
      <c r="F119" s="18" t="s">
        <v>85</v>
      </c>
      <c r="G119" s="18" t="s">
        <v>67</v>
      </c>
      <c r="I119" s="24">
        <v>1</v>
      </c>
      <c r="J119" s="20" t="str">
        <f>VLOOKUP(G119,MD!M$2:O$93,3,FALSE)</f>
        <v>ha</v>
      </c>
      <c r="K119" s="29">
        <v>1</v>
      </c>
      <c r="P119" s="22"/>
      <c r="X119" s="22"/>
    </row>
    <row r="120" spans="1:31">
      <c r="A120" s="47" t="s">
        <v>553</v>
      </c>
      <c r="B120" s="47" t="s">
        <v>554</v>
      </c>
      <c r="C120" s="48">
        <v>43867</v>
      </c>
      <c r="D120" s="64">
        <f t="shared" ref="D120:D121" si="5">WEEKNUM(C120)</f>
        <v>6</v>
      </c>
      <c r="E120" s="47" t="s">
        <v>553</v>
      </c>
      <c r="F120" s="18" t="s">
        <v>88</v>
      </c>
      <c r="G120" s="18" t="s">
        <v>715</v>
      </c>
      <c r="H120" s="27" t="s">
        <v>716</v>
      </c>
      <c r="I120" s="24">
        <v>120</v>
      </c>
      <c r="J120" s="20" t="str">
        <f>VLOOKUP(G120,MD!M$2:O$93,3,FALSE)</f>
        <v>l/ha</v>
      </c>
      <c r="K120" s="29">
        <v>1</v>
      </c>
      <c r="P120" s="22"/>
      <c r="X120" s="22"/>
    </row>
    <row r="121" spans="1:31" s="59" customFormat="1">
      <c r="A121" s="47" t="s">
        <v>553</v>
      </c>
      <c r="B121" s="47" t="s">
        <v>554</v>
      </c>
      <c r="C121" s="48">
        <v>43879</v>
      </c>
      <c r="D121" s="64">
        <f t="shared" si="5"/>
        <v>8</v>
      </c>
      <c r="E121" s="47" t="s">
        <v>553</v>
      </c>
      <c r="F121" s="18" t="s">
        <v>85</v>
      </c>
      <c r="G121" s="18" t="s">
        <v>67</v>
      </c>
      <c r="H121" s="27"/>
      <c r="I121" s="24">
        <v>1</v>
      </c>
      <c r="J121" s="20" t="str">
        <f>VLOOKUP(G121,MD!M$2:O$93,3,FALSE)</f>
        <v>ha</v>
      </c>
      <c r="K121" s="29">
        <v>1</v>
      </c>
      <c r="L121" s="27"/>
      <c r="M121" s="25"/>
      <c r="N121" s="25"/>
      <c r="O121" s="25"/>
      <c r="P121" s="22"/>
      <c r="Q121" s="44"/>
      <c r="R121" s="44"/>
      <c r="S121" s="44"/>
      <c r="T121" s="25"/>
      <c r="U121" s="25"/>
      <c r="V121" s="25"/>
      <c r="W121" s="25"/>
      <c r="X121" s="22"/>
      <c r="Y121" s="44"/>
      <c r="Z121" s="44"/>
      <c r="AA121" s="44"/>
      <c r="AB121" s="25"/>
      <c r="AC121" s="25"/>
      <c r="AD121" s="25"/>
      <c r="AE121" s="25"/>
    </row>
    <row r="122" spans="1:31" s="59" customFormat="1">
      <c r="A122" s="47" t="s">
        <v>553</v>
      </c>
      <c r="B122" s="47" t="s">
        <v>554</v>
      </c>
      <c r="C122" s="48">
        <v>43879</v>
      </c>
      <c r="D122" s="64">
        <f t="shared" ref="D122:D124" si="6">WEEKNUM(C122)</f>
        <v>8</v>
      </c>
      <c r="E122" s="47" t="s">
        <v>553</v>
      </c>
      <c r="F122" s="18" t="s">
        <v>88</v>
      </c>
      <c r="G122" s="18" t="s">
        <v>718</v>
      </c>
      <c r="H122" s="27" t="s">
        <v>717</v>
      </c>
      <c r="I122" s="24">
        <v>330</v>
      </c>
      <c r="J122" s="20" t="str">
        <f>VLOOKUP(G122,MD!M$2:O$93,3,FALSE)</f>
        <v>l/ha</v>
      </c>
      <c r="K122" s="29">
        <v>1</v>
      </c>
      <c r="L122" s="27"/>
      <c r="M122" s="25"/>
      <c r="N122" s="25"/>
      <c r="O122" s="25"/>
      <c r="P122" s="22"/>
      <c r="Q122" s="44"/>
      <c r="R122" s="44"/>
      <c r="S122" s="44"/>
      <c r="T122" s="25"/>
      <c r="U122" s="25"/>
      <c r="V122" s="25"/>
      <c r="W122" s="25"/>
      <c r="X122" s="22"/>
      <c r="Y122" s="44"/>
      <c r="Z122" s="44"/>
      <c r="AA122" s="44"/>
      <c r="AB122" s="25"/>
      <c r="AC122" s="25"/>
      <c r="AD122" s="25"/>
      <c r="AE122" s="25"/>
    </row>
    <row r="123" spans="1:31" s="59" customFormat="1">
      <c r="A123" s="47" t="s">
        <v>553</v>
      </c>
      <c r="B123" s="47" t="s">
        <v>554</v>
      </c>
      <c r="C123" s="48">
        <v>43898</v>
      </c>
      <c r="D123" s="64">
        <f t="shared" si="6"/>
        <v>11</v>
      </c>
      <c r="E123" s="47" t="s">
        <v>553</v>
      </c>
      <c r="F123" s="18" t="s">
        <v>85</v>
      </c>
      <c r="G123" s="18" t="s">
        <v>67</v>
      </c>
      <c r="H123" s="27"/>
      <c r="I123" s="24">
        <v>1</v>
      </c>
      <c r="J123" s="20" t="str">
        <f>VLOOKUP(G123,MD!M$2:O$93,3,FALSE)</f>
        <v>ha</v>
      </c>
      <c r="K123" s="29">
        <v>1</v>
      </c>
      <c r="L123" s="27"/>
      <c r="M123" s="25"/>
      <c r="N123" s="25"/>
      <c r="O123" s="25"/>
      <c r="P123" s="22"/>
      <c r="Q123" s="44"/>
      <c r="R123" s="44"/>
      <c r="S123" s="44"/>
      <c r="T123" s="25"/>
      <c r="U123" s="25"/>
      <c r="V123" s="25"/>
      <c r="W123" s="25"/>
      <c r="X123" s="22"/>
      <c r="Y123" s="44"/>
      <c r="Z123" s="44"/>
      <c r="AA123" s="44"/>
      <c r="AB123" s="25"/>
      <c r="AC123" s="25"/>
      <c r="AD123" s="25"/>
      <c r="AE123" s="25"/>
    </row>
    <row r="124" spans="1:31" s="59" customFormat="1">
      <c r="A124" s="47" t="s">
        <v>553</v>
      </c>
      <c r="B124" s="47" t="s">
        <v>554</v>
      </c>
      <c r="C124" s="48">
        <v>43898</v>
      </c>
      <c r="D124" s="64">
        <f t="shared" si="6"/>
        <v>11</v>
      </c>
      <c r="E124" s="47" t="s">
        <v>553</v>
      </c>
      <c r="F124" s="18" t="s">
        <v>88</v>
      </c>
      <c r="G124" s="18" t="s">
        <v>720</v>
      </c>
      <c r="H124" s="27"/>
      <c r="I124" s="24">
        <v>3</v>
      </c>
      <c r="J124" s="20" t="str">
        <f>VLOOKUP(G124,MD!M$2:O$93,3,FALSE)</f>
        <v>l/ha</v>
      </c>
      <c r="K124" s="29">
        <v>1</v>
      </c>
      <c r="L124" s="27"/>
      <c r="M124" s="25"/>
      <c r="N124" s="25"/>
      <c r="O124" s="25"/>
      <c r="P124" s="22"/>
      <c r="Q124" s="44"/>
      <c r="R124" s="44"/>
      <c r="S124" s="44"/>
      <c r="T124" s="25"/>
      <c r="U124" s="25"/>
      <c r="V124" s="25"/>
      <c r="W124" s="25"/>
      <c r="X124" s="22"/>
      <c r="Y124" s="44"/>
      <c r="Z124" s="44"/>
      <c r="AA124" s="44"/>
      <c r="AB124" s="25"/>
      <c r="AC124" s="25"/>
      <c r="AD124" s="25"/>
      <c r="AE124" s="25"/>
    </row>
    <row r="125" spans="1:31" s="59" customFormat="1">
      <c r="A125" s="47" t="s">
        <v>553</v>
      </c>
      <c r="B125" s="47" t="s">
        <v>554</v>
      </c>
      <c r="C125" s="48">
        <v>43899</v>
      </c>
      <c r="D125" s="64">
        <f t="shared" ref="D125:D128" si="7">WEEKNUM(C125)</f>
        <v>11</v>
      </c>
      <c r="E125" s="47" t="s">
        <v>553</v>
      </c>
      <c r="F125" s="18" t="s">
        <v>85</v>
      </c>
      <c r="G125" s="18" t="s">
        <v>67</v>
      </c>
      <c r="H125" s="27"/>
      <c r="I125" s="24">
        <v>1</v>
      </c>
      <c r="J125" s="20" t="str">
        <f>VLOOKUP(G125,MD!M$2:O$93,3,FALSE)</f>
        <v>ha</v>
      </c>
      <c r="K125" s="29">
        <v>1</v>
      </c>
      <c r="L125" s="27"/>
      <c r="M125" s="25"/>
      <c r="N125" s="25"/>
      <c r="O125" s="25"/>
      <c r="P125" s="22"/>
      <c r="Q125" s="44"/>
      <c r="R125" s="44"/>
      <c r="S125" s="44"/>
      <c r="T125" s="25"/>
      <c r="U125" s="25"/>
      <c r="V125" s="25"/>
      <c r="W125" s="25"/>
      <c r="X125" s="22"/>
      <c r="Y125" s="44"/>
      <c r="Z125" s="44"/>
      <c r="AA125" s="44"/>
      <c r="AB125" s="25"/>
      <c r="AC125" s="25"/>
      <c r="AD125" s="25"/>
      <c r="AE125" s="25"/>
    </row>
    <row r="126" spans="1:31" s="59" customFormat="1">
      <c r="A126" s="47" t="s">
        <v>553</v>
      </c>
      <c r="B126" s="47" t="s">
        <v>554</v>
      </c>
      <c r="C126" s="48">
        <v>43899</v>
      </c>
      <c r="D126" s="64">
        <f t="shared" si="7"/>
        <v>11</v>
      </c>
      <c r="E126" s="47" t="s">
        <v>553</v>
      </c>
      <c r="F126" s="18" t="s">
        <v>88</v>
      </c>
      <c r="G126" s="18" t="s">
        <v>715</v>
      </c>
      <c r="H126" s="27" t="s">
        <v>719</v>
      </c>
      <c r="I126" s="24">
        <v>150</v>
      </c>
      <c r="J126" s="20" t="str">
        <f>VLOOKUP(G126,MD!M$2:O$93,3,FALSE)</f>
        <v>l/ha</v>
      </c>
      <c r="K126" s="29">
        <v>1</v>
      </c>
      <c r="L126" s="27"/>
      <c r="M126" s="25"/>
      <c r="N126" s="25"/>
      <c r="O126" s="25"/>
      <c r="P126" s="22"/>
      <c r="Q126" s="44"/>
      <c r="R126" s="44"/>
      <c r="S126" s="44"/>
      <c r="T126" s="25"/>
      <c r="U126" s="25"/>
      <c r="V126" s="25"/>
      <c r="W126" s="25"/>
      <c r="X126" s="22"/>
      <c r="Y126" s="44"/>
      <c r="Z126" s="44"/>
      <c r="AA126" s="44"/>
      <c r="AB126" s="25"/>
      <c r="AC126" s="25"/>
      <c r="AD126" s="25"/>
      <c r="AE126" s="25"/>
    </row>
    <row r="127" spans="1:31">
      <c r="A127" s="47" t="s">
        <v>553</v>
      </c>
      <c r="B127" s="47" t="s">
        <v>554</v>
      </c>
      <c r="C127" s="48">
        <v>43909</v>
      </c>
      <c r="D127" s="64">
        <f t="shared" si="7"/>
        <v>12</v>
      </c>
      <c r="E127" s="47" t="s">
        <v>553</v>
      </c>
      <c r="F127" s="18" t="s">
        <v>86</v>
      </c>
      <c r="G127" s="18" t="s">
        <v>64</v>
      </c>
      <c r="I127" s="24">
        <v>1</v>
      </c>
      <c r="J127" s="20" t="str">
        <f>VLOOKUP(G127,MD!M$2:O$93,3,FALSE)</f>
        <v>ha</v>
      </c>
      <c r="K127" s="29">
        <v>1</v>
      </c>
      <c r="P127" s="22"/>
      <c r="X127" s="22"/>
    </row>
    <row r="128" spans="1:31">
      <c r="A128" s="47" t="s">
        <v>553</v>
      </c>
      <c r="B128" s="47" t="s">
        <v>554</v>
      </c>
      <c r="C128" s="48">
        <v>43909</v>
      </c>
      <c r="D128" s="64">
        <f t="shared" si="7"/>
        <v>12</v>
      </c>
      <c r="E128" s="47" t="s">
        <v>553</v>
      </c>
      <c r="F128" s="18" t="s">
        <v>89</v>
      </c>
      <c r="G128" s="18" t="s">
        <v>111</v>
      </c>
      <c r="H128" s="27" t="s">
        <v>797</v>
      </c>
      <c r="I128" s="24">
        <f>0.2/0.2</f>
        <v>1</v>
      </c>
      <c r="J128" s="20" t="str">
        <f>VLOOKUP(G128,MD!M$2:O$93,3,FALSE)</f>
        <v>Dose hom.</v>
      </c>
      <c r="K128" s="29">
        <v>1</v>
      </c>
      <c r="L128" s="27" t="s">
        <v>799</v>
      </c>
      <c r="M128" s="25" t="s">
        <v>798</v>
      </c>
      <c r="N128" s="25">
        <f>0.2*240</f>
        <v>48</v>
      </c>
      <c r="O128" s="25" t="s">
        <v>358</v>
      </c>
      <c r="P128" s="22"/>
      <c r="X128" s="22"/>
    </row>
    <row r="129" spans="1:31" s="59" customFormat="1">
      <c r="A129" s="47" t="s">
        <v>553</v>
      </c>
      <c r="B129" s="47" t="s">
        <v>554</v>
      </c>
      <c r="C129" s="48">
        <v>43926</v>
      </c>
      <c r="D129" s="64">
        <f t="shared" ref="D129:D130" si="8">WEEKNUM(C129)</f>
        <v>15</v>
      </c>
      <c r="E129" s="47" t="s">
        <v>553</v>
      </c>
      <c r="F129" s="18" t="s">
        <v>86</v>
      </c>
      <c r="G129" s="18" t="s">
        <v>64</v>
      </c>
      <c r="H129" s="27"/>
      <c r="I129" s="24">
        <v>1</v>
      </c>
      <c r="J129" s="20" t="str">
        <f>VLOOKUP(G129,MD!M$2:O$93,3,FALSE)</f>
        <v>ha</v>
      </c>
      <c r="K129" s="29">
        <v>1</v>
      </c>
      <c r="L129" s="27"/>
      <c r="M129" s="25"/>
      <c r="N129" s="25"/>
      <c r="O129" s="25"/>
      <c r="P129" s="22"/>
      <c r="Q129" s="44"/>
      <c r="R129" s="44"/>
      <c r="S129" s="44"/>
      <c r="T129" s="25"/>
      <c r="U129" s="25"/>
      <c r="V129" s="25"/>
      <c r="W129" s="25"/>
      <c r="X129" s="22"/>
      <c r="Y129" s="44"/>
      <c r="Z129" s="44"/>
      <c r="AA129" s="44"/>
      <c r="AB129" s="25"/>
      <c r="AC129" s="25"/>
      <c r="AD129" s="25"/>
      <c r="AE129" s="25"/>
    </row>
    <row r="130" spans="1:31" s="59" customFormat="1">
      <c r="A130" s="47" t="s">
        <v>553</v>
      </c>
      <c r="B130" s="47" t="s">
        <v>554</v>
      </c>
      <c r="C130" s="48">
        <v>43926</v>
      </c>
      <c r="D130" s="64">
        <f t="shared" si="8"/>
        <v>15</v>
      </c>
      <c r="E130" s="47" t="s">
        <v>553</v>
      </c>
      <c r="F130" s="18" t="s">
        <v>89</v>
      </c>
      <c r="G130" s="18" t="s">
        <v>111</v>
      </c>
      <c r="H130" s="27" t="s">
        <v>797</v>
      </c>
      <c r="I130" s="24">
        <f>0.2/0.2</f>
        <v>1</v>
      </c>
      <c r="J130" s="20" t="str">
        <f>VLOOKUP(G130,MD!M$2:O$93,3,FALSE)</f>
        <v>Dose hom.</v>
      </c>
      <c r="K130" s="29">
        <v>1</v>
      </c>
      <c r="L130" s="27" t="s">
        <v>799</v>
      </c>
      <c r="M130" s="25" t="s">
        <v>798</v>
      </c>
      <c r="N130" s="25">
        <f>0.2*240</f>
        <v>48</v>
      </c>
      <c r="O130" s="25" t="s">
        <v>358</v>
      </c>
      <c r="P130" s="22"/>
      <c r="Q130" s="44"/>
      <c r="R130" s="44"/>
      <c r="S130" s="44"/>
      <c r="T130" s="25"/>
      <c r="U130" s="25"/>
      <c r="V130" s="25"/>
      <c r="W130" s="25"/>
      <c r="X130" s="22"/>
      <c r="Y130" s="44"/>
      <c r="Z130" s="44"/>
      <c r="AA130" s="44"/>
      <c r="AB130" s="25"/>
      <c r="AC130" s="25"/>
      <c r="AD130" s="25"/>
      <c r="AE130" s="25"/>
    </row>
    <row r="131" spans="1:31" s="59" customFormat="1">
      <c r="A131" s="47" t="s">
        <v>553</v>
      </c>
      <c r="B131" s="47" t="s">
        <v>554</v>
      </c>
      <c r="C131" s="48">
        <v>43929</v>
      </c>
      <c r="D131" s="64">
        <f t="shared" ref="D131:D132" si="9">WEEKNUM(C131)</f>
        <v>15</v>
      </c>
      <c r="E131" s="47" t="s">
        <v>553</v>
      </c>
      <c r="F131" s="18" t="s">
        <v>86</v>
      </c>
      <c r="G131" s="18" t="s">
        <v>64</v>
      </c>
      <c r="H131" s="27"/>
      <c r="I131" s="24">
        <v>1</v>
      </c>
      <c r="J131" s="20" t="str">
        <f>VLOOKUP(G131,MD!M$2:O$93,3,FALSE)</f>
        <v>ha</v>
      </c>
      <c r="K131" s="29">
        <v>1</v>
      </c>
      <c r="L131" s="27"/>
      <c r="M131" s="25"/>
      <c r="N131" s="25"/>
      <c r="O131" s="25"/>
      <c r="P131" s="22"/>
      <c r="Q131" s="44"/>
      <c r="R131" s="44"/>
      <c r="S131" s="44"/>
      <c r="T131" s="25"/>
      <c r="U131" s="25"/>
      <c r="V131" s="25"/>
      <c r="W131" s="25"/>
      <c r="X131" s="22"/>
      <c r="Y131" s="44"/>
      <c r="Z131" s="44"/>
      <c r="AA131" s="44"/>
      <c r="AB131" s="25"/>
      <c r="AC131" s="25"/>
      <c r="AD131" s="25"/>
      <c r="AE131" s="25"/>
    </row>
    <row r="132" spans="1:31" s="59" customFormat="1">
      <c r="A132" s="47" t="s">
        <v>553</v>
      </c>
      <c r="B132" s="47" t="s">
        <v>554</v>
      </c>
      <c r="C132" s="48">
        <v>43929</v>
      </c>
      <c r="D132" s="64">
        <f t="shared" si="9"/>
        <v>15</v>
      </c>
      <c r="E132" s="47" t="s">
        <v>553</v>
      </c>
      <c r="F132" s="18" t="s">
        <v>89</v>
      </c>
      <c r="G132" s="18" t="s">
        <v>112</v>
      </c>
      <c r="H132" s="27" t="s">
        <v>800</v>
      </c>
      <c r="I132" s="24">
        <f>0.7/1</f>
        <v>0.7</v>
      </c>
      <c r="J132" s="20" t="str">
        <f>VLOOKUP(G132,MD!M$2:O$93,3,FALSE)</f>
        <v>Dose hom.</v>
      </c>
      <c r="K132" s="29">
        <v>1</v>
      </c>
      <c r="L132" s="27" t="s">
        <v>801</v>
      </c>
      <c r="M132" s="25" t="s">
        <v>369</v>
      </c>
      <c r="N132" s="25">
        <f>0.7*125</f>
        <v>87.5</v>
      </c>
      <c r="O132" s="25" t="s">
        <v>358</v>
      </c>
      <c r="P132" s="22"/>
      <c r="Q132" s="44"/>
      <c r="R132" s="44"/>
      <c r="S132" s="44"/>
      <c r="T132" s="25"/>
      <c r="U132" s="25"/>
      <c r="V132" s="25"/>
      <c r="W132" s="25"/>
      <c r="X132" s="22"/>
      <c r="Y132" s="44"/>
      <c r="Z132" s="44"/>
      <c r="AA132" s="44"/>
      <c r="AB132" s="25"/>
      <c r="AC132" s="25"/>
      <c r="AD132" s="25"/>
      <c r="AE132" s="25"/>
    </row>
    <row r="133" spans="1:31" s="59" customFormat="1">
      <c r="A133" s="47" t="s">
        <v>553</v>
      </c>
      <c r="B133" s="47" t="s">
        <v>554</v>
      </c>
      <c r="C133" s="48">
        <v>43929</v>
      </c>
      <c r="D133" s="64">
        <f t="shared" ref="D133:D135" si="10">WEEKNUM(C133)</f>
        <v>15</v>
      </c>
      <c r="E133" s="47" t="s">
        <v>553</v>
      </c>
      <c r="F133" s="18" t="s">
        <v>89</v>
      </c>
      <c r="G133" s="18" t="s">
        <v>112</v>
      </c>
      <c r="H133" s="27" t="s">
        <v>802</v>
      </c>
      <c r="I133" s="24">
        <f>0.7/1</f>
        <v>0.7</v>
      </c>
      <c r="J133" s="20" t="str">
        <f>VLOOKUP(G133,MD!M$2:O$93,3,FALSE)</f>
        <v>Dose hom.</v>
      </c>
      <c r="K133" s="29">
        <v>1</v>
      </c>
      <c r="L133" s="27" t="s">
        <v>801</v>
      </c>
      <c r="M133" s="25" t="s">
        <v>367</v>
      </c>
      <c r="N133" s="25">
        <f>0.7*125</f>
        <v>87.5</v>
      </c>
      <c r="O133" s="25" t="s">
        <v>358</v>
      </c>
      <c r="P133" s="22"/>
      <c r="Q133" s="44"/>
      <c r="R133" s="44"/>
      <c r="S133" s="44"/>
      <c r="T133" s="25"/>
      <c r="U133" s="25"/>
      <c r="V133" s="25"/>
      <c r="W133" s="25"/>
      <c r="X133" s="22"/>
      <c r="Y133" s="44"/>
      <c r="Z133" s="44"/>
      <c r="AA133" s="44"/>
      <c r="AB133" s="25"/>
      <c r="AC133" s="25"/>
      <c r="AD133" s="25"/>
      <c r="AE133" s="25"/>
    </row>
    <row r="134" spans="1:31" s="59" customFormat="1">
      <c r="A134" s="47" t="s">
        <v>553</v>
      </c>
      <c r="B134" s="47" t="s">
        <v>554</v>
      </c>
      <c r="C134" s="48">
        <v>43944</v>
      </c>
      <c r="D134" s="64">
        <f t="shared" si="10"/>
        <v>17</v>
      </c>
      <c r="E134" s="47" t="s">
        <v>553</v>
      </c>
      <c r="F134" s="18" t="s">
        <v>86</v>
      </c>
      <c r="G134" s="18" t="s">
        <v>64</v>
      </c>
      <c r="H134" s="27"/>
      <c r="I134" s="24">
        <v>1</v>
      </c>
      <c r="J134" s="20" t="str">
        <f>VLOOKUP(G134,MD!M$2:O$93,3,FALSE)</f>
        <v>ha</v>
      </c>
      <c r="K134" s="29">
        <v>1</v>
      </c>
      <c r="L134" s="27"/>
      <c r="M134" s="25"/>
      <c r="N134" s="25"/>
      <c r="O134" s="25"/>
      <c r="P134" s="22"/>
      <c r="Q134" s="44"/>
      <c r="R134" s="44"/>
      <c r="S134" s="44"/>
      <c r="T134" s="25"/>
      <c r="U134" s="25"/>
      <c r="V134" s="25"/>
      <c r="W134" s="25"/>
      <c r="X134" s="22"/>
      <c r="Y134" s="44"/>
      <c r="Z134" s="44"/>
      <c r="AA134" s="44"/>
      <c r="AB134" s="25"/>
      <c r="AC134" s="25"/>
      <c r="AD134" s="25"/>
      <c r="AE134" s="25"/>
    </row>
    <row r="135" spans="1:31" s="59" customFormat="1">
      <c r="A135" s="47" t="s">
        <v>553</v>
      </c>
      <c r="B135" s="47" t="s">
        <v>554</v>
      </c>
      <c r="C135" s="48">
        <v>43944</v>
      </c>
      <c r="D135" s="64">
        <f t="shared" si="10"/>
        <v>17</v>
      </c>
      <c r="E135" s="47" t="s">
        <v>553</v>
      </c>
      <c r="F135" s="18" t="s">
        <v>89</v>
      </c>
      <c r="G135" s="18" t="s">
        <v>111</v>
      </c>
      <c r="H135" s="27" t="s">
        <v>803</v>
      </c>
      <c r="I135" s="24">
        <f>2/2</f>
        <v>1</v>
      </c>
      <c r="J135" s="20" t="str">
        <f>VLOOKUP(G135,MD!M$2:O$93,3,FALSE)</f>
        <v>Dose hom.</v>
      </c>
      <c r="K135" s="29">
        <v>1</v>
      </c>
      <c r="L135" s="27" t="s">
        <v>804</v>
      </c>
      <c r="M135" s="25" t="s">
        <v>798</v>
      </c>
      <c r="N135" s="25">
        <f>2*18</f>
        <v>36</v>
      </c>
      <c r="O135" s="25" t="s">
        <v>358</v>
      </c>
      <c r="P135" s="22"/>
      <c r="Q135" s="44"/>
      <c r="R135" s="44"/>
      <c r="S135" s="44"/>
      <c r="T135" s="25"/>
      <c r="U135" s="25"/>
      <c r="V135" s="25"/>
      <c r="W135" s="25"/>
      <c r="X135" s="22"/>
      <c r="Y135" s="44"/>
      <c r="Z135" s="44"/>
      <c r="AA135" s="44"/>
      <c r="AB135" s="25"/>
      <c r="AC135" s="25"/>
      <c r="AD135" s="25"/>
      <c r="AE135" s="25"/>
    </row>
    <row r="136" spans="1:31" s="59" customFormat="1">
      <c r="A136" s="47" t="s">
        <v>553</v>
      </c>
      <c r="B136" s="47" t="s">
        <v>554</v>
      </c>
      <c r="C136" s="48">
        <v>43944</v>
      </c>
      <c r="D136" s="64">
        <f t="shared" ref="D136:D157" si="11">WEEKNUM(C136)</f>
        <v>17</v>
      </c>
      <c r="E136" s="47" t="s">
        <v>553</v>
      </c>
      <c r="F136" s="18" t="s">
        <v>89</v>
      </c>
      <c r="G136" s="18" t="s">
        <v>111</v>
      </c>
      <c r="H136" s="27" t="s">
        <v>806</v>
      </c>
      <c r="I136" s="24">
        <f>2/2</f>
        <v>1</v>
      </c>
      <c r="J136" s="20" t="str">
        <f>VLOOKUP(G136,MD!M$2:O$93,3,FALSE)</f>
        <v>Dose hom.</v>
      </c>
      <c r="K136" s="29">
        <v>1</v>
      </c>
      <c r="L136" s="27" t="s">
        <v>807</v>
      </c>
      <c r="M136" s="25" t="s">
        <v>805</v>
      </c>
      <c r="N136" s="25">
        <f>2*50</f>
        <v>100</v>
      </c>
      <c r="O136" s="25" t="s">
        <v>358</v>
      </c>
      <c r="P136" s="22"/>
      <c r="Q136" s="44"/>
      <c r="R136" s="44"/>
      <c r="S136" s="44"/>
      <c r="T136" s="25"/>
      <c r="U136" s="25"/>
      <c r="V136" s="25"/>
      <c r="W136" s="25"/>
      <c r="X136" s="22"/>
      <c r="Y136" s="44"/>
      <c r="Z136" s="44"/>
      <c r="AA136" s="44"/>
      <c r="AB136" s="25"/>
      <c r="AC136" s="25"/>
      <c r="AD136" s="25"/>
      <c r="AE136" s="25"/>
    </row>
    <row r="137" spans="1:31" s="59" customFormat="1">
      <c r="A137" s="47" t="s">
        <v>553</v>
      </c>
      <c r="B137" s="47" t="s">
        <v>554</v>
      </c>
      <c r="C137" s="48">
        <v>44033</v>
      </c>
      <c r="D137" s="64">
        <f t="shared" si="11"/>
        <v>30</v>
      </c>
      <c r="E137" s="47" t="s">
        <v>553</v>
      </c>
      <c r="F137" s="18" t="s">
        <v>86</v>
      </c>
      <c r="G137" s="18" t="s">
        <v>55</v>
      </c>
      <c r="H137" s="27"/>
      <c r="I137" s="24">
        <v>1</v>
      </c>
      <c r="J137" s="20"/>
      <c r="K137" s="29">
        <v>1</v>
      </c>
      <c r="L137" s="27"/>
      <c r="M137" s="25"/>
      <c r="N137" s="25"/>
      <c r="O137" s="25"/>
      <c r="P137" s="22"/>
      <c r="Q137" s="44"/>
      <c r="R137" s="44"/>
      <c r="S137" s="44"/>
      <c r="T137" s="25"/>
      <c r="U137" s="25"/>
      <c r="V137" s="25"/>
      <c r="W137" s="25"/>
      <c r="X137" s="22"/>
      <c r="Y137" s="44"/>
      <c r="Z137" s="44"/>
      <c r="AA137" s="44"/>
      <c r="AB137" s="25"/>
      <c r="AC137" s="25"/>
      <c r="AD137" s="25"/>
      <c r="AE137" s="25"/>
    </row>
    <row r="138" spans="1:31">
      <c r="A138" s="47" t="s">
        <v>553</v>
      </c>
      <c r="B138" s="47" t="s">
        <v>554</v>
      </c>
      <c r="C138" s="48">
        <v>44033</v>
      </c>
      <c r="D138" s="64">
        <f t="shared" si="11"/>
        <v>30</v>
      </c>
      <c r="E138" s="47" t="s">
        <v>553</v>
      </c>
      <c r="F138" s="18" t="s">
        <v>2</v>
      </c>
      <c r="G138" s="18" t="s">
        <v>115</v>
      </c>
      <c r="H138" s="27" t="s">
        <v>827</v>
      </c>
      <c r="I138" s="24">
        <v>48</v>
      </c>
      <c r="J138" s="20" t="str">
        <f>VLOOKUP(G138,MD!M$2:O$93,3,FALSE)</f>
        <v>Qtx/ha</v>
      </c>
      <c r="K138" s="29">
        <v>1</v>
      </c>
      <c r="L138" s="27" t="s">
        <v>828</v>
      </c>
      <c r="P138" s="22"/>
      <c r="X138" s="22"/>
    </row>
    <row r="139" spans="1:31" s="59" customFormat="1">
      <c r="A139" s="47" t="s">
        <v>121</v>
      </c>
      <c r="B139" s="47" t="s">
        <v>836</v>
      </c>
      <c r="C139" s="48">
        <v>44115</v>
      </c>
      <c r="D139" s="47">
        <f t="shared" si="11"/>
        <v>42</v>
      </c>
      <c r="E139" s="47" t="s">
        <v>845</v>
      </c>
      <c r="F139" s="18" t="s">
        <v>84</v>
      </c>
      <c r="G139" s="18" t="s">
        <v>271</v>
      </c>
      <c r="H139" s="27"/>
      <c r="I139" s="24">
        <v>1</v>
      </c>
      <c r="J139" s="20" t="str">
        <f>VLOOKUP(G139,MD!M$2:O$93,3,FALSE)</f>
        <v>ha</v>
      </c>
      <c r="K139" s="29">
        <v>1</v>
      </c>
      <c r="L139" s="27"/>
      <c r="M139" s="25"/>
      <c r="N139" s="25"/>
      <c r="O139" s="25"/>
      <c r="P139" s="22"/>
      <c r="Q139" s="44"/>
      <c r="R139" s="44"/>
      <c r="S139" s="44"/>
      <c r="T139" s="25"/>
      <c r="U139" s="25"/>
      <c r="V139" s="25"/>
      <c r="W139" s="25"/>
      <c r="X139" s="22"/>
      <c r="Y139" s="44"/>
      <c r="Z139" s="44"/>
      <c r="AA139" s="44"/>
      <c r="AB139" s="25"/>
      <c r="AC139" s="25"/>
      <c r="AD139" s="25"/>
      <c r="AE139" s="25"/>
    </row>
    <row r="140" spans="1:31" s="59" customFormat="1">
      <c r="A140" s="47" t="s">
        <v>121</v>
      </c>
      <c r="B140" s="47" t="s">
        <v>836</v>
      </c>
      <c r="C140" s="48">
        <v>44115</v>
      </c>
      <c r="D140" s="47">
        <f t="shared" si="11"/>
        <v>42</v>
      </c>
      <c r="E140" s="47" t="s">
        <v>845</v>
      </c>
      <c r="F140" s="18" t="s">
        <v>87</v>
      </c>
      <c r="G140" s="18" t="s">
        <v>93</v>
      </c>
      <c r="H140" s="27" t="s">
        <v>130</v>
      </c>
      <c r="I140" s="24">
        <v>250</v>
      </c>
      <c r="J140" s="20" t="str">
        <f>VLOOKUP(G140,MD!M$2:O$93,3,FALSE)</f>
        <v>gr./m2</v>
      </c>
      <c r="K140" s="29">
        <v>1</v>
      </c>
      <c r="L140" s="27" t="s">
        <v>849</v>
      </c>
      <c r="M140" s="25"/>
      <c r="N140" s="25"/>
      <c r="O140" s="25"/>
      <c r="P140" s="22"/>
      <c r="Q140" s="44"/>
      <c r="R140" s="44"/>
      <c r="S140" s="44"/>
      <c r="T140" s="25"/>
      <c r="U140" s="25"/>
      <c r="V140" s="25"/>
      <c r="W140" s="25"/>
      <c r="X140" s="22"/>
      <c r="Y140" s="44"/>
      <c r="Z140" s="44"/>
      <c r="AA140" s="44"/>
      <c r="AB140" s="25"/>
      <c r="AC140" s="25"/>
      <c r="AD140" s="25"/>
      <c r="AE140" s="25"/>
    </row>
    <row r="141" spans="1:31" s="59" customFormat="1">
      <c r="A141" s="47" t="s">
        <v>121</v>
      </c>
      <c r="B141" s="47" t="s">
        <v>836</v>
      </c>
      <c r="C141" s="48">
        <v>44115</v>
      </c>
      <c r="D141" s="47">
        <f t="shared" si="11"/>
        <v>42</v>
      </c>
      <c r="E141" s="47" t="s">
        <v>845</v>
      </c>
      <c r="F141" s="18" t="s">
        <v>89</v>
      </c>
      <c r="G141" s="18" t="s">
        <v>133</v>
      </c>
      <c r="H141" s="27" t="s">
        <v>927</v>
      </c>
      <c r="I141" s="24">
        <v>1</v>
      </c>
      <c r="J141" s="20" t="str">
        <f>VLOOKUP(G141,MD!M$2:O$93,3,FALSE)</f>
        <v>Dose hom.</v>
      </c>
      <c r="K141" s="29">
        <v>1</v>
      </c>
      <c r="L141" s="27" t="s">
        <v>928</v>
      </c>
      <c r="M141" s="25" t="s">
        <v>850</v>
      </c>
      <c r="N141" s="107">
        <f>50*0.2*250*0.046*0.00001*10000</f>
        <v>11.500000000000002</v>
      </c>
      <c r="O141" s="25" t="s">
        <v>358</v>
      </c>
      <c r="P141" s="22"/>
      <c r="Q141" s="44"/>
      <c r="R141" s="44"/>
      <c r="S141" s="44"/>
      <c r="T141" s="25"/>
      <c r="U141" s="25"/>
      <c r="V141" s="25"/>
      <c r="W141" s="25"/>
      <c r="X141" s="22"/>
      <c r="Y141" s="44"/>
      <c r="Z141" s="44"/>
      <c r="AA141" s="44"/>
      <c r="AB141" s="25"/>
      <c r="AC141" s="25"/>
      <c r="AD141" s="25"/>
      <c r="AE141" s="25"/>
    </row>
    <row r="142" spans="1:31" s="59" customFormat="1">
      <c r="A142" s="47" t="s">
        <v>121</v>
      </c>
      <c r="B142" s="47" t="s">
        <v>836</v>
      </c>
      <c r="C142" s="48">
        <v>44115</v>
      </c>
      <c r="D142" s="47">
        <f t="shared" si="11"/>
        <v>42</v>
      </c>
      <c r="E142" s="47" t="s">
        <v>845</v>
      </c>
      <c r="F142" s="18" t="s">
        <v>89</v>
      </c>
      <c r="G142" s="18" t="s">
        <v>133</v>
      </c>
      <c r="H142" s="27" t="s">
        <v>350</v>
      </c>
      <c r="I142" s="24">
        <v>1</v>
      </c>
      <c r="J142" s="20" t="str">
        <f>VLOOKUP(G142,MD!M$2:O$93,3,FALSE)</f>
        <v>Dose hom.</v>
      </c>
      <c r="K142" s="29">
        <v>1</v>
      </c>
      <c r="L142" s="27" t="s">
        <v>912</v>
      </c>
      <c r="M142" s="25" t="s">
        <v>351</v>
      </c>
      <c r="N142" s="107">
        <f>25*0.2*250*0.046*0.00001*10000</f>
        <v>5.7500000000000009</v>
      </c>
      <c r="O142" s="25" t="s">
        <v>358</v>
      </c>
      <c r="P142" s="22"/>
      <c r="Q142" s="44"/>
      <c r="R142" s="44"/>
      <c r="S142" s="44"/>
      <c r="T142" s="25"/>
      <c r="U142" s="25"/>
      <c r="V142" s="25"/>
      <c r="W142" s="25"/>
      <c r="X142" s="22"/>
      <c r="Y142" s="44"/>
      <c r="Z142" s="44"/>
      <c r="AA142" s="44"/>
      <c r="AB142" s="25"/>
      <c r="AC142" s="25"/>
      <c r="AD142" s="25"/>
      <c r="AE142" s="25"/>
    </row>
    <row r="143" spans="1:31" s="59" customFormat="1">
      <c r="A143" s="47" t="s">
        <v>121</v>
      </c>
      <c r="B143" s="47" t="s">
        <v>836</v>
      </c>
      <c r="C143" s="48">
        <v>44115</v>
      </c>
      <c r="D143" s="47">
        <f t="shared" si="11"/>
        <v>42</v>
      </c>
      <c r="E143" s="47" t="s">
        <v>845</v>
      </c>
      <c r="F143" s="18" t="s">
        <v>89</v>
      </c>
      <c r="G143" s="18" t="s">
        <v>133</v>
      </c>
      <c r="H143" s="27" t="s">
        <v>349</v>
      </c>
      <c r="I143" s="24">
        <v>1</v>
      </c>
      <c r="J143" s="20" t="str">
        <f>VLOOKUP(G143,MD!M$2:O$93,3,FALSE)</f>
        <v>Dose hom.</v>
      </c>
      <c r="K143" s="29">
        <v>1</v>
      </c>
      <c r="L143" s="27" t="s">
        <v>912</v>
      </c>
      <c r="M143" s="25" t="s">
        <v>348</v>
      </c>
      <c r="N143" s="107">
        <f>25*0.2*250*0.046*0.00001*10000</f>
        <v>5.7500000000000009</v>
      </c>
      <c r="O143" s="25" t="s">
        <v>358</v>
      </c>
      <c r="P143" s="22"/>
      <c r="Q143" s="44"/>
      <c r="R143" s="44"/>
      <c r="S143" s="44"/>
      <c r="T143" s="25"/>
      <c r="U143" s="25"/>
      <c r="V143" s="25"/>
      <c r="W143" s="25"/>
      <c r="X143" s="22"/>
      <c r="Y143" s="44"/>
      <c r="Z143" s="44"/>
      <c r="AA143" s="44"/>
      <c r="AB143" s="25"/>
      <c r="AC143" s="25"/>
      <c r="AD143" s="25"/>
      <c r="AE143" s="25"/>
    </row>
    <row r="144" spans="1:31" s="59" customFormat="1">
      <c r="A144" s="47" t="s">
        <v>121</v>
      </c>
      <c r="B144" s="47" t="s">
        <v>836</v>
      </c>
      <c r="C144" s="48">
        <v>44115</v>
      </c>
      <c r="D144" s="47">
        <f t="shared" si="11"/>
        <v>42</v>
      </c>
      <c r="E144" s="47" t="s">
        <v>845</v>
      </c>
      <c r="F144" s="18" t="s">
        <v>89</v>
      </c>
      <c r="G144" s="18" t="s">
        <v>109</v>
      </c>
      <c r="H144" s="27" t="s">
        <v>347</v>
      </c>
      <c r="I144" s="102">
        <f>5/7</f>
        <v>0.7142857142857143</v>
      </c>
      <c r="J144" s="20" t="str">
        <f>VLOOKUP(G144,MD!M$2:O$93,3,FALSE)</f>
        <v>Dose hom.</v>
      </c>
      <c r="K144" s="29">
        <v>1</v>
      </c>
      <c r="L144" s="27" t="s">
        <v>613</v>
      </c>
      <c r="M144" s="25" t="s">
        <v>361</v>
      </c>
      <c r="N144" s="25">
        <v>148.5</v>
      </c>
      <c r="O144" s="25" t="s">
        <v>358</v>
      </c>
      <c r="P144" s="22"/>
      <c r="Q144" s="44"/>
      <c r="R144" s="44"/>
      <c r="S144" s="44"/>
      <c r="T144" s="25"/>
      <c r="U144" s="25"/>
      <c r="V144" s="25"/>
      <c r="W144" s="25"/>
      <c r="X144" s="22"/>
      <c r="Y144" s="44"/>
      <c r="Z144" s="44"/>
      <c r="AA144" s="44"/>
      <c r="AB144" s="25"/>
      <c r="AC144" s="25"/>
      <c r="AD144" s="25"/>
      <c r="AE144" s="25"/>
    </row>
    <row r="145" spans="1:31" s="59" customFormat="1">
      <c r="A145" s="47" t="s">
        <v>847</v>
      </c>
      <c r="B145" s="47" t="s">
        <v>836</v>
      </c>
      <c r="C145" s="48">
        <v>44116</v>
      </c>
      <c r="D145" s="47">
        <f t="shared" si="11"/>
        <v>42</v>
      </c>
      <c r="E145" s="47" t="s">
        <v>845</v>
      </c>
      <c r="F145" s="18" t="s">
        <v>83</v>
      </c>
      <c r="G145" s="18" t="s">
        <v>56</v>
      </c>
      <c r="H145" s="27"/>
      <c r="I145" s="24">
        <v>1</v>
      </c>
      <c r="J145" s="20" t="str">
        <f>VLOOKUP(G145,MD!M$2:O$93,3,FALSE)</f>
        <v>ha</v>
      </c>
      <c r="K145" s="29">
        <v>1</v>
      </c>
      <c r="L145" s="27" t="s">
        <v>848</v>
      </c>
      <c r="M145" s="25"/>
      <c r="N145" s="25"/>
      <c r="O145" s="25"/>
      <c r="P145" s="22"/>
      <c r="Q145" s="44"/>
      <c r="R145" s="44"/>
      <c r="S145" s="44"/>
      <c r="T145" s="25"/>
      <c r="U145" s="25"/>
      <c r="V145" s="25"/>
      <c r="W145" s="25"/>
      <c r="X145" s="22"/>
      <c r="Y145" s="44"/>
      <c r="Z145" s="44"/>
      <c r="AA145" s="44"/>
      <c r="AB145" s="25"/>
      <c r="AC145" s="25"/>
      <c r="AD145" s="25"/>
      <c r="AE145" s="25"/>
    </row>
    <row r="146" spans="1:31">
      <c r="A146" s="47" t="s">
        <v>847</v>
      </c>
      <c r="B146" s="47" t="s">
        <v>836</v>
      </c>
      <c r="C146" s="48">
        <v>44135</v>
      </c>
      <c r="D146" s="64">
        <f t="shared" si="11"/>
        <v>44</v>
      </c>
      <c r="E146" s="47" t="s">
        <v>121</v>
      </c>
      <c r="F146" s="18" t="s">
        <v>86</v>
      </c>
      <c r="G146" s="18" t="s">
        <v>64</v>
      </c>
      <c r="I146" s="24">
        <v>1</v>
      </c>
      <c r="J146" s="20" t="str">
        <f>VLOOKUP(G146,MD!M$2:O$93,3,FALSE)</f>
        <v>ha</v>
      </c>
      <c r="K146" s="29">
        <v>1</v>
      </c>
      <c r="P146" s="22"/>
      <c r="X146" s="22"/>
    </row>
    <row r="147" spans="1:31">
      <c r="A147" s="47" t="s">
        <v>847</v>
      </c>
      <c r="B147" s="47" t="s">
        <v>836</v>
      </c>
      <c r="C147" s="48">
        <v>44135</v>
      </c>
      <c r="D147" s="64">
        <f t="shared" si="11"/>
        <v>44</v>
      </c>
      <c r="E147" s="47" t="s">
        <v>121</v>
      </c>
      <c r="F147" s="18" t="s">
        <v>89</v>
      </c>
      <c r="G147" s="18" t="s">
        <v>113</v>
      </c>
      <c r="H147" s="27" t="s">
        <v>887</v>
      </c>
      <c r="I147" s="24">
        <f>15/15</f>
        <v>1</v>
      </c>
      <c r="J147" s="20" t="str">
        <f>VLOOKUP(G147,MD!M$2:O$93,3,FALSE)</f>
        <v>Dose hom.</v>
      </c>
      <c r="K147" s="29">
        <v>1</v>
      </c>
      <c r="L147" s="27" t="s">
        <v>900</v>
      </c>
      <c r="M147" s="25" t="s">
        <v>888</v>
      </c>
      <c r="N147" s="25">
        <f>0.015*200</f>
        <v>3</v>
      </c>
      <c r="O147" s="25" t="s">
        <v>358</v>
      </c>
      <c r="X147" s="22"/>
    </row>
    <row r="148" spans="1:31">
      <c r="A148" s="47" t="s">
        <v>847</v>
      </c>
      <c r="B148" s="47" t="s">
        <v>836</v>
      </c>
      <c r="C148" s="48">
        <v>44135</v>
      </c>
      <c r="D148" s="64">
        <f t="shared" si="11"/>
        <v>44</v>
      </c>
      <c r="E148" s="47" t="s">
        <v>121</v>
      </c>
      <c r="F148" s="18" t="s">
        <v>89</v>
      </c>
      <c r="G148" s="18" t="s">
        <v>113</v>
      </c>
      <c r="H148" s="27" t="s">
        <v>929</v>
      </c>
      <c r="I148" s="24">
        <f>0.55/0.6</f>
        <v>0.91666666666666674</v>
      </c>
      <c r="J148" s="20" t="str">
        <f>VLOOKUP(G148,MD!M$2:O$93,3,FALSE)</f>
        <v>Dose hom.</v>
      </c>
      <c r="K148" s="29">
        <v>1</v>
      </c>
      <c r="L148" s="27" t="s">
        <v>901</v>
      </c>
      <c r="M148" s="25" t="s">
        <v>339</v>
      </c>
      <c r="N148" s="25">
        <f>0.55*200</f>
        <v>110.00000000000001</v>
      </c>
      <c r="O148" s="25" t="s">
        <v>358</v>
      </c>
      <c r="P148" s="22"/>
      <c r="X148" s="22"/>
    </row>
    <row r="149" spans="1:31">
      <c r="A149" s="47" t="s">
        <v>847</v>
      </c>
      <c r="B149" s="47" t="s">
        <v>836</v>
      </c>
      <c r="C149" s="48">
        <v>44135</v>
      </c>
      <c r="D149" s="64">
        <f t="shared" si="11"/>
        <v>44</v>
      </c>
      <c r="E149" s="47" t="s">
        <v>121</v>
      </c>
      <c r="F149" s="18" t="s">
        <v>89</v>
      </c>
      <c r="G149" s="18" t="s">
        <v>113</v>
      </c>
      <c r="H149" s="27" t="s">
        <v>341</v>
      </c>
      <c r="I149" s="24">
        <f>0.55/0.6</f>
        <v>0.91666666666666674</v>
      </c>
      <c r="J149" s="20" t="str">
        <f>VLOOKUP(G149,MD!M$2:O$93,3,FALSE)</f>
        <v>Dose hom.</v>
      </c>
      <c r="K149" s="29">
        <v>1</v>
      </c>
      <c r="L149" s="27" t="s">
        <v>902</v>
      </c>
      <c r="M149" s="25" t="s">
        <v>340</v>
      </c>
      <c r="N149" s="25">
        <f>0.55*400</f>
        <v>220.00000000000003</v>
      </c>
      <c r="O149" s="25" t="s">
        <v>358</v>
      </c>
      <c r="P149" s="22"/>
      <c r="X149" s="22"/>
    </row>
    <row r="150" spans="1:31">
      <c r="A150" s="47" t="s">
        <v>847</v>
      </c>
      <c r="B150" s="47" t="s">
        <v>836</v>
      </c>
      <c r="C150" s="48">
        <v>44135</v>
      </c>
      <c r="D150" s="64">
        <f t="shared" si="11"/>
        <v>44</v>
      </c>
      <c r="E150" s="47" t="s">
        <v>121</v>
      </c>
      <c r="F150" s="18" t="s">
        <v>89</v>
      </c>
      <c r="G150" s="18" t="s">
        <v>111</v>
      </c>
      <c r="H150" s="27" t="s">
        <v>870</v>
      </c>
      <c r="I150" s="24">
        <f>0.075/0.075</f>
        <v>1</v>
      </c>
      <c r="J150" s="20" t="str">
        <f>VLOOKUP(G150,MD!M$2:O$93,3,FALSE)</f>
        <v>Dose hom.</v>
      </c>
      <c r="K150" s="29">
        <v>1</v>
      </c>
      <c r="L150" s="27" t="s">
        <v>871</v>
      </c>
      <c r="M150" s="25" t="s">
        <v>810</v>
      </c>
      <c r="N150" s="25">
        <f>0.075*100</f>
        <v>7.5</v>
      </c>
      <c r="O150" s="25" t="s">
        <v>358</v>
      </c>
      <c r="X150" s="22"/>
    </row>
    <row r="151" spans="1:31">
      <c r="A151" s="47" t="s">
        <v>847</v>
      </c>
      <c r="B151" s="47" t="s">
        <v>836</v>
      </c>
      <c r="C151" s="48">
        <v>44147</v>
      </c>
      <c r="D151" s="64">
        <f t="shared" si="11"/>
        <v>46</v>
      </c>
      <c r="E151" s="47" t="s">
        <v>121</v>
      </c>
      <c r="F151" s="18" t="s">
        <v>86</v>
      </c>
      <c r="G151" s="18" t="s">
        <v>64</v>
      </c>
      <c r="I151" s="24">
        <v>1</v>
      </c>
      <c r="J151" s="20" t="str">
        <f>VLOOKUP(G151,MD!M$2:O$93,3,FALSE)</f>
        <v>ha</v>
      </c>
      <c r="K151" s="29">
        <v>1</v>
      </c>
      <c r="P151" s="22"/>
      <c r="X151" s="22"/>
    </row>
    <row r="152" spans="1:31">
      <c r="A152" s="47" t="s">
        <v>847</v>
      </c>
      <c r="B152" s="47" t="s">
        <v>836</v>
      </c>
      <c r="C152" s="48">
        <v>44147</v>
      </c>
      <c r="D152" s="64">
        <f t="shared" si="11"/>
        <v>46</v>
      </c>
      <c r="E152" s="47" t="s">
        <v>121</v>
      </c>
      <c r="F152" s="18" t="s">
        <v>89</v>
      </c>
      <c r="G152" s="18" t="s">
        <v>111</v>
      </c>
      <c r="H152" s="27" t="s">
        <v>870</v>
      </c>
      <c r="I152" s="24">
        <v>1</v>
      </c>
      <c r="J152" s="20" t="str">
        <f>VLOOKUP(G152,MD!M$2:O$93,3,FALSE)</f>
        <v>Dose hom.</v>
      </c>
      <c r="K152" s="29">
        <v>1</v>
      </c>
      <c r="L152" s="27" t="s">
        <v>871</v>
      </c>
      <c r="M152" s="25" t="s">
        <v>810</v>
      </c>
      <c r="N152" s="25">
        <v>7.5</v>
      </c>
      <c r="O152" s="25" t="s">
        <v>358</v>
      </c>
      <c r="X152" s="22"/>
    </row>
    <row r="153" spans="1:31">
      <c r="A153" s="47" t="s">
        <v>847</v>
      </c>
      <c r="B153" s="47" t="s">
        <v>836</v>
      </c>
      <c r="C153" s="48">
        <v>44161</v>
      </c>
      <c r="D153" s="64">
        <f t="shared" si="11"/>
        <v>48</v>
      </c>
      <c r="E153" s="47" t="s">
        <v>121</v>
      </c>
      <c r="F153" s="18" t="s">
        <v>86</v>
      </c>
      <c r="G153" s="18" t="s">
        <v>64</v>
      </c>
      <c r="I153" s="24">
        <v>1</v>
      </c>
      <c r="J153" s="20" t="str">
        <f>VLOOKUP(G153,MD!M$2:O$93,3,FALSE)</f>
        <v>ha</v>
      </c>
      <c r="K153" s="29">
        <v>1</v>
      </c>
      <c r="P153" s="22"/>
      <c r="X153" s="22"/>
    </row>
    <row r="154" spans="1:31">
      <c r="A154" s="47" t="s">
        <v>847</v>
      </c>
      <c r="B154" s="47" t="s">
        <v>836</v>
      </c>
      <c r="C154" s="48">
        <v>44161</v>
      </c>
      <c r="D154" s="64">
        <f t="shared" si="11"/>
        <v>48</v>
      </c>
      <c r="E154" s="47" t="s">
        <v>121</v>
      </c>
      <c r="F154" s="18" t="s">
        <v>89</v>
      </c>
      <c r="G154" s="18" t="s">
        <v>111</v>
      </c>
      <c r="H154" s="27" t="s">
        <v>870</v>
      </c>
      <c r="I154" s="24">
        <v>1</v>
      </c>
      <c r="J154" s="20" t="str">
        <f>VLOOKUP(G154,MD!M$2:O$93,3,FALSE)</f>
        <v>Dose hom.</v>
      </c>
      <c r="K154" s="29">
        <v>1</v>
      </c>
      <c r="L154" s="27" t="s">
        <v>871</v>
      </c>
      <c r="M154" s="25" t="s">
        <v>810</v>
      </c>
      <c r="N154" s="25">
        <v>7.5</v>
      </c>
      <c r="O154" s="25" t="s">
        <v>358</v>
      </c>
      <c r="X154" s="22"/>
    </row>
    <row r="155" spans="1:31">
      <c r="A155" s="47" t="s">
        <v>847</v>
      </c>
      <c r="B155" s="47" t="s">
        <v>836</v>
      </c>
      <c r="C155" s="48">
        <v>44244</v>
      </c>
      <c r="D155" s="64">
        <f t="shared" si="11"/>
        <v>8</v>
      </c>
      <c r="E155" s="47" t="s">
        <v>121</v>
      </c>
      <c r="F155" s="18" t="s">
        <v>85</v>
      </c>
      <c r="G155" s="18" t="s">
        <v>67</v>
      </c>
      <c r="I155" s="24">
        <v>1</v>
      </c>
      <c r="J155" s="20" t="str">
        <f>VLOOKUP(G155,MD!M$2:O$93,3,FALSE)</f>
        <v>ha</v>
      </c>
      <c r="K155" s="29">
        <v>1</v>
      </c>
      <c r="P155" s="22"/>
      <c r="X155" s="22"/>
    </row>
    <row r="156" spans="1:31">
      <c r="A156" s="47" t="s">
        <v>847</v>
      </c>
      <c r="B156" s="47" t="s">
        <v>836</v>
      </c>
      <c r="C156" s="48">
        <v>44244</v>
      </c>
      <c r="D156" s="64">
        <f t="shared" si="11"/>
        <v>8</v>
      </c>
      <c r="E156" s="47" t="s">
        <v>121</v>
      </c>
      <c r="F156" s="18" t="s">
        <v>88</v>
      </c>
      <c r="G156" s="18" t="s">
        <v>715</v>
      </c>
      <c r="H156" s="27" t="s">
        <v>719</v>
      </c>
      <c r="I156" s="24">
        <v>150</v>
      </c>
      <c r="J156" s="20" t="str">
        <f>VLOOKUP(G156,MD!M$2:O$93,3,FALSE)</f>
        <v>l/ha</v>
      </c>
      <c r="K156" s="29">
        <v>1</v>
      </c>
      <c r="L156" s="27" t="s">
        <v>903</v>
      </c>
      <c r="P156" s="22"/>
      <c r="X156" s="22"/>
    </row>
    <row r="157" spans="1:31">
      <c r="A157" s="47" t="s">
        <v>847</v>
      </c>
      <c r="B157" s="47" t="s">
        <v>836</v>
      </c>
      <c r="C157" s="48">
        <v>44263</v>
      </c>
      <c r="D157" s="64">
        <f t="shared" si="11"/>
        <v>11</v>
      </c>
      <c r="E157" s="47" t="s">
        <v>121</v>
      </c>
      <c r="F157" s="18" t="s">
        <v>83</v>
      </c>
      <c r="G157" s="18" t="s">
        <v>60</v>
      </c>
      <c r="I157" s="24">
        <v>1</v>
      </c>
      <c r="J157" s="20" t="str">
        <f>VLOOKUP(G157,MD!M$2:O$93,3,FALSE)</f>
        <v>ha</v>
      </c>
      <c r="K157" s="29">
        <v>1</v>
      </c>
      <c r="P157" s="22"/>
      <c r="X157" s="22"/>
    </row>
    <row r="158" spans="1:31">
      <c r="A158" s="47" t="s">
        <v>847</v>
      </c>
      <c r="B158" s="47" t="s">
        <v>836</v>
      </c>
      <c r="C158" s="48">
        <v>44265</v>
      </c>
      <c r="D158" s="64">
        <f t="shared" ref="D158:D179" si="12">WEEKNUM(C158)</f>
        <v>11</v>
      </c>
      <c r="E158" s="47" t="s">
        <v>121</v>
      </c>
      <c r="F158" s="18" t="s">
        <v>85</v>
      </c>
      <c r="G158" s="18" t="s">
        <v>67</v>
      </c>
      <c r="I158" s="24">
        <v>1</v>
      </c>
      <c r="J158" s="20" t="str">
        <f>VLOOKUP(G158,MD!M$2:O$93,3,FALSE)</f>
        <v>ha</v>
      </c>
      <c r="K158" s="29">
        <v>1</v>
      </c>
      <c r="P158" s="22"/>
      <c r="X158" s="22"/>
    </row>
    <row r="159" spans="1:31">
      <c r="A159" s="47" t="s">
        <v>847</v>
      </c>
      <c r="B159" s="47" t="s">
        <v>836</v>
      </c>
      <c r="C159" s="48">
        <v>44265</v>
      </c>
      <c r="D159" s="64">
        <f t="shared" si="12"/>
        <v>11</v>
      </c>
      <c r="E159" s="47" t="s">
        <v>121</v>
      </c>
      <c r="F159" s="18" t="s">
        <v>88</v>
      </c>
      <c r="G159" s="18" t="s">
        <v>909</v>
      </c>
      <c r="H159" s="27" t="s">
        <v>904</v>
      </c>
      <c r="I159" s="24">
        <v>260</v>
      </c>
      <c r="J159" s="20" t="str">
        <f>VLOOKUP(G159,MD!M$2:O$93,3,FALSE)</f>
        <v>l/ha</v>
      </c>
      <c r="K159" s="29">
        <v>1</v>
      </c>
      <c r="L159" s="27" t="s">
        <v>874</v>
      </c>
      <c r="P159" s="22"/>
      <c r="X159" s="22"/>
    </row>
    <row r="160" spans="1:31" s="59" customFormat="1">
      <c r="A160" s="47" t="s">
        <v>847</v>
      </c>
      <c r="B160" s="47" t="s">
        <v>836</v>
      </c>
      <c r="C160" s="48">
        <v>44287</v>
      </c>
      <c r="D160" s="64">
        <f t="shared" si="12"/>
        <v>14</v>
      </c>
      <c r="E160" s="47" t="s">
        <v>121</v>
      </c>
      <c r="F160" s="18" t="s">
        <v>86</v>
      </c>
      <c r="G160" s="18" t="s">
        <v>64</v>
      </c>
      <c r="H160" s="27"/>
      <c r="I160" s="24">
        <v>1</v>
      </c>
      <c r="J160" s="20" t="str">
        <f>VLOOKUP(G160,MD!M$2:O$93,3,FALSE)</f>
        <v>ha</v>
      </c>
      <c r="K160" s="29">
        <v>1</v>
      </c>
      <c r="L160" s="27"/>
      <c r="M160" s="25"/>
      <c r="N160" s="25"/>
      <c r="O160" s="25"/>
      <c r="P160" s="22"/>
      <c r="Q160" s="44"/>
      <c r="R160" s="44"/>
      <c r="S160" s="44"/>
      <c r="T160" s="25"/>
      <c r="U160" s="25"/>
      <c r="V160" s="25"/>
      <c r="W160" s="25"/>
      <c r="X160" s="22"/>
      <c r="Y160" s="44"/>
      <c r="Z160" s="44"/>
      <c r="AA160" s="44"/>
      <c r="AB160" s="25"/>
      <c r="AC160" s="25"/>
      <c r="AD160" s="25"/>
      <c r="AE160" s="25"/>
    </row>
    <row r="161" spans="1:31" s="59" customFormat="1">
      <c r="A161" s="47" t="s">
        <v>847</v>
      </c>
      <c r="B161" s="47" t="s">
        <v>836</v>
      </c>
      <c r="C161" s="48">
        <v>44287</v>
      </c>
      <c r="D161" s="64">
        <f t="shared" si="12"/>
        <v>14</v>
      </c>
      <c r="E161" s="47" t="s">
        <v>121</v>
      </c>
      <c r="F161" s="18" t="s">
        <v>89</v>
      </c>
      <c r="G161" s="18" t="s">
        <v>113</v>
      </c>
      <c r="H161" s="27" t="s">
        <v>931</v>
      </c>
      <c r="I161" s="24">
        <f>1/1.2</f>
        <v>0.83333333333333337</v>
      </c>
      <c r="J161" s="20" t="str">
        <f>VLOOKUP(G161,MD!M$2:O$93,3,FALSE)</f>
        <v>Dose hom.</v>
      </c>
      <c r="K161" s="29">
        <v>1</v>
      </c>
      <c r="L161" s="27" t="s">
        <v>933</v>
      </c>
      <c r="M161" s="25" t="s">
        <v>486</v>
      </c>
      <c r="N161" s="25">
        <v>50</v>
      </c>
      <c r="O161" s="25" t="s">
        <v>358</v>
      </c>
      <c r="P161" s="22"/>
      <c r="Q161" s="44"/>
      <c r="R161" s="44"/>
      <c r="S161" s="44"/>
      <c r="T161" s="25"/>
      <c r="U161" s="25"/>
      <c r="V161" s="25"/>
      <c r="W161" s="25"/>
      <c r="X161" s="22"/>
      <c r="Y161" s="44"/>
      <c r="Z161" s="44"/>
      <c r="AA161" s="44"/>
      <c r="AB161" s="25"/>
      <c r="AC161" s="25"/>
      <c r="AD161" s="25"/>
      <c r="AE161" s="25"/>
    </row>
    <row r="162" spans="1:31" s="59" customFormat="1">
      <c r="A162" s="47" t="s">
        <v>847</v>
      </c>
      <c r="B162" s="47" t="s">
        <v>836</v>
      </c>
      <c r="C162" s="48">
        <v>44287</v>
      </c>
      <c r="D162" s="64">
        <f t="shared" ref="D162" si="13">WEEKNUM(C162)</f>
        <v>14</v>
      </c>
      <c r="E162" s="47" t="s">
        <v>121</v>
      </c>
      <c r="F162" s="18" t="s">
        <v>89</v>
      </c>
      <c r="G162" s="18" t="s">
        <v>113</v>
      </c>
      <c r="H162" s="27" t="s">
        <v>932</v>
      </c>
      <c r="I162" s="24">
        <f>1/1.2</f>
        <v>0.83333333333333337</v>
      </c>
      <c r="J162" s="20" t="str">
        <f>VLOOKUP(G162,MD!M$2:O$93,3,FALSE)</f>
        <v>Dose hom.</v>
      </c>
      <c r="K162" s="29">
        <v>1</v>
      </c>
      <c r="L162" s="27" t="s">
        <v>934</v>
      </c>
      <c r="M162" s="25" t="s">
        <v>930</v>
      </c>
      <c r="N162" s="25">
        <v>12.5</v>
      </c>
      <c r="O162" s="25" t="s">
        <v>358</v>
      </c>
      <c r="P162" s="22"/>
      <c r="Q162" s="44"/>
      <c r="R162" s="44"/>
      <c r="S162" s="44"/>
      <c r="T162" s="25"/>
      <c r="U162" s="25"/>
      <c r="V162" s="25"/>
      <c r="W162" s="25"/>
      <c r="X162" s="22"/>
      <c r="Y162" s="44"/>
      <c r="Z162" s="44"/>
      <c r="AA162" s="44"/>
      <c r="AB162" s="25"/>
      <c r="AC162" s="25"/>
      <c r="AD162" s="25"/>
      <c r="AE162" s="25"/>
    </row>
    <row r="163" spans="1:31" s="59" customFormat="1">
      <c r="A163" s="47" t="s">
        <v>847</v>
      </c>
      <c r="B163" s="47" t="s">
        <v>836</v>
      </c>
      <c r="C163" s="48">
        <v>44287</v>
      </c>
      <c r="D163" s="64">
        <f t="shared" ref="D163:D168" si="14">WEEKNUM(C163)</f>
        <v>14</v>
      </c>
      <c r="E163" s="47" t="s">
        <v>121</v>
      </c>
      <c r="F163" s="18" t="s">
        <v>89</v>
      </c>
      <c r="G163" s="18" t="s">
        <v>108</v>
      </c>
      <c r="H163" s="27" t="s">
        <v>935</v>
      </c>
      <c r="I163" s="24">
        <v>1</v>
      </c>
      <c r="J163" s="95" t="s">
        <v>107</v>
      </c>
      <c r="K163" s="29">
        <v>1</v>
      </c>
      <c r="L163" s="27"/>
      <c r="M163" s="25"/>
      <c r="N163" s="25"/>
      <c r="O163" s="25"/>
      <c r="P163" s="22"/>
      <c r="Q163" s="44"/>
      <c r="R163" s="44"/>
      <c r="S163" s="44"/>
      <c r="T163" s="25"/>
      <c r="U163" s="25"/>
      <c r="V163" s="25"/>
      <c r="W163" s="25"/>
      <c r="X163" s="22"/>
      <c r="Y163" s="44"/>
      <c r="Z163" s="44"/>
      <c r="AA163" s="44"/>
      <c r="AB163" s="25"/>
      <c r="AC163" s="25"/>
      <c r="AD163" s="25"/>
      <c r="AE163" s="25"/>
    </row>
    <row r="164" spans="1:31" s="59" customFormat="1">
      <c r="A164" s="47" t="s">
        <v>847</v>
      </c>
      <c r="B164" s="47" t="s">
        <v>836</v>
      </c>
      <c r="C164" s="48">
        <v>44322</v>
      </c>
      <c r="D164" s="64">
        <f t="shared" si="14"/>
        <v>19</v>
      </c>
      <c r="E164" s="47" t="s">
        <v>121</v>
      </c>
      <c r="F164" s="18" t="s">
        <v>85</v>
      </c>
      <c r="G164" s="18" t="s">
        <v>67</v>
      </c>
      <c r="H164" s="27"/>
      <c r="I164" s="24">
        <v>1</v>
      </c>
      <c r="J164" s="20" t="str">
        <f>VLOOKUP(G164,MD!M$2:O$93,3,FALSE)</f>
        <v>ha</v>
      </c>
      <c r="K164" s="29">
        <v>1</v>
      </c>
      <c r="L164" s="27"/>
      <c r="M164" s="25"/>
      <c r="N164" s="25"/>
      <c r="O164" s="25"/>
      <c r="P164" s="22"/>
      <c r="Q164" s="44"/>
      <c r="R164" s="44"/>
      <c r="S164" s="44"/>
      <c r="T164" s="25"/>
      <c r="U164" s="25"/>
      <c r="V164" s="25"/>
      <c r="W164" s="25"/>
      <c r="X164" s="22"/>
      <c r="Y164" s="44"/>
      <c r="Z164" s="44"/>
      <c r="AA164" s="44"/>
      <c r="AB164" s="25"/>
      <c r="AC164" s="25"/>
      <c r="AD164" s="25"/>
      <c r="AE164" s="25"/>
    </row>
    <row r="165" spans="1:31" s="59" customFormat="1">
      <c r="A165" s="47" t="s">
        <v>847</v>
      </c>
      <c r="B165" s="47" t="s">
        <v>836</v>
      </c>
      <c r="C165" s="48">
        <v>44322</v>
      </c>
      <c r="D165" s="64">
        <f t="shared" si="14"/>
        <v>19</v>
      </c>
      <c r="E165" s="47" t="s">
        <v>121</v>
      </c>
      <c r="F165" s="18" t="s">
        <v>88</v>
      </c>
      <c r="G165" s="18" t="s">
        <v>191</v>
      </c>
      <c r="H165" s="27" t="s">
        <v>277</v>
      </c>
      <c r="I165" s="24">
        <v>150</v>
      </c>
      <c r="J165" s="20" t="str">
        <f>VLOOKUP(G165,MD!M$2:O$93,3,FALSE)</f>
        <v>l/ha</v>
      </c>
      <c r="K165" s="29">
        <v>1</v>
      </c>
      <c r="L165" s="27" t="s">
        <v>936</v>
      </c>
      <c r="M165" s="25"/>
      <c r="N165" s="25"/>
      <c r="O165" s="25"/>
      <c r="P165" s="22"/>
      <c r="Q165" s="44"/>
      <c r="R165" s="44"/>
      <c r="S165" s="44"/>
      <c r="T165" s="25"/>
      <c r="U165" s="25"/>
      <c r="V165" s="25"/>
      <c r="W165" s="25"/>
      <c r="X165" s="22"/>
      <c r="Y165" s="44"/>
      <c r="Z165" s="44"/>
      <c r="AA165" s="44"/>
      <c r="AB165" s="25"/>
      <c r="AC165" s="25"/>
      <c r="AD165" s="25"/>
      <c r="AE165" s="25"/>
    </row>
    <row r="166" spans="1:31" s="59" customFormat="1">
      <c r="A166" s="47" t="s">
        <v>847</v>
      </c>
      <c r="B166" s="47" t="s">
        <v>836</v>
      </c>
      <c r="C166" s="48">
        <v>44334</v>
      </c>
      <c r="D166" s="64">
        <f t="shared" si="14"/>
        <v>21</v>
      </c>
      <c r="E166" s="47" t="s">
        <v>121</v>
      </c>
      <c r="F166" s="18" t="s">
        <v>86</v>
      </c>
      <c r="G166" s="18" t="s">
        <v>64</v>
      </c>
      <c r="H166" s="27"/>
      <c r="I166" s="24">
        <v>1</v>
      </c>
      <c r="J166" s="20" t="str">
        <f>VLOOKUP(G166,MD!M$2:O$93,3,FALSE)</f>
        <v>ha</v>
      </c>
      <c r="K166" s="29">
        <v>1</v>
      </c>
      <c r="L166" s="27"/>
      <c r="M166" s="25"/>
      <c r="N166" s="25"/>
      <c r="O166" s="25"/>
      <c r="P166" s="22"/>
      <c r="Q166" s="44"/>
      <c r="R166" s="44"/>
      <c r="S166" s="44"/>
      <c r="T166" s="25"/>
      <c r="U166" s="25"/>
      <c r="V166" s="25"/>
      <c r="W166" s="25"/>
      <c r="X166" s="22"/>
      <c r="Y166" s="44"/>
      <c r="Z166" s="44"/>
      <c r="AA166" s="44"/>
      <c r="AB166" s="25"/>
      <c r="AC166" s="25"/>
      <c r="AD166" s="25"/>
      <c r="AE166" s="25"/>
    </row>
    <row r="167" spans="1:31" s="59" customFormat="1">
      <c r="A167" s="47" t="s">
        <v>847</v>
      </c>
      <c r="B167" s="47" t="s">
        <v>836</v>
      </c>
      <c r="C167" s="48">
        <v>44334</v>
      </c>
      <c r="D167" s="64">
        <f t="shared" si="14"/>
        <v>21</v>
      </c>
      <c r="E167" s="47" t="s">
        <v>121</v>
      </c>
      <c r="F167" s="18" t="s">
        <v>89</v>
      </c>
      <c r="G167" s="18" t="s">
        <v>112</v>
      </c>
      <c r="H167" s="27" t="s">
        <v>937</v>
      </c>
      <c r="I167" s="24">
        <f>0.75/1.5</f>
        <v>0.5</v>
      </c>
      <c r="J167" s="20" t="str">
        <f>VLOOKUP(G167,MD!M$2:O$93,3,FALSE)</f>
        <v>Dose hom.</v>
      </c>
      <c r="K167" s="29">
        <v>1</v>
      </c>
      <c r="L167" s="27" t="s">
        <v>938</v>
      </c>
      <c r="M167" s="25" t="s">
        <v>915</v>
      </c>
      <c r="N167" s="25">
        <f>0.75*100</f>
        <v>75</v>
      </c>
      <c r="O167" s="25" t="s">
        <v>358</v>
      </c>
      <c r="P167" s="22"/>
      <c r="Q167" s="44"/>
      <c r="R167" s="44"/>
      <c r="S167" s="44"/>
      <c r="T167" s="25"/>
      <c r="U167" s="25"/>
      <c r="V167" s="25"/>
      <c r="W167" s="25"/>
      <c r="X167" s="22"/>
      <c r="Y167" s="44"/>
      <c r="Z167" s="44"/>
      <c r="AA167" s="44"/>
      <c r="AB167" s="25"/>
      <c r="AC167" s="25"/>
      <c r="AD167" s="25"/>
      <c r="AE167" s="25"/>
    </row>
    <row r="168" spans="1:31" s="59" customFormat="1">
      <c r="A168" s="47" t="s">
        <v>847</v>
      </c>
      <c r="B168" s="47" t="s">
        <v>836</v>
      </c>
      <c r="C168" s="48">
        <v>44334</v>
      </c>
      <c r="D168" s="64">
        <f t="shared" si="14"/>
        <v>21</v>
      </c>
      <c r="E168" s="47" t="s">
        <v>121</v>
      </c>
      <c r="F168" s="18" t="s">
        <v>89</v>
      </c>
      <c r="G168" s="18" t="s">
        <v>112</v>
      </c>
      <c r="H168" s="27" t="s">
        <v>939</v>
      </c>
      <c r="I168" s="24">
        <f>0.75/1.5</f>
        <v>0.5</v>
      </c>
      <c r="J168" s="20" t="str">
        <f>VLOOKUP(G168,MD!M$2:O$93,3,FALSE)</f>
        <v>Dose hom.</v>
      </c>
      <c r="K168" s="29">
        <v>1</v>
      </c>
      <c r="L168" s="27" t="s">
        <v>941</v>
      </c>
      <c r="M168" s="25" t="s">
        <v>940</v>
      </c>
      <c r="N168" s="25">
        <f>0.75*50</f>
        <v>37.5</v>
      </c>
      <c r="O168" s="25" t="s">
        <v>358</v>
      </c>
      <c r="P168" s="22"/>
      <c r="Q168" s="44"/>
      <c r="R168" s="44"/>
      <c r="S168" s="44"/>
      <c r="T168" s="25"/>
      <c r="U168" s="25"/>
      <c r="V168" s="25"/>
      <c r="W168" s="25"/>
      <c r="X168" s="22"/>
      <c r="Y168" s="44"/>
      <c r="Z168" s="44"/>
      <c r="AA168" s="44"/>
      <c r="AB168" s="25"/>
      <c r="AC168" s="25"/>
      <c r="AD168" s="25"/>
      <c r="AE168" s="25"/>
    </row>
    <row r="169" spans="1:31" s="59" customFormat="1">
      <c r="A169" s="47" t="s">
        <v>847</v>
      </c>
      <c r="B169" s="47" t="s">
        <v>836</v>
      </c>
      <c r="C169" s="48">
        <v>44353</v>
      </c>
      <c r="D169" s="64">
        <f t="shared" ref="D169:D171" si="15">WEEKNUM(C169)</f>
        <v>24</v>
      </c>
      <c r="E169" s="47" t="s">
        <v>121</v>
      </c>
      <c r="F169" s="18" t="s">
        <v>86</v>
      </c>
      <c r="G169" s="18" t="s">
        <v>64</v>
      </c>
      <c r="H169" s="27"/>
      <c r="I169" s="24">
        <v>1</v>
      </c>
      <c r="J169" s="20" t="str">
        <f>VLOOKUP(G169,MD!M$2:O$93,3,FALSE)</f>
        <v>ha</v>
      </c>
      <c r="K169" s="29">
        <v>1</v>
      </c>
      <c r="L169" s="27"/>
      <c r="M169" s="25"/>
      <c r="N169" s="25"/>
      <c r="O169" s="25"/>
      <c r="P169" s="22"/>
      <c r="Q169" s="44"/>
      <c r="R169" s="44"/>
      <c r="S169" s="44"/>
      <c r="T169" s="25"/>
      <c r="U169" s="25"/>
      <c r="V169" s="25"/>
      <c r="W169" s="25"/>
      <c r="X169" s="22"/>
      <c r="Y169" s="44"/>
      <c r="Z169" s="44"/>
      <c r="AA169" s="44"/>
      <c r="AB169" s="25"/>
      <c r="AC169" s="25"/>
      <c r="AD169" s="25"/>
      <c r="AE169" s="25"/>
    </row>
    <row r="170" spans="1:31" s="59" customFormat="1">
      <c r="A170" s="47" t="s">
        <v>847</v>
      </c>
      <c r="B170" s="47" t="s">
        <v>836</v>
      </c>
      <c r="C170" s="48">
        <v>44353</v>
      </c>
      <c r="D170" s="64">
        <f t="shared" si="15"/>
        <v>24</v>
      </c>
      <c r="E170" s="47" t="s">
        <v>121</v>
      </c>
      <c r="F170" s="18" t="s">
        <v>89</v>
      </c>
      <c r="G170" s="18" t="s">
        <v>112</v>
      </c>
      <c r="H170" s="27" t="s">
        <v>942</v>
      </c>
      <c r="I170" s="24">
        <f>0.5/1</f>
        <v>0.5</v>
      </c>
      <c r="J170" s="20" t="str">
        <f>VLOOKUP(G170,MD!M$2:O$93,3,FALSE)</f>
        <v>Dose hom.</v>
      </c>
      <c r="K170" s="29">
        <v>1</v>
      </c>
      <c r="L170" s="27" t="s">
        <v>944</v>
      </c>
      <c r="M170" s="25" t="s">
        <v>371</v>
      </c>
      <c r="N170" s="25">
        <f>0.5*80</f>
        <v>40</v>
      </c>
      <c r="O170" s="25" t="s">
        <v>358</v>
      </c>
      <c r="P170" s="22"/>
      <c r="Q170" s="44"/>
      <c r="R170" s="44"/>
      <c r="S170" s="44"/>
      <c r="T170" s="25"/>
      <c r="U170" s="25"/>
      <c r="V170" s="25"/>
      <c r="W170" s="25"/>
      <c r="X170" s="22"/>
      <c r="Y170" s="44"/>
      <c r="Z170" s="44"/>
      <c r="AA170" s="44"/>
      <c r="AB170" s="25"/>
      <c r="AC170" s="25"/>
      <c r="AD170" s="25"/>
      <c r="AE170" s="25"/>
    </row>
    <row r="171" spans="1:31" s="59" customFormat="1">
      <c r="A171" s="47" t="s">
        <v>847</v>
      </c>
      <c r="B171" s="47" t="s">
        <v>836</v>
      </c>
      <c r="C171" s="48">
        <v>44353</v>
      </c>
      <c r="D171" s="64">
        <f t="shared" si="15"/>
        <v>24</v>
      </c>
      <c r="E171" s="47" t="s">
        <v>121</v>
      </c>
      <c r="F171" s="18" t="s">
        <v>89</v>
      </c>
      <c r="G171" s="18" t="s">
        <v>112</v>
      </c>
      <c r="H171" s="27" t="s">
        <v>943</v>
      </c>
      <c r="I171" s="24">
        <f>0.5/1</f>
        <v>0.5</v>
      </c>
      <c r="J171" s="20" t="str">
        <f>VLOOKUP(G171,MD!M$2:O$93,3,FALSE)</f>
        <v>Dose hom.</v>
      </c>
      <c r="K171" s="29">
        <v>1</v>
      </c>
      <c r="L171" s="27" t="s">
        <v>945</v>
      </c>
      <c r="M171" s="25" t="s">
        <v>367</v>
      </c>
      <c r="N171" s="25">
        <f>0.5*160</f>
        <v>80</v>
      </c>
      <c r="O171" s="25" t="s">
        <v>358</v>
      </c>
      <c r="P171" s="22"/>
      <c r="Q171" s="44"/>
      <c r="R171" s="44"/>
      <c r="S171" s="44"/>
      <c r="T171" s="25"/>
      <c r="U171" s="25"/>
      <c r="V171" s="25"/>
      <c r="W171" s="25"/>
      <c r="X171" s="22"/>
      <c r="Y171" s="44"/>
      <c r="Z171" s="44"/>
      <c r="AA171" s="44"/>
      <c r="AB171" s="25"/>
      <c r="AC171" s="25"/>
      <c r="AD171" s="25"/>
      <c r="AE171" s="25"/>
    </row>
    <row r="172" spans="1:31">
      <c r="A172" s="47" t="s">
        <v>121</v>
      </c>
      <c r="B172" s="47" t="s">
        <v>836</v>
      </c>
      <c r="C172" s="48">
        <v>44368</v>
      </c>
      <c r="D172" s="64">
        <f t="shared" si="12"/>
        <v>26</v>
      </c>
      <c r="E172" s="47" t="s">
        <v>121</v>
      </c>
      <c r="F172" s="18" t="s">
        <v>86</v>
      </c>
      <c r="H172" s="27" t="s">
        <v>946</v>
      </c>
      <c r="I172" s="24">
        <v>68</v>
      </c>
      <c r="J172" s="20" t="s">
        <v>926</v>
      </c>
      <c r="K172" s="29">
        <v>1</v>
      </c>
      <c r="P172" s="22"/>
      <c r="X172" s="22"/>
    </row>
    <row r="173" spans="1:31" s="59" customFormat="1">
      <c r="A173" s="47" t="s">
        <v>121</v>
      </c>
      <c r="B173" s="47" t="s">
        <v>836</v>
      </c>
      <c r="C173" s="48">
        <v>44408</v>
      </c>
      <c r="D173" s="64">
        <f t="shared" si="12"/>
        <v>31</v>
      </c>
      <c r="E173" s="47" t="s">
        <v>121</v>
      </c>
      <c r="F173" s="18" t="s">
        <v>86</v>
      </c>
      <c r="G173" s="18" t="s">
        <v>55</v>
      </c>
      <c r="H173" s="27"/>
      <c r="I173" s="24">
        <v>1</v>
      </c>
      <c r="J173" s="20" t="str">
        <f>VLOOKUP(G173,MD!M$2:O$93,3,FALSE)</f>
        <v>ha</v>
      </c>
      <c r="K173" s="29">
        <v>1</v>
      </c>
      <c r="L173" s="27"/>
      <c r="M173" s="25"/>
      <c r="N173" s="25"/>
      <c r="O173" s="25"/>
      <c r="P173" s="22"/>
      <c r="Q173" s="44"/>
      <c r="R173" s="44"/>
      <c r="S173" s="44"/>
      <c r="T173" s="25"/>
      <c r="U173" s="25"/>
      <c r="V173" s="25"/>
      <c r="W173" s="25"/>
      <c r="X173" s="22"/>
      <c r="Y173" s="44"/>
      <c r="Z173" s="44"/>
      <c r="AA173" s="44"/>
      <c r="AB173" s="25"/>
      <c r="AC173" s="25"/>
      <c r="AD173" s="25"/>
      <c r="AE173" s="25"/>
    </row>
    <row r="174" spans="1:31" s="59" customFormat="1">
      <c r="A174" s="47" t="s">
        <v>121</v>
      </c>
      <c r="B174" s="47" t="s">
        <v>836</v>
      </c>
      <c r="C174" s="48">
        <v>44408</v>
      </c>
      <c r="D174" s="64">
        <f t="shared" si="12"/>
        <v>31</v>
      </c>
      <c r="E174" s="47" t="s">
        <v>121</v>
      </c>
      <c r="F174" s="18" t="s">
        <v>2</v>
      </c>
      <c r="G174" s="18" t="s">
        <v>115</v>
      </c>
      <c r="H174" s="27" t="s">
        <v>285</v>
      </c>
      <c r="I174" s="24">
        <v>116</v>
      </c>
      <c r="J174" s="20" t="str">
        <f>VLOOKUP(G174,MD!M$2:O$93,3,FALSE)</f>
        <v>Qtx/ha</v>
      </c>
      <c r="K174" s="29">
        <v>1</v>
      </c>
      <c r="L174" s="27" t="s">
        <v>976</v>
      </c>
      <c r="M174" s="25"/>
      <c r="N174" s="25"/>
      <c r="O174" s="25"/>
      <c r="P174" s="22"/>
      <c r="Q174" s="44"/>
      <c r="R174" s="44"/>
      <c r="S174" s="44"/>
      <c r="T174" s="25"/>
      <c r="U174" s="25"/>
      <c r="V174" s="25"/>
      <c r="W174" s="25"/>
      <c r="X174" s="22"/>
      <c r="Y174" s="44"/>
      <c r="Z174" s="44"/>
      <c r="AA174" s="44"/>
      <c r="AB174" s="25"/>
      <c r="AC174" s="25"/>
      <c r="AD174" s="25"/>
      <c r="AE174" s="25"/>
    </row>
    <row r="175" spans="1:31" s="59" customFormat="1">
      <c r="A175" s="47" t="s">
        <v>835</v>
      </c>
      <c r="B175" s="47" t="s">
        <v>986</v>
      </c>
      <c r="C175" s="48">
        <v>44412</v>
      </c>
      <c r="D175" s="64">
        <f t="shared" si="12"/>
        <v>32</v>
      </c>
      <c r="E175" s="47" t="s">
        <v>123</v>
      </c>
      <c r="F175" s="18" t="s">
        <v>84</v>
      </c>
      <c r="G175" s="18" t="s">
        <v>76</v>
      </c>
      <c r="H175" s="27"/>
      <c r="I175" s="24">
        <v>1</v>
      </c>
      <c r="J175" s="20" t="str">
        <f>VLOOKUP(G175,MD!M$2:O$93,3,FALSE)</f>
        <v>ha</v>
      </c>
      <c r="K175" s="29">
        <v>1</v>
      </c>
      <c r="L175" s="27" t="s">
        <v>987</v>
      </c>
      <c r="M175" s="25"/>
      <c r="N175" s="25"/>
      <c r="O175" s="25"/>
      <c r="P175" s="22"/>
      <c r="Q175" s="44"/>
      <c r="R175" s="44"/>
      <c r="S175" s="44"/>
      <c r="T175" s="25"/>
      <c r="U175" s="25"/>
      <c r="V175" s="25"/>
      <c r="W175" s="25"/>
      <c r="X175" s="22"/>
      <c r="Y175" s="44"/>
      <c r="Z175" s="44"/>
      <c r="AA175" s="44"/>
      <c r="AB175" s="25"/>
      <c r="AC175" s="25"/>
      <c r="AD175" s="25"/>
      <c r="AE175" s="25"/>
    </row>
    <row r="176" spans="1:31">
      <c r="A176" s="47" t="s">
        <v>835</v>
      </c>
      <c r="B176" s="47" t="s">
        <v>986</v>
      </c>
      <c r="C176" s="48">
        <v>44412</v>
      </c>
      <c r="D176" s="64">
        <f t="shared" si="12"/>
        <v>32</v>
      </c>
      <c r="E176" s="47" t="s">
        <v>123</v>
      </c>
      <c r="F176" s="18" t="s">
        <v>87</v>
      </c>
      <c r="G176" s="18" t="s">
        <v>94</v>
      </c>
      <c r="H176" s="27" t="s">
        <v>988</v>
      </c>
      <c r="I176" s="24">
        <v>7</v>
      </c>
      <c r="J176" s="95" t="s">
        <v>106</v>
      </c>
      <c r="K176" s="29">
        <v>1</v>
      </c>
      <c r="P176" s="22"/>
      <c r="X176" s="22"/>
    </row>
    <row r="177" spans="1:31">
      <c r="A177" s="47" t="s">
        <v>835</v>
      </c>
      <c r="B177" s="47" t="s">
        <v>986</v>
      </c>
      <c r="C177" s="48">
        <v>44412</v>
      </c>
      <c r="D177" s="64">
        <f t="shared" si="12"/>
        <v>32</v>
      </c>
      <c r="E177" s="47" t="s">
        <v>123</v>
      </c>
      <c r="F177" s="18" t="s">
        <v>87</v>
      </c>
      <c r="G177" s="18" t="s">
        <v>94</v>
      </c>
      <c r="H177" s="27" t="s">
        <v>989</v>
      </c>
      <c r="I177" s="24">
        <v>7</v>
      </c>
      <c r="J177" s="95" t="s">
        <v>106</v>
      </c>
      <c r="K177" s="29">
        <v>1</v>
      </c>
      <c r="P177" s="22"/>
      <c r="X177" s="22"/>
    </row>
    <row r="178" spans="1:31">
      <c r="A178" s="47" t="s">
        <v>835</v>
      </c>
      <c r="B178" s="47" t="s">
        <v>986</v>
      </c>
      <c r="C178" s="48">
        <v>44412</v>
      </c>
      <c r="D178" s="64">
        <f t="shared" si="12"/>
        <v>32</v>
      </c>
      <c r="E178" s="47" t="s">
        <v>123</v>
      </c>
      <c r="F178" s="18" t="s">
        <v>87</v>
      </c>
      <c r="G178" s="18" t="s">
        <v>94</v>
      </c>
      <c r="H178" s="27" t="s">
        <v>274</v>
      </c>
      <c r="I178" s="24">
        <v>2</v>
      </c>
      <c r="J178" s="95" t="s">
        <v>106</v>
      </c>
      <c r="K178" s="29">
        <v>1</v>
      </c>
      <c r="P178" s="22"/>
      <c r="X178" s="22"/>
    </row>
    <row r="179" spans="1:31">
      <c r="A179" s="47" t="s">
        <v>835</v>
      </c>
      <c r="B179" s="47" t="s">
        <v>986</v>
      </c>
      <c r="C179" s="48">
        <v>44412</v>
      </c>
      <c r="D179" s="64">
        <f t="shared" si="12"/>
        <v>32</v>
      </c>
      <c r="E179" s="47" t="s">
        <v>123</v>
      </c>
      <c r="F179" s="18" t="s">
        <v>87</v>
      </c>
      <c r="G179" s="18" t="s">
        <v>94</v>
      </c>
      <c r="H179" s="27" t="s">
        <v>990</v>
      </c>
      <c r="I179" s="24">
        <v>3</v>
      </c>
      <c r="J179" s="95" t="s">
        <v>106</v>
      </c>
      <c r="K179" s="29">
        <v>1</v>
      </c>
      <c r="P179" s="22"/>
      <c r="X179" s="22"/>
    </row>
    <row r="180" spans="1:31" s="59" customFormat="1">
      <c r="A180" s="47" t="s">
        <v>835</v>
      </c>
      <c r="B180" s="47" t="s">
        <v>986</v>
      </c>
      <c r="C180" s="48">
        <v>44413</v>
      </c>
      <c r="D180" s="64">
        <f t="shared" ref="D180:D181" si="16">WEEKNUM(C180)</f>
        <v>32</v>
      </c>
      <c r="E180" s="47" t="s">
        <v>993</v>
      </c>
      <c r="F180" s="18" t="s">
        <v>84</v>
      </c>
      <c r="G180" s="18" t="s">
        <v>644</v>
      </c>
      <c r="H180" s="27"/>
      <c r="I180" s="24">
        <v>1</v>
      </c>
      <c r="J180" s="20" t="str">
        <f>VLOOKUP(G180,MD!M$2:O$93,3,FALSE)</f>
        <v>ha</v>
      </c>
      <c r="K180" s="29">
        <v>1</v>
      </c>
      <c r="L180" s="27" t="s">
        <v>991</v>
      </c>
      <c r="M180" s="25"/>
      <c r="N180" s="25"/>
      <c r="O180" s="25"/>
      <c r="P180" s="22"/>
      <c r="Q180" s="44"/>
      <c r="R180" s="44"/>
      <c r="S180" s="44"/>
      <c r="T180" s="25"/>
      <c r="U180" s="25"/>
      <c r="V180" s="25"/>
      <c r="W180" s="25"/>
      <c r="X180" s="22"/>
      <c r="Y180" s="44"/>
      <c r="Z180" s="44"/>
      <c r="AA180" s="44"/>
      <c r="AB180" s="25"/>
      <c r="AC180" s="25"/>
      <c r="AD180" s="25"/>
      <c r="AE180" s="25"/>
    </row>
    <row r="181" spans="1:31" s="59" customFormat="1">
      <c r="A181" s="47" t="s">
        <v>835</v>
      </c>
      <c r="B181" s="47" t="s">
        <v>986</v>
      </c>
      <c r="C181" s="48">
        <v>44413</v>
      </c>
      <c r="D181" s="64">
        <f t="shared" si="16"/>
        <v>32</v>
      </c>
      <c r="E181" s="47" t="s">
        <v>993</v>
      </c>
      <c r="F181" s="18" t="s">
        <v>87</v>
      </c>
      <c r="G181" s="18" t="s">
        <v>94</v>
      </c>
      <c r="H181" s="27" t="s">
        <v>664</v>
      </c>
      <c r="I181" s="24">
        <v>7</v>
      </c>
      <c r="J181" s="95" t="s">
        <v>106</v>
      </c>
      <c r="K181" s="29">
        <v>1</v>
      </c>
      <c r="L181" s="27"/>
      <c r="M181" s="25"/>
      <c r="N181" s="25"/>
      <c r="O181" s="25"/>
      <c r="P181" s="22"/>
      <c r="Q181" s="44"/>
      <c r="R181" s="44"/>
      <c r="S181" s="44"/>
      <c r="T181" s="25"/>
      <c r="U181" s="25"/>
      <c r="V181" s="25"/>
      <c r="W181" s="25"/>
      <c r="X181" s="22"/>
      <c r="Y181" s="44"/>
      <c r="Z181" s="44"/>
      <c r="AA181" s="44"/>
      <c r="AB181" s="25"/>
      <c r="AC181" s="25"/>
      <c r="AD181" s="25"/>
      <c r="AE181" s="25"/>
    </row>
    <row r="182" spans="1:31" s="59" customFormat="1">
      <c r="A182" s="47" t="s">
        <v>835</v>
      </c>
      <c r="B182" s="47" t="s">
        <v>986</v>
      </c>
      <c r="C182" s="48">
        <v>44459</v>
      </c>
      <c r="D182" s="64">
        <f t="shared" ref="D182:D185" si="17">WEEKNUM(C182)</f>
        <v>39</v>
      </c>
      <c r="E182" s="47" t="s">
        <v>993</v>
      </c>
      <c r="F182" s="18" t="s">
        <v>84</v>
      </c>
      <c r="G182" s="18" t="s">
        <v>221</v>
      </c>
      <c r="H182" s="27"/>
      <c r="I182" s="24">
        <v>1</v>
      </c>
      <c r="J182" s="20" t="str">
        <f>VLOOKUP(G182,MD!M$2:O$93,3,FALSE)</f>
        <v>ha</v>
      </c>
      <c r="K182" s="29">
        <v>1</v>
      </c>
      <c r="L182" s="27"/>
      <c r="M182" s="25"/>
      <c r="N182" s="25"/>
      <c r="O182" s="25"/>
      <c r="P182" s="22"/>
      <c r="Q182" s="44"/>
      <c r="R182" s="44"/>
      <c r="S182" s="44"/>
      <c r="T182" s="25"/>
      <c r="U182" s="25"/>
      <c r="V182" s="25"/>
      <c r="W182" s="25"/>
      <c r="X182" s="22"/>
      <c r="Y182" s="44"/>
      <c r="Z182" s="44"/>
      <c r="AA182" s="44"/>
      <c r="AB182" s="25"/>
      <c r="AC182" s="25"/>
      <c r="AD182" s="25"/>
      <c r="AE182" s="25"/>
    </row>
    <row r="183" spans="1:31" s="59" customFormat="1">
      <c r="A183" s="47" t="s">
        <v>835</v>
      </c>
      <c r="B183" s="47" t="s">
        <v>986</v>
      </c>
      <c r="C183" s="48">
        <v>44459</v>
      </c>
      <c r="D183" s="64">
        <f t="shared" si="17"/>
        <v>39</v>
      </c>
      <c r="E183" s="47" t="s">
        <v>993</v>
      </c>
      <c r="F183" s="18" t="s">
        <v>87</v>
      </c>
      <c r="G183" s="18" t="s">
        <v>94</v>
      </c>
      <c r="H183" s="27" t="s">
        <v>272</v>
      </c>
      <c r="I183" s="24">
        <v>7</v>
      </c>
      <c r="J183" s="95" t="s">
        <v>106</v>
      </c>
      <c r="K183" s="29">
        <v>1</v>
      </c>
      <c r="L183" s="27"/>
      <c r="M183" s="25"/>
      <c r="N183" s="25"/>
      <c r="O183" s="25"/>
      <c r="P183" s="22"/>
      <c r="Q183" s="44"/>
      <c r="R183" s="44"/>
      <c r="S183" s="44"/>
      <c r="T183" s="25"/>
      <c r="U183" s="25"/>
      <c r="V183" s="25"/>
      <c r="W183" s="25"/>
      <c r="X183" s="22"/>
      <c r="Y183" s="44"/>
      <c r="Z183" s="44"/>
      <c r="AA183" s="44"/>
      <c r="AB183" s="25"/>
      <c r="AC183" s="25"/>
      <c r="AD183" s="25"/>
      <c r="AE183" s="25"/>
    </row>
    <row r="184" spans="1:31">
      <c r="A184" s="47" t="s">
        <v>835</v>
      </c>
      <c r="B184" s="47" t="s">
        <v>986</v>
      </c>
      <c r="C184" s="48">
        <v>44522</v>
      </c>
      <c r="D184" s="64">
        <f t="shared" si="17"/>
        <v>48</v>
      </c>
      <c r="E184" s="47" t="s">
        <v>993</v>
      </c>
      <c r="F184" s="18" t="s">
        <v>83</v>
      </c>
      <c r="G184" s="18" t="s">
        <v>37</v>
      </c>
      <c r="I184" s="24">
        <v>1</v>
      </c>
      <c r="J184" s="20" t="str">
        <f>VLOOKUP(G184,MD!M$2:O$93,3,FALSE)</f>
        <v>ha</v>
      </c>
      <c r="K184" s="29">
        <v>1</v>
      </c>
      <c r="P184" s="22"/>
      <c r="X184" s="22"/>
    </row>
    <row r="185" spans="1:31">
      <c r="A185" s="47" t="s">
        <v>835</v>
      </c>
      <c r="B185" s="47" t="s">
        <v>986</v>
      </c>
      <c r="C185" s="48">
        <v>44672</v>
      </c>
      <c r="D185" s="64">
        <f t="shared" si="17"/>
        <v>17</v>
      </c>
      <c r="E185" s="47" t="s">
        <v>993</v>
      </c>
      <c r="F185" s="18" t="s">
        <v>86</v>
      </c>
      <c r="G185" s="18" t="s">
        <v>64</v>
      </c>
      <c r="I185" s="24">
        <v>1</v>
      </c>
      <c r="J185" s="20" t="str">
        <f>VLOOKUP(G185,MD!M$2:O$93,3,FALSE)</f>
        <v>ha</v>
      </c>
      <c r="K185" s="29">
        <v>1</v>
      </c>
      <c r="P185" s="22"/>
      <c r="X185" s="22"/>
    </row>
    <row r="186" spans="1:31">
      <c r="A186" s="47" t="s">
        <v>835</v>
      </c>
      <c r="B186" s="47" t="s">
        <v>986</v>
      </c>
      <c r="C186" s="48">
        <v>44672</v>
      </c>
      <c r="D186" s="64">
        <f t="shared" ref="D186:D194" si="18">WEEKNUM(C186)</f>
        <v>17</v>
      </c>
      <c r="E186" s="47" t="s">
        <v>993</v>
      </c>
      <c r="F186" s="18" t="s">
        <v>89</v>
      </c>
      <c r="G186" s="18" t="s">
        <v>113</v>
      </c>
      <c r="H186" s="27" t="s">
        <v>998</v>
      </c>
      <c r="I186" s="24">
        <f>2.2/5</f>
        <v>0.44000000000000006</v>
      </c>
      <c r="J186" s="20" t="str">
        <f>VLOOKUP(G186,MD!M$2:O$93,3,FALSE)</f>
        <v>Dose hom.</v>
      </c>
      <c r="K186" s="29">
        <v>1</v>
      </c>
      <c r="L186" s="27" t="s">
        <v>995</v>
      </c>
      <c r="M186" s="25" t="s">
        <v>996</v>
      </c>
      <c r="N186" s="25" t="s">
        <v>997</v>
      </c>
      <c r="P186" s="22"/>
      <c r="X186" s="22"/>
    </row>
    <row r="187" spans="1:31">
      <c r="A187" s="47" t="s">
        <v>835</v>
      </c>
      <c r="B187" s="47" t="s">
        <v>986</v>
      </c>
      <c r="C187" s="48">
        <v>44676</v>
      </c>
      <c r="D187" s="64">
        <f t="shared" si="18"/>
        <v>18</v>
      </c>
      <c r="E187" s="47" t="s">
        <v>1017</v>
      </c>
      <c r="F187" s="18" t="s">
        <v>84</v>
      </c>
      <c r="G187" s="18" t="s">
        <v>271</v>
      </c>
      <c r="H187" s="27" t="s">
        <v>1000</v>
      </c>
      <c r="I187" s="24">
        <v>1</v>
      </c>
      <c r="J187" s="20" t="str">
        <f>VLOOKUP(G187,MD!M$2:O$93,3,FALSE)</f>
        <v>ha</v>
      </c>
      <c r="K187" s="29">
        <v>1</v>
      </c>
      <c r="P187" s="22"/>
      <c r="X187" s="22"/>
    </row>
    <row r="188" spans="1:31">
      <c r="A188" s="47" t="s">
        <v>835</v>
      </c>
      <c r="B188" s="47" t="s">
        <v>986</v>
      </c>
      <c r="C188" s="48">
        <v>44676</v>
      </c>
      <c r="D188" s="64">
        <f t="shared" si="18"/>
        <v>18</v>
      </c>
      <c r="E188" s="47" t="s">
        <v>1017</v>
      </c>
      <c r="F188" s="18" t="s">
        <v>87</v>
      </c>
      <c r="G188" s="18" t="s">
        <v>93</v>
      </c>
      <c r="H188" s="27" t="s">
        <v>999</v>
      </c>
      <c r="I188" s="24">
        <f>106000/10000</f>
        <v>10.6</v>
      </c>
      <c r="J188" s="20" t="str">
        <f>VLOOKUP(G188,MD!M$2:O$93,3,FALSE)</f>
        <v>gr./m2</v>
      </c>
      <c r="K188" s="29">
        <v>1</v>
      </c>
      <c r="L188" s="27" t="s">
        <v>1023</v>
      </c>
      <c r="P188" s="22"/>
      <c r="X188" s="22"/>
    </row>
    <row r="189" spans="1:31">
      <c r="A189" s="47" t="s">
        <v>835</v>
      </c>
      <c r="B189" s="47" t="s">
        <v>986</v>
      </c>
      <c r="C189" s="48">
        <v>44676</v>
      </c>
      <c r="D189" s="64">
        <f t="shared" si="18"/>
        <v>18</v>
      </c>
      <c r="E189" s="47" t="s">
        <v>1017</v>
      </c>
      <c r="F189" s="18" t="s">
        <v>89</v>
      </c>
      <c r="G189" s="18" t="s">
        <v>133</v>
      </c>
      <c r="H189" s="27" t="s">
        <v>1002</v>
      </c>
      <c r="I189" s="24">
        <v>1</v>
      </c>
      <c r="J189" s="20" t="str">
        <f>VLOOKUP(G189,MD!M$2:O$93,3,FALSE)</f>
        <v>Dose hom.</v>
      </c>
      <c r="K189" s="29">
        <v>1</v>
      </c>
      <c r="L189" s="27" t="s">
        <v>1008</v>
      </c>
      <c r="M189" s="25" t="s">
        <v>1003</v>
      </c>
      <c r="N189" s="25" t="s">
        <v>1005</v>
      </c>
      <c r="P189" s="22"/>
      <c r="X189" s="22"/>
    </row>
    <row r="190" spans="1:31">
      <c r="A190" s="47" t="s">
        <v>835</v>
      </c>
      <c r="B190" s="47" t="s">
        <v>986</v>
      </c>
      <c r="C190" s="48">
        <v>44676</v>
      </c>
      <c r="D190" s="64">
        <f t="shared" si="18"/>
        <v>18</v>
      </c>
      <c r="E190" s="47" t="s">
        <v>1017</v>
      </c>
      <c r="F190" s="18" t="s">
        <v>89</v>
      </c>
      <c r="G190" s="18" t="s">
        <v>133</v>
      </c>
      <c r="H190" s="27" t="s">
        <v>1001</v>
      </c>
      <c r="I190" s="24">
        <v>1</v>
      </c>
      <c r="J190" s="20" t="str">
        <f>VLOOKUP(G190,MD!M$2:O$93,3,FALSE)</f>
        <v>Dose hom.</v>
      </c>
      <c r="K190" s="29">
        <v>1</v>
      </c>
      <c r="L190" s="27" t="s">
        <v>1009</v>
      </c>
      <c r="M190" s="25" t="s">
        <v>367</v>
      </c>
      <c r="N190" s="25" t="s">
        <v>1006</v>
      </c>
      <c r="P190" s="22"/>
      <c r="X190" s="22"/>
    </row>
    <row r="191" spans="1:31">
      <c r="A191" s="47" t="s">
        <v>835</v>
      </c>
      <c r="B191" s="47" t="s">
        <v>986</v>
      </c>
      <c r="C191" s="48">
        <v>44676</v>
      </c>
      <c r="D191" s="64">
        <f t="shared" si="18"/>
        <v>18</v>
      </c>
      <c r="E191" s="47" t="s">
        <v>1017</v>
      </c>
      <c r="F191" s="18" t="s">
        <v>89</v>
      </c>
      <c r="G191" s="18" t="s">
        <v>133</v>
      </c>
      <c r="H191" s="109" t="s">
        <v>1004</v>
      </c>
      <c r="I191" s="24">
        <v>1</v>
      </c>
      <c r="J191" s="20" t="str">
        <f>VLOOKUP(G191,MD!M$2:O$93,3,FALSE)</f>
        <v>Dose hom.</v>
      </c>
      <c r="K191" s="29">
        <v>1</v>
      </c>
      <c r="P191" s="22"/>
      <c r="X191" s="22"/>
    </row>
    <row r="192" spans="1:31">
      <c r="A192" s="47" t="s">
        <v>835</v>
      </c>
      <c r="B192" s="47" t="s">
        <v>986</v>
      </c>
      <c r="C192" s="48">
        <v>44676</v>
      </c>
      <c r="D192" s="64">
        <f t="shared" si="18"/>
        <v>18</v>
      </c>
      <c r="E192" s="47" t="s">
        <v>1017</v>
      </c>
      <c r="F192" s="18" t="s">
        <v>89</v>
      </c>
      <c r="G192" s="18" t="s">
        <v>133</v>
      </c>
      <c r="H192" s="27" t="s">
        <v>1007</v>
      </c>
      <c r="I192" s="24">
        <v>1</v>
      </c>
      <c r="J192" s="20" t="str">
        <f>VLOOKUP(G192,MD!M$2:O$93,3,FALSE)</f>
        <v>Dose hom.</v>
      </c>
      <c r="K192" s="29">
        <v>1</v>
      </c>
      <c r="L192" s="27" t="s">
        <v>1012</v>
      </c>
      <c r="M192" s="25" t="s">
        <v>1010</v>
      </c>
      <c r="N192" s="25" t="s">
        <v>1011</v>
      </c>
      <c r="P192" s="22"/>
      <c r="X192" s="22"/>
    </row>
    <row r="193" spans="1:24">
      <c r="A193" s="47" t="s">
        <v>835</v>
      </c>
      <c r="B193" s="47" t="s">
        <v>986</v>
      </c>
      <c r="C193" s="48">
        <v>44676</v>
      </c>
      <c r="D193" s="64">
        <f t="shared" si="18"/>
        <v>18</v>
      </c>
      <c r="E193" s="47" t="s">
        <v>1017</v>
      </c>
      <c r="F193" s="18" t="s">
        <v>89</v>
      </c>
      <c r="G193" s="18" t="s">
        <v>133</v>
      </c>
      <c r="H193" s="27" t="s">
        <v>1013</v>
      </c>
      <c r="I193" s="24">
        <v>1</v>
      </c>
      <c r="J193" s="20" t="str">
        <f>VLOOKUP(G193,MD!M$2:O$93,3,FALSE)</f>
        <v>Dose hom.</v>
      </c>
      <c r="K193" s="29">
        <v>1</v>
      </c>
      <c r="L193" s="27" t="s">
        <v>1014</v>
      </c>
      <c r="M193" s="25" t="s">
        <v>1015</v>
      </c>
      <c r="N193" s="25" t="s">
        <v>1016</v>
      </c>
      <c r="P193" s="22"/>
      <c r="X193" s="22"/>
    </row>
    <row r="194" spans="1:24">
      <c r="A194" s="47" t="s">
        <v>835</v>
      </c>
      <c r="B194" s="47" t="s">
        <v>986</v>
      </c>
      <c r="C194" s="48">
        <v>44676</v>
      </c>
      <c r="D194" s="64">
        <f t="shared" si="18"/>
        <v>18</v>
      </c>
      <c r="E194" s="47" t="s">
        <v>835</v>
      </c>
      <c r="F194" s="18" t="s">
        <v>89</v>
      </c>
      <c r="G194" s="18" t="s">
        <v>111</v>
      </c>
      <c r="H194" s="27" t="s">
        <v>1018</v>
      </c>
      <c r="I194" s="24">
        <f>12/15</f>
        <v>0.8</v>
      </c>
      <c r="J194" s="20" t="str">
        <f>VLOOKUP(G194,MD!M$2:O$93,3,FALSE)</f>
        <v>Dose hom.</v>
      </c>
      <c r="K194" s="29">
        <v>1</v>
      </c>
      <c r="L194" s="27" t="s">
        <v>1019</v>
      </c>
      <c r="M194" s="25" t="s">
        <v>1020</v>
      </c>
      <c r="N194" s="25" t="s">
        <v>1021</v>
      </c>
      <c r="P194" s="22"/>
      <c r="X194" s="22"/>
    </row>
    <row r="195" spans="1:24">
      <c r="A195" s="47"/>
      <c r="B195" s="47"/>
      <c r="C195" s="48"/>
      <c r="D195" s="64"/>
      <c r="J195" s="20" t="e">
        <f>VLOOKUP(G195,MD!M$2:O$93,3,FALSE)</f>
        <v>#N/A</v>
      </c>
      <c r="K195" s="29">
        <v>1</v>
      </c>
      <c r="P195" s="22"/>
      <c r="X195" s="22"/>
    </row>
    <row r="196" spans="1:24">
      <c r="A196" s="47"/>
      <c r="B196" s="47"/>
      <c r="C196" s="48"/>
      <c r="D196" s="64"/>
      <c r="J196" s="20" t="e">
        <f>VLOOKUP(G196,MD!M$2:O$93,3,FALSE)</f>
        <v>#N/A</v>
      </c>
      <c r="K196" s="29">
        <v>1</v>
      </c>
      <c r="P196" s="22"/>
      <c r="X196" s="22"/>
    </row>
    <row r="197" spans="1:24">
      <c r="A197" s="47"/>
      <c r="B197" s="47"/>
      <c r="C197" s="48"/>
      <c r="D197" s="64"/>
      <c r="J197" s="20" t="e">
        <f>VLOOKUP(G197,MD!M$2:O$93,3,FALSE)</f>
        <v>#N/A</v>
      </c>
      <c r="K197" s="29">
        <v>1</v>
      </c>
      <c r="P197" s="22"/>
      <c r="X197" s="22"/>
    </row>
    <row r="198" spans="1:24">
      <c r="A198" s="47"/>
      <c r="B198" s="47"/>
      <c r="C198" s="48"/>
      <c r="D198" s="64"/>
      <c r="J198" s="20" t="e">
        <f>VLOOKUP(G198,MD!M$2:O$93,3,FALSE)</f>
        <v>#N/A</v>
      </c>
      <c r="K198" s="29">
        <v>1</v>
      </c>
      <c r="P198" s="22"/>
      <c r="X198" s="22"/>
    </row>
    <row r="199" spans="1:24">
      <c r="A199" s="47"/>
      <c r="B199" s="47"/>
      <c r="C199" s="48"/>
      <c r="D199" s="64"/>
      <c r="J199" s="20" t="e">
        <f>VLOOKUP(G199,MD!M$2:O$93,3,FALSE)</f>
        <v>#N/A</v>
      </c>
      <c r="K199" s="29">
        <v>1</v>
      </c>
      <c r="P199" s="22"/>
      <c r="X199" s="22"/>
    </row>
    <row r="200" spans="1:24">
      <c r="A200" s="47"/>
      <c r="B200" s="47"/>
      <c r="C200" s="48"/>
      <c r="D200" s="64"/>
      <c r="J200" s="20" t="e">
        <f>VLOOKUP(G200,MD!M$2:O$93,3,FALSE)</f>
        <v>#N/A</v>
      </c>
      <c r="K200" s="29">
        <v>1</v>
      </c>
      <c r="P200" s="22"/>
      <c r="X200" s="22"/>
    </row>
    <row r="201" spans="1:24">
      <c r="A201" s="47"/>
      <c r="B201" s="47"/>
      <c r="C201" s="48"/>
      <c r="D201" s="64"/>
      <c r="J201" s="20" t="e">
        <f>VLOOKUP(G201,MD!M$2:O$93,3,FALSE)</f>
        <v>#N/A</v>
      </c>
      <c r="K201" s="29">
        <v>1</v>
      </c>
      <c r="P201" s="22"/>
      <c r="X201" s="22"/>
    </row>
    <row r="202" spans="1:24">
      <c r="A202" s="47"/>
      <c r="B202" s="47"/>
      <c r="C202" s="48"/>
      <c r="D202" s="64"/>
      <c r="J202" s="20" t="e">
        <f>VLOOKUP(G202,MD!M$2:O$93,3,FALSE)</f>
        <v>#N/A</v>
      </c>
      <c r="K202" s="29"/>
      <c r="P202" s="22"/>
      <c r="X202" s="22"/>
    </row>
    <row r="203" spans="1:24">
      <c r="A203" s="47"/>
      <c r="B203" s="47"/>
      <c r="C203" s="48"/>
      <c r="D203" s="64"/>
      <c r="J203" s="20" t="e">
        <f>VLOOKUP(G203,MD!M$2:O$93,3,FALSE)</f>
        <v>#N/A</v>
      </c>
      <c r="K203" s="29"/>
      <c r="P203" s="22"/>
      <c r="X203" s="22"/>
    </row>
    <row r="204" spans="1:24">
      <c r="A204" s="47"/>
      <c r="B204" s="47"/>
      <c r="C204" s="48"/>
      <c r="D204" s="64"/>
      <c r="J204" s="20" t="e">
        <f>VLOOKUP(G204,MD!M$2:O$93,3,FALSE)</f>
        <v>#N/A</v>
      </c>
      <c r="K204" s="29"/>
      <c r="P204" s="22"/>
      <c r="X204" s="22"/>
    </row>
    <row r="205" spans="1:24">
      <c r="A205" s="47"/>
      <c r="B205" s="47"/>
      <c r="C205" s="48"/>
      <c r="D205" s="64"/>
      <c r="J205" s="20" t="e">
        <f>VLOOKUP(G205,MD!M$2:O$93,3,FALSE)</f>
        <v>#N/A</v>
      </c>
      <c r="K205" s="29"/>
      <c r="P205" s="22"/>
      <c r="X205" s="22"/>
    </row>
    <row r="206" spans="1:24">
      <c r="A206" s="47"/>
      <c r="B206" s="47"/>
      <c r="C206" s="48"/>
      <c r="D206" s="64"/>
      <c r="J206" s="20" t="e">
        <f>VLOOKUP(G206,MD!M$2:O$93,3,FALSE)</f>
        <v>#N/A</v>
      </c>
      <c r="K206" s="29"/>
      <c r="P206" s="22"/>
      <c r="X206" s="22"/>
    </row>
    <row r="207" spans="1:24">
      <c r="A207" s="47"/>
      <c r="B207" s="47"/>
      <c r="C207" s="48"/>
      <c r="D207" s="64"/>
      <c r="J207" s="20" t="e">
        <f>VLOOKUP(G207,MD!M$2:O$93,3,FALSE)</f>
        <v>#N/A</v>
      </c>
      <c r="K207" s="29"/>
      <c r="P207" s="22"/>
      <c r="X207" s="22"/>
    </row>
    <row r="208" spans="1:24">
      <c r="A208" s="47"/>
      <c r="B208" s="47"/>
      <c r="C208" s="48"/>
      <c r="D208" s="64"/>
      <c r="J208" s="20" t="e">
        <f>VLOOKUP(G208,MD!M$2:O$93,3,FALSE)</f>
        <v>#N/A</v>
      </c>
      <c r="K208" s="29"/>
      <c r="P208" s="22"/>
      <c r="X208" s="22"/>
    </row>
    <row r="209" spans="1:24">
      <c r="A209" s="47"/>
      <c r="B209" s="47"/>
      <c r="C209" s="48"/>
      <c r="D209" s="64"/>
      <c r="J209" s="20" t="e">
        <f>VLOOKUP(G209,MD!M$2:O$93,3,FALSE)</f>
        <v>#N/A</v>
      </c>
      <c r="K209" s="29"/>
      <c r="P209" s="22"/>
      <c r="X209" s="22"/>
    </row>
    <row r="210" spans="1:24">
      <c r="A210" s="47"/>
      <c r="B210" s="47"/>
      <c r="C210" s="48"/>
      <c r="D210" s="64"/>
      <c r="J210" s="20" t="e">
        <f>VLOOKUP(G210,MD!M$2:O$93,3,FALSE)</f>
        <v>#N/A</v>
      </c>
      <c r="K210" s="29"/>
      <c r="P210" s="22"/>
      <c r="X210" s="22"/>
    </row>
    <row r="211" spans="1:24">
      <c r="A211" s="47"/>
      <c r="B211" s="47"/>
      <c r="C211" s="48"/>
      <c r="D211" s="64"/>
      <c r="J211" s="20" t="e">
        <f>VLOOKUP(G211,MD!M$2:O$93,3,FALSE)</f>
        <v>#N/A</v>
      </c>
      <c r="K211" s="29"/>
      <c r="P211" s="22"/>
      <c r="X211" s="22"/>
    </row>
    <row r="212" spans="1:24">
      <c r="A212" s="47"/>
      <c r="B212" s="47"/>
      <c r="C212" s="48"/>
      <c r="D212" s="64"/>
      <c r="J212" s="20" t="e">
        <f>VLOOKUP(G212,MD!M$2:O$93,3,FALSE)</f>
        <v>#N/A</v>
      </c>
      <c r="K212" s="29"/>
      <c r="P212" s="22"/>
      <c r="X212" s="22"/>
    </row>
    <row r="213" spans="1:24">
      <c r="J213" s="20" t="e">
        <f>VLOOKUP(G213,MD!M$2:O$93,3,FALSE)</f>
        <v>#N/A</v>
      </c>
      <c r="K213" s="29"/>
      <c r="P213" s="22"/>
      <c r="X213" s="22"/>
    </row>
    <row r="214" spans="1:24">
      <c r="J214" s="20" t="e">
        <f>VLOOKUP(G214,MD!M$2:O$93,3,FALSE)</f>
        <v>#N/A</v>
      </c>
      <c r="K214" s="29"/>
      <c r="P214" s="22"/>
      <c r="X214" s="22"/>
    </row>
    <row r="215" spans="1:24">
      <c r="J215" s="20" t="e">
        <f>VLOOKUP(G215,MD!M$2:O$93,3,FALSE)</f>
        <v>#N/A</v>
      </c>
      <c r="K215" s="29"/>
      <c r="P215" s="22"/>
      <c r="X215" s="22"/>
    </row>
    <row r="216" spans="1:24">
      <c r="J216" s="20" t="e">
        <f>VLOOKUP(G216,MD!M$2:O$93,3,FALSE)</f>
        <v>#N/A</v>
      </c>
      <c r="K216" s="29"/>
      <c r="P216" s="22"/>
      <c r="X216" s="22"/>
    </row>
    <row r="217" spans="1:24">
      <c r="J217" s="20" t="e">
        <f>VLOOKUP(G217,MD!M$2:O$93,3,FALSE)</f>
        <v>#N/A</v>
      </c>
      <c r="K217" s="29"/>
      <c r="P217" s="22"/>
      <c r="X217" s="22"/>
    </row>
    <row r="218" spans="1:24">
      <c r="J218" s="20" t="e">
        <f>VLOOKUP(G218,MD!M$2:O$93,3,FALSE)</f>
        <v>#N/A</v>
      </c>
      <c r="K218" s="29"/>
      <c r="P218" s="22"/>
      <c r="X218" s="22"/>
    </row>
    <row r="219" spans="1:24">
      <c r="J219" s="20" t="e">
        <f>VLOOKUP(G219,MD!M$2:O$93,3,FALSE)</f>
        <v>#N/A</v>
      </c>
      <c r="K219" s="29"/>
      <c r="P219" s="22"/>
      <c r="X219" s="22"/>
    </row>
    <row r="220" spans="1:24">
      <c r="J220" s="20" t="e">
        <f>VLOOKUP(G220,MD!M$2:O$93,3,FALSE)</f>
        <v>#N/A</v>
      </c>
      <c r="K220" s="29"/>
      <c r="P220" s="22"/>
      <c r="X220" s="22"/>
    </row>
    <row r="221" spans="1:24">
      <c r="J221" s="20" t="e">
        <f>VLOOKUP(G221,MD!M$2:O$93,3,FALSE)</f>
        <v>#N/A</v>
      </c>
      <c r="K221" s="29"/>
      <c r="P221" s="22"/>
      <c r="X221" s="22"/>
    </row>
    <row r="222" spans="1:24">
      <c r="J222" s="20" t="e">
        <f>VLOOKUP(G222,MD!M$2:O$93,3,FALSE)</f>
        <v>#N/A</v>
      </c>
      <c r="K222" s="29"/>
      <c r="P222" s="22"/>
      <c r="X222" s="22"/>
    </row>
    <row r="223" spans="1:24">
      <c r="J223" s="20" t="e">
        <f>VLOOKUP(G223,MD!M$2:O$93,3,FALSE)</f>
        <v>#N/A</v>
      </c>
      <c r="K223" s="29"/>
      <c r="P223" s="22"/>
      <c r="X223" s="22"/>
    </row>
    <row r="224" spans="1:24">
      <c r="J224" s="20" t="e">
        <f>VLOOKUP(G224,MD!M$2:O$93,3,FALSE)</f>
        <v>#N/A</v>
      </c>
      <c r="K224" s="29"/>
      <c r="P224" s="22"/>
      <c r="X224" s="22"/>
    </row>
    <row r="225" spans="10:24">
      <c r="J225" s="20" t="e">
        <f>VLOOKUP(G225,MD!M$2:O$93,3,FALSE)</f>
        <v>#N/A</v>
      </c>
      <c r="K225" s="29"/>
      <c r="P225" s="22"/>
      <c r="X225" s="22"/>
    </row>
    <row r="226" spans="10:24">
      <c r="J226" s="20" t="e">
        <f>VLOOKUP(G226,MD!M$2:O$93,3,FALSE)</f>
        <v>#N/A</v>
      </c>
      <c r="K226" s="29"/>
      <c r="P226" s="22"/>
      <c r="X226" s="22"/>
    </row>
    <row r="227" spans="10:24">
      <c r="J227" s="20" t="e">
        <f>VLOOKUP(G227,MD!M$2:O$93,3,FALSE)</f>
        <v>#N/A</v>
      </c>
      <c r="K227" s="29"/>
      <c r="P227" s="22"/>
      <c r="X227" s="22"/>
    </row>
    <row r="228" spans="10:24">
      <c r="J228" s="20" t="e">
        <f>VLOOKUP(G228,MD!M$2:O$93,3,FALSE)</f>
        <v>#N/A</v>
      </c>
      <c r="K228" s="29"/>
      <c r="P228" s="22"/>
      <c r="X228" s="22"/>
    </row>
    <row r="229" spans="10:24">
      <c r="J229" s="20" t="e">
        <f>VLOOKUP(G229,MD!M$2:O$93,3,FALSE)</f>
        <v>#N/A</v>
      </c>
      <c r="K229" s="29"/>
      <c r="P229" s="22"/>
      <c r="X229" s="22"/>
    </row>
    <row r="230" spans="10:24">
      <c r="J230" s="20" t="e">
        <f>VLOOKUP(G230,MD!M$2:O$93,3,FALSE)</f>
        <v>#N/A</v>
      </c>
      <c r="K230" s="29"/>
      <c r="P230" s="22"/>
      <c r="X230" s="22"/>
    </row>
    <row r="231" spans="10:24">
      <c r="J231" s="20" t="e">
        <f>VLOOKUP(G231,MD!M$2:O$93,3,FALSE)</f>
        <v>#N/A</v>
      </c>
      <c r="K231" s="29"/>
      <c r="P231" s="22"/>
      <c r="X231" s="22"/>
    </row>
    <row r="232" spans="10:24">
      <c r="J232" s="20" t="e">
        <f>VLOOKUP(G232,MD!M$2:O$93,3,FALSE)</f>
        <v>#N/A</v>
      </c>
      <c r="K232" s="29"/>
      <c r="P232" s="22"/>
      <c r="X232" s="22"/>
    </row>
    <row r="233" spans="10:24">
      <c r="J233" s="20" t="e">
        <f>VLOOKUP(G233,MD!M$2:O$93,3,FALSE)</f>
        <v>#N/A</v>
      </c>
      <c r="K233" s="29"/>
      <c r="P233" s="22"/>
      <c r="X233" s="22"/>
    </row>
    <row r="234" spans="10:24">
      <c r="J234" s="20" t="e">
        <f>VLOOKUP(G234,MD!M$2:O$93,3,FALSE)</f>
        <v>#N/A</v>
      </c>
      <c r="K234" s="29"/>
      <c r="P234" s="22"/>
      <c r="X234" s="22"/>
    </row>
    <row r="235" spans="10:24">
      <c r="J235" s="20" t="e">
        <f>VLOOKUP(G235,MD!M$2:O$93,3,FALSE)</f>
        <v>#N/A</v>
      </c>
      <c r="K235" s="29"/>
      <c r="P235" s="22"/>
      <c r="X235" s="22"/>
    </row>
    <row r="236" spans="10:24">
      <c r="J236" s="20" t="e">
        <f>VLOOKUP(G236,MD!M$2:O$93,3,FALSE)</f>
        <v>#N/A</v>
      </c>
      <c r="K236" s="29"/>
      <c r="P236" s="22"/>
      <c r="X236" s="22"/>
    </row>
    <row r="237" spans="10:24">
      <c r="J237" s="20" t="e">
        <f>VLOOKUP(G237,MD!M$2:O$93,3,FALSE)</f>
        <v>#N/A</v>
      </c>
      <c r="K237" s="29"/>
      <c r="P237" s="22"/>
      <c r="X237" s="22"/>
    </row>
    <row r="238" spans="10:24">
      <c r="J238" s="20" t="e">
        <f>VLOOKUP(G238,MD!M$2:O$93,3,FALSE)</f>
        <v>#N/A</v>
      </c>
      <c r="K238" s="29"/>
      <c r="P238" s="22"/>
      <c r="X238" s="22"/>
    </row>
    <row r="239" spans="10:24">
      <c r="J239" s="20" t="e">
        <f>VLOOKUP(G239,MD!M$2:O$93,3,FALSE)</f>
        <v>#N/A</v>
      </c>
      <c r="K239" s="29"/>
      <c r="P239" s="22"/>
      <c r="X239" s="22"/>
    </row>
    <row r="240" spans="10:24">
      <c r="J240" s="20" t="e">
        <f>VLOOKUP(G240,MD!M$2:O$93,3,FALSE)</f>
        <v>#N/A</v>
      </c>
      <c r="K240" s="29"/>
      <c r="P240" s="22"/>
      <c r="X240" s="22"/>
    </row>
    <row r="241" spans="10:24">
      <c r="J241" s="20" t="e">
        <f>VLOOKUP(G241,MD!M$2:O$93,3,FALSE)</f>
        <v>#N/A</v>
      </c>
      <c r="K241" s="29"/>
      <c r="P241" s="22"/>
      <c r="X241" s="22"/>
    </row>
    <row r="242" spans="10:24">
      <c r="J242" s="20" t="e">
        <f>VLOOKUP(G242,MD!M$2:O$93,3,FALSE)</f>
        <v>#N/A</v>
      </c>
      <c r="K242" s="29"/>
      <c r="P242" s="22"/>
      <c r="X242" s="22"/>
    </row>
    <row r="243" spans="10:24">
      <c r="J243" s="20" t="e">
        <f>VLOOKUP(G243,MD!M$2:O$93,3,FALSE)</f>
        <v>#N/A</v>
      </c>
      <c r="K243" s="29"/>
      <c r="P243" s="22"/>
      <c r="X243" s="22"/>
    </row>
    <row r="244" spans="10:24">
      <c r="J244" s="20" t="e">
        <f>VLOOKUP(G244,MD!M$2:O$93,3,FALSE)</f>
        <v>#N/A</v>
      </c>
      <c r="K244" s="29"/>
      <c r="P244" s="22"/>
      <c r="X244" s="22"/>
    </row>
    <row r="245" spans="10:24">
      <c r="J245" s="20" t="e">
        <f>VLOOKUP(G245,MD!M$2:O$93,3,FALSE)</f>
        <v>#N/A</v>
      </c>
      <c r="K245" s="29"/>
      <c r="P245" s="22"/>
      <c r="X245" s="22"/>
    </row>
    <row r="246" spans="10:24">
      <c r="J246" s="20" t="e">
        <f>VLOOKUP(G246,MD!M$2:O$93,3,FALSE)</f>
        <v>#N/A</v>
      </c>
      <c r="K246" s="29"/>
      <c r="P246" s="22"/>
      <c r="X246" s="22"/>
    </row>
    <row r="247" spans="10:24">
      <c r="J247" s="20" t="e">
        <f>VLOOKUP(G247,MD!M$2:O$93,3,FALSE)</f>
        <v>#N/A</v>
      </c>
      <c r="K247" s="29"/>
      <c r="P247" s="22"/>
      <c r="X247" s="22"/>
    </row>
    <row r="248" spans="10:24">
      <c r="J248" s="20" t="e">
        <f>VLOOKUP(G248,MD!M$2:O$93,3,FALSE)</f>
        <v>#N/A</v>
      </c>
      <c r="K248" s="29"/>
      <c r="P248" s="22"/>
      <c r="X248" s="22"/>
    </row>
    <row r="249" spans="10:24">
      <c r="J249" s="20" t="e">
        <f>VLOOKUP(G249,MD!M$2:O$93,3,FALSE)</f>
        <v>#N/A</v>
      </c>
      <c r="K249" s="29"/>
      <c r="P249" s="22"/>
      <c r="X249" s="22"/>
    </row>
    <row r="250" spans="10:24">
      <c r="J250" s="20" t="e">
        <f>VLOOKUP(G250,MD!M$2:O$93,3,FALSE)</f>
        <v>#N/A</v>
      </c>
      <c r="K250" s="29"/>
      <c r="P250" s="22"/>
      <c r="X250" s="22"/>
    </row>
    <row r="251" spans="10:24">
      <c r="J251" s="20" t="e">
        <f>VLOOKUP(G251,MD!M$2:O$93,3,FALSE)</f>
        <v>#N/A</v>
      </c>
      <c r="K251" s="29"/>
      <c r="P251" s="22"/>
      <c r="X251" s="22"/>
    </row>
    <row r="252" spans="10:24">
      <c r="J252" s="20" t="e">
        <f>VLOOKUP(G252,MD!M$2:O$93,3,FALSE)</f>
        <v>#N/A</v>
      </c>
      <c r="K252" s="29"/>
      <c r="P252" s="22"/>
      <c r="X252" s="22"/>
    </row>
    <row r="253" spans="10:24">
      <c r="J253" s="20" t="e">
        <f>VLOOKUP(G253,MD!M$2:O$93,3,FALSE)</f>
        <v>#N/A</v>
      </c>
      <c r="K253" s="29"/>
      <c r="P253" s="22"/>
      <c r="X253" s="22"/>
    </row>
    <row r="254" spans="10:24">
      <c r="J254" s="20" t="e">
        <f>VLOOKUP(G254,MD!M$2:O$93,3,FALSE)</f>
        <v>#N/A</v>
      </c>
      <c r="K254" s="29"/>
      <c r="P254" s="22"/>
      <c r="X254" s="22"/>
    </row>
    <row r="255" spans="10:24">
      <c r="J255" s="20" t="e">
        <f>VLOOKUP(G255,MD!M$2:O$93,3,FALSE)</f>
        <v>#N/A</v>
      </c>
      <c r="K255" s="29"/>
      <c r="P255" s="22"/>
      <c r="X255" s="22"/>
    </row>
    <row r="256" spans="10:24">
      <c r="J256" s="20" t="e">
        <f>VLOOKUP(G256,MD!M$2:O$93,3,FALSE)</f>
        <v>#N/A</v>
      </c>
      <c r="K256" s="29"/>
      <c r="P256" s="22"/>
      <c r="X256" s="22"/>
    </row>
    <row r="257" spans="10:24">
      <c r="J257" s="20" t="e">
        <f>VLOOKUP(G257,MD!M$2:O$93,3,FALSE)</f>
        <v>#N/A</v>
      </c>
      <c r="K257" s="29"/>
      <c r="P257" s="22"/>
      <c r="X257" s="22"/>
    </row>
    <row r="258" spans="10:24">
      <c r="J258" s="20" t="e">
        <f>VLOOKUP(G258,MD!M$2:O$93,3,FALSE)</f>
        <v>#N/A</v>
      </c>
      <c r="K258" s="29"/>
      <c r="P258" s="22"/>
      <c r="X258" s="22"/>
    </row>
    <row r="259" spans="10:24">
      <c r="J259" s="20" t="e">
        <f>VLOOKUP(G259,MD!M$2:O$93,3,FALSE)</f>
        <v>#N/A</v>
      </c>
      <c r="K259" s="29"/>
      <c r="P259" s="22"/>
      <c r="X259" s="22"/>
    </row>
    <row r="260" spans="10:24">
      <c r="J260" s="20" t="e">
        <f>VLOOKUP(G260,MD!M$2:O$93,3,FALSE)</f>
        <v>#N/A</v>
      </c>
      <c r="K260" s="29"/>
      <c r="P260" s="22"/>
      <c r="X260" s="22"/>
    </row>
    <row r="261" spans="10:24">
      <c r="J261" s="20" t="e">
        <f>VLOOKUP(G261,MD!M$2:O$93,3,FALSE)</f>
        <v>#N/A</v>
      </c>
      <c r="K261" s="29"/>
      <c r="P261" s="22"/>
      <c r="X261" s="22"/>
    </row>
    <row r="262" spans="10:24">
      <c r="J262" s="20" t="e">
        <f>VLOOKUP(G262,MD!M$2:O$93,3,FALSE)</f>
        <v>#N/A</v>
      </c>
      <c r="K262" s="29"/>
      <c r="P262" s="22"/>
      <c r="X262" s="22"/>
    </row>
    <row r="263" spans="10:24">
      <c r="J263" s="20" t="e">
        <f>VLOOKUP(G263,MD!M$2:O$93,3,FALSE)</f>
        <v>#N/A</v>
      </c>
      <c r="K263" s="29"/>
      <c r="P263" s="22"/>
      <c r="X263" s="22"/>
    </row>
    <row r="264" spans="10:24">
      <c r="J264" s="20" t="e">
        <f>VLOOKUP(G264,MD!M$2:O$93,3,FALSE)</f>
        <v>#N/A</v>
      </c>
      <c r="K264" s="29"/>
      <c r="P264" s="22"/>
      <c r="X264" s="22"/>
    </row>
    <row r="265" spans="10:24">
      <c r="J265" s="20" t="e">
        <f>VLOOKUP(G265,MD!M$2:O$93,3,FALSE)</f>
        <v>#N/A</v>
      </c>
      <c r="K265" s="29"/>
      <c r="P265" s="22"/>
      <c r="X265" s="22"/>
    </row>
    <row r="266" spans="10:24">
      <c r="J266" s="20" t="e">
        <f>VLOOKUP(G266,MD!M$2:O$93,3,FALSE)</f>
        <v>#N/A</v>
      </c>
      <c r="K266" s="29"/>
      <c r="P266" s="22"/>
      <c r="X266" s="22"/>
    </row>
    <row r="267" spans="10:24">
      <c r="J267" s="20" t="e">
        <f>VLOOKUP(G267,MD!M$2:O$93,3,FALSE)</f>
        <v>#N/A</v>
      </c>
      <c r="K267" s="29"/>
      <c r="P267" s="22"/>
      <c r="X267" s="22"/>
    </row>
    <row r="268" spans="10:24">
      <c r="J268" s="20" t="e">
        <f>VLOOKUP(G268,MD!M$2:O$93,3,FALSE)</f>
        <v>#N/A</v>
      </c>
      <c r="K268" s="29"/>
      <c r="P268" s="22"/>
      <c r="X268" s="22"/>
    </row>
    <row r="269" spans="10:24">
      <c r="J269" s="20" t="e">
        <f>VLOOKUP(G269,MD!M$2:O$93,3,FALSE)</f>
        <v>#N/A</v>
      </c>
      <c r="K269" s="29"/>
      <c r="P269" s="22"/>
      <c r="X269" s="22"/>
    </row>
    <row r="270" spans="10:24">
      <c r="J270" s="20" t="e">
        <f>VLOOKUP(G270,MD!M$2:O$93,3,FALSE)</f>
        <v>#N/A</v>
      </c>
      <c r="K270" s="29"/>
      <c r="P270" s="22"/>
      <c r="X270" s="22"/>
    </row>
    <row r="271" spans="10:24">
      <c r="J271" s="20" t="e">
        <f>VLOOKUP(G271,MD!M$2:O$93,3,FALSE)</f>
        <v>#N/A</v>
      </c>
      <c r="K271" s="29"/>
      <c r="P271" s="22"/>
      <c r="X271" s="22"/>
    </row>
    <row r="272" spans="10:24">
      <c r="J272" s="20" t="e">
        <f>VLOOKUP(G272,MD!M$2:O$93,3,FALSE)</f>
        <v>#N/A</v>
      </c>
      <c r="K272" s="29"/>
      <c r="P272" s="22"/>
      <c r="X272" s="22"/>
    </row>
    <row r="273" spans="10:24">
      <c r="J273" s="20" t="e">
        <f>VLOOKUP(G273,MD!M$2:O$93,3,FALSE)</f>
        <v>#N/A</v>
      </c>
      <c r="K273" s="29"/>
      <c r="P273" s="22"/>
      <c r="X273" s="22"/>
    </row>
    <row r="274" spans="10:24">
      <c r="J274" s="20" t="e">
        <f>VLOOKUP(G274,MD!M$2:O$93,3,FALSE)</f>
        <v>#N/A</v>
      </c>
      <c r="K274" s="29"/>
      <c r="P274" s="22"/>
      <c r="X274" s="22"/>
    </row>
    <row r="275" spans="10:24">
      <c r="J275" s="20" t="e">
        <f>VLOOKUP(G275,MD!M$2:O$93,3,FALSE)</f>
        <v>#N/A</v>
      </c>
      <c r="K275" s="29"/>
      <c r="P275" s="22"/>
      <c r="X275" s="22"/>
    </row>
    <row r="276" spans="10:24">
      <c r="J276" s="20" t="e">
        <f>VLOOKUP(G276,MD!M$2:O$93,3,FALSE)</f>
        <v>#N/A</v>
      </c>
      <c r="K276" s="29"/>
      <c r="P276" s="22"/>
      <c r="X276" s="22"/>
    </row>
    <row r="277" spans="10:24">
      <c r="J277" s="20" t="e">
        <f>VLOOKUP(G277,MD!M$2:O$93,3,FALSE)</f>
        <v>#N/A</v>
      </c>
      <c r="K277" s="29"/>
      <c r="P277" s="22"/>
      <c r="X277" s="22"/>
    </row>
    <row r="278" spans="10:24">
      <c r="J278" s="20" t="e">
        <f>VLOOKUP(G278,MD!M$2:O$93,3,FALSE)</f>
        <v>#N/A</v>
      </c>
      <c r="K278" s="29"/>
      <c r="P278" s="22"/>
      <c r="X278" s="22"/>
    </row>
    <row r="279" spans="10:24">
      <c r="J279" s="20" t="e">
        <f>VLOOKUP(G279,MD!M$2:O$93,3,FALSE)</f>
        <v>#N/A</v>
      </c>
      <c r="K279" s="29"/>
      <c r="P279" s="22"/>
      <c r="X279" s="22"/>
    </row>
    <row r="280" spans="10:24">
      <c r="J280" s="20" t="e">
        <f>VLOOKUP(G280,MD!M$2:O$93,3,FALSE)</f>
        <v>#N/A</v>
      </c>
      <c r="K280" s="29"/>
      <c r="P280" s="22"/>
      <c r="X280" s="22"/>
    </row>
    <row r="281" spans="10:24">
      <c r="J281" s="20" t="e">
        <f>VLOOKUP(G281,MD!M$2:O$93,3,FALSE)</f>
        <v>#N/A</v>
      </c>
      <c r="K281" s="29"/>
      <c r="P281" s="22"/>
      <c r="X281" s="22"/>
    </row>
    <row r="282" spans="10:24">
      <c r="J282" s="20" t="e">
        <f>VLOOKUP(G282,MD!M$2:O$93,3,FALSE)</f>
        <v>#N/A</v>
      </c>
      <c r="K282" s="29"/>
      <c r="P282" s="22"/>
      <c r="X282" s="22"/>
    </row>
    <row r="283" spans="10:24">
      <c r="J283" s="20" t="e">
        <f>VLOOKUP(G283,MD!M$2:O$93,3,FALSE)</f>
        <v>#N/A</v>
      </c>
      <c r="K283" s="29"/>
      <c r="P283" s="22"/>
      <c r="X283" s="22"/>
    </row>
    <row r="284" spans="10:24">
      <c r="J284" s="20" t="e">
        <f>VLOOKUP(G284,MD!M$2:O$93,3,FALSE)</f>
        <v>#N/A</v>
      </c>
      <c r="K284" s="29"/>
      <c r="P284" s="22"/>
      <c r="X284" s="22"/>
    </row>
    <row r="285" spans="10:24">
      <c r="J285" s="20" t="e">
        <f>VLOOKUP(G285,MD!M$2:O$93,3,FALSE)</f>
        <v>#N/A</v>
      </c>
      <c r="K285" s="29"/>
      <c r="P285" s="22"/>
      <c r="X285" s="22"/>
    </row>
    <row r="286" spans="10:24">
      <c r="J286" s="20" t="e">
        <f>VLOOKUP(G286,MD!M$2:O$93,3,FALSE)</f>
        <v>#N/A</v>
      </c>
      <c r="K286" s="29"/>
      <c r="P286" s="22"/>
      <c r="X286" s="22"/>
    </row>
    <row r="287" spans="10:24">
      <c r="J287" s="20" t="e">
        <f>VLOOKUP(G287,MD!M$2:O$93,3,FALSE)</f>
        <v>#N/A</v>
      </c>
      <c r="K287" s="29"/>
      <c r="P287" s="22"/>
      <c r="X287" s="22"/>
    </row>
    <row r="288" spans="10:24">
      <c r="J288" s="20" t="e">
        <f>VLOOKUP(G288,MD!M$2:O$93,3,FALSE)</f>
        <v>#N/A</v>
      </c>
      <c r="K288" s="29"/>
      <c r="P288" s="22"/>
      <c r="X288" s="22"/>
    </row>
    <row r="289" spans="10:24">
      <c r="J289" s="20" t="e">
        <f>VLOOKUP(G289,MD!M$2:O$93,3,FALSE)</f>
        <v>#N/A</v>
      </c>
      <c r="K289" s="29"/>
      <c r="P289" s="22"/>
      <c r="X289" s="22"/>
    </row>
    <row r="290" spans="10:24">
      <c r="J290" s="20" t="e">
        <f>VLOOKUP(G290,MD!M$2:O$93,3,FALSE)</f>
        <v>#N/A</v>
      </c>
      <c r="K290" s="29"/>
      <c r="P290" s="22"/>
      <c r="X290" s="22"/>
    </row>
    <row r="291" spans="10:24">
      <c r="J291" s="20" t="e">
        <f>VLOOKUP(G291,MD!M$2:O$93,3,FALSE)</f>
        <v>#N/A</v>
      </c>
      <c r="K291" s="29"/>
      <c r="P291" s="22"/>
      <c r="X291" s="22"/>
    </row>
    <row r="292" spans="10:24">
      <c r="J292" s="20" t="e">
        <f>VLOOKUP(G292,MD!M$2:O$93,3,FALSE)</f>
        <v>#N/A</v>
      </c>
      <c r="K292" s="29"/>
      <c r="P292" s="22"/>
      <c r="X292" s="22"/>
    </row>
    <row r="293" spans="10:24">
      <c r="J293" s="20" t="e">
        <f>VLOOKUP(G293,MD!M$2:O$93,3,FALSE)</f>
        <v>#N/A</v>
      </c>
      <c r="K293" s="29"/>
      <c r="P293" s="22"/>
      <c r="X293" s="22"/>
    </row>
    <row r="294" spans="10:24">
      <c r="J294" s="20" t="e">
        <f>VLOOKUP(G294,MD!M$2:O$93,3,FALSE)</f>
        <v>#N/A</v>
      </c>
      <c r="K294" s="29"/>
      <c r="P294" s="22"/>
      <c r="X294" s="22"/>
    </row>
    <row r="295" spans="10:24">
      <c r="J295" s="20" t="e">
        <f>VLOOKUP(G295,MD!M$2:O$93,3,FALSE)</f>
        <v>#N/A</v>
      </c>
      <c r="K295" s="29"/>
      <c r="P295" s="22"/>
      <c r="X295" s="22"/>
    </row>
    <row r="296" spans="10:24">
      <c r="J296" s="20" t="e">
        <f>VLOOKUP(G296,MD!M$2:O$93,3,FALSE)</f>
        <v>#N/A</v>
      </c>
      <c r="K296" s="29"/>
      <c r="P296" s="22"/>
      <c r="X296" s="22"/>
    </row>
    <row r="297" spans="10:24">
      <c r="J297" s="20" t="e">
        <f>VLOOKUP(G297,MD!M$2:O$93,3,FALSE)</f>
        <v>#N/A</v>
      </c>
      <c r="K297" s="29"/>
      <c r="P297" s="22"/>
      <c r="X297" s="22"/>
    </row>
    <row r="298" spans="10:24">
      <c r="J298" s="20" t="e">
        <f>VLOOKUP(G298,MD!M$2:O$93,3,FALSE)</f>
        <v>#N/A</v>
      </c>
      <c r="K298" s="29"/>
      <c r="P298" s="22"/>
      <c r="X298" s="22"/>
    </row>
    <row r="299" spans="10:24">
      <c r="J299" s="20" t="e">
        <f>VLOOKUP(G299,MD!M$2:O$93,3,FALSE)</f>
        <v>#N/A</v>
      </c>
      <c r="K299" s="29"/>
      <c r="P299" s="22"/>
      <c r="X299" s="22"/>
    </row>
    <row r="300" spans="10:24">
      <c r="J300" s="20" t="e">
        <f>VLOOKUP(G300,MD!M$2:O$93,3,FALSE)</f>
        <v>#N/A</v>
      </c>
      <c r="K300" s="29"/>
      <c r="P300" s="22"/>
      <c r="X300" s="22"/>
    </row>
    <row r="301" spans="10:24">
      <c r="J301" s="20" t="e">
        <f>VLOOKUP(G301,MD!M$2:O$93,3,FALSE)</f>
        <v>#N/A</v>
      </c>
      <c r="K301" s="29"/>
      <c r="P301" s="22"/>
      <c r="X301" s="22"/>
    </row>
    <row r="302" spans="10:24">
      <c r="J302" s="20" t="e">
        <f>VLOOKUP(G302,MD!M$2:O$93,3,FALSE)</f>
        <v>#N/A</v>
      </c>
      <c r="K302" s="29"/>
      <c r="P302" s="22"/>
      <c r="X302" s="22"/>
    </row>
    <row r="303" spans="10:24">
      <c r="J303" s="20" t="e">
        <f>VLOOKUP(G303,MD!M$2:O$93,3,FALSE)</f>
        <v>#N/A</v>
      </c>
      <c r="K303" s="29"/>
      <c r="P303" s="22"/>
      <c r="X303" s="22"/>
    </row>
    <row r="304" spans="10:24">
      <c r="J304" s="20" t="e">
        <f>VLOOKUP(G304,MD!M$2:O$93,3,FALSE)</f>
        <v>#N/A</v>
      </c>
      <c r="K304" s="29"/>
      <c r="P304" s="22"/>
      <c r="X304" s="22"/>
    </row>
    <row r="305" spans="10:24">
      <c r="J305" s="20" t="e">
        <f>VLOOKUP(G305,MD!M$2:O$93,3,FALSE)</f>
        <v>#N/A</v>
      </c>
      <c r="K305" s="29"/>
      <c r="P305" s="22"/>
      <c r="X305" s="22"/>
    </row>
    <row r="306" spans="10:24">
      <c r="J306" s="20" t="e">
        <f>VLOOKUP(G306,MD!M$2:O$93,3,FALSE)</f>
        <v>#N/A</v>
      </c>
      <c r="K306" s="29"/>
      <c r="P306" s="22"/>
      <c r="X306" s="22"/>
    </row>
    <row r="307" spans="10:24">
      <c r="J307" s="20" t="e">
        <f>VLOOKUP(G307,MD!M$2:O$93,3,FALSE)</f>
        <v>#N/A</v>
      </c>
      <c r="K307" s="29"/>
      <c r="P307" s="22"/>
      <c r="X307" s="22"/>
    </row>
    <row r="308" spans="10:24">
      <c r="J308" s="20" t="e">
        <f>VLOOKUP(G308,MD!M$2:O$93,3,FALSE)</f>
        <v>#N/A</v>
      </c>
      <c r="K308" s="29"/>
      <c r="P308" s="22"/>
      <c r="X308" s="22"/>
    </row>
    <row r="309" spans="10:24">
      <c r="J309" s="20" t="e">
        <f>VLOOKUP(G309,MD!M$2:O$93,3,FALSE)</f>
        <v>#N/A</v>
      </c>
      <c r="K309" s="29"/>
      <c r="P309" s="22"/>
      <c r="X309" s="22"/>
    </row>
    <row r="310" spans="10:24">
      <c r="J310" s="20" t="e">
        <f>VLOOKUP(G310,MD!M$2:O$93,3,FALSE)</f>
        <v>#N/A</v>
      </c>
      <c r="K310" s="29"/>
      <c r="P310" s="22"/>
      <c r="X310" s="22"/>
    </row>
    <row r="311" spans="10:24">
      <c r="J311" s="20" t="e">
        <f>VLOOKUP(G311,MD!M$2:O$93,3,FALSE)</f>
        <v>#N/A</v>
      </c>
      <c r="K311" s="29"/>
      <c r="P311" s="22"/>
      <c r="X311" s="22"/>
    </row>
    <row r="312" spans="10:24">
      <c r="J312" s="20" t="e">
        <f>VLOOKUP(G312,MD!M$2:O$93,3,FALSE)</f>
        <v>#N/A</v>
      </c>
      <c r="K312" s="29"/>
      <c r="P312" s="22"/>
      <c r="X312" s="22"/>
    </row>
    <row r="313" spans="10:24">
      <c r="J313" s="20" t="e">
        <f>VLOOKUP(G313,MD!M$2:O$93,3,FALSE)</f>
        <v>#N/A</v>
      </c>
      <c r="K313" s="29"/>
      <c r="P313" s="22"/>
      <c r="X313" s="22"/>
    </row>
    <row r="314" spans="10:24">
      <c r="J314" s="20" t="e">
        <f>VLOOKUP(G314,MD!M$2:O$93,3,FALSE)</f>
        <v>#N/A</v>
      </c>
      <c r="K314" s="29"/>
      <c r="P314" s="22"/>
      <c r="X314" s="22"/>
    </row>
    <row r="315" spans="10:24">
      <c r="J315" s="20" t="e">
        <f>VLOOKUP(G315,MD!M$2:O$93,3,FALSE)</f>
        <v>#N/A</v>
      </c>
      <c r="K315" s="29"/>
      <c r="P315" s="22"/>
      <c r="X315" s="22"/>
    </row>
    <row r="316" spans="10:24">
      <c r="J316" s="20" t="e">
        <f>VLOOKUP(G316,MD!M$2:O$93,3,FALSE)</f>
        <v>#N/A</v>
      </c>
      <c r="K316" s="29"/>
      <c r="P316" s="22"/>
      <c r="X316" s="22"/>
    </row>
    <row r="317" spans="10:24">
      <c r="J317" s="20" t="e">
        <f>VLOOKUP(G317,MD!M$2:O$93,3,FALSE)</f>
        <v>#N/A</v>
      </c>
      <c r="K317" s="29"/>
      <c r="P317" s="22"/>
      <c r="X317" s="22"/>
    </row>
    <row r="318" spans="10:24">
      <c r="J318" s="20" t="e">
        <f>VLOOKUP(G318,MD!M$2:O$93,3,FALSE)</f>
        <v>#N/A</v>
      </c>
      <c r="K318" s="29"/>
      <c r="P318" s="22"/>
      <c r="X318" s="22"/>
    </row>
    <row r="319" spans="10:24">
      <c r="J319" s="20" t="e">
        <f>VLOOKUP(G319,MD!M$2:O$93,3,FALSE)</f>
        <v>#N/A</v>
      </c>
      <c r="K319" s="29"/>
      <c r="P319" s="22"/>
      <c r="X319" s="22"/>
    </row>
    <row r="320" spans="10:24">
      <c r="J320" s="20" t="e">
        <f>VLOOKUP(G320,MD!M$2:O$93,3,FALSE)</f>
        <v>#N/A</v>
      </c>
      <c r="K320" s="29"/>
      <c r="P320" s="22"/>
      <c r="X320" s="22"/>
    </row>
    <row r="321" spans="10:24">
      <c r="J321" s="20" t="e">
        <f>VLOOKUP(G321,MD!M$2:O$93,3,FALSE)</f>
        <v>#N/A</v>
      </c>
      <c r="K321" s="29"/>
      <c r="P321" s="22"/>
      <c r="X321" s="22"/>
    </row>
    <row r="322" spans="10:24">
      <c r="J322" s="20" t="e">
        <f>VLOOKUP(G322,MD!M$2:O$93,3,FALSE)</f>
        <v>#N/A</v>
      </c>
      <c r="K322" s="29"/>
      <c r="P322" s="22"/>
      <c r="X322" s="22"/>
    </row>
    <row r="323" spans="10:24">
      <c r="J323" s="20" t="e">
        <f>VLOOKUP(G323,MD!M$2:O$93,3,FALSE)</f>
        <v>#N/A</v>
      </c>
      <c r="K323" s="29"/>
      <c r="P323" s="22"/>
      <c r="X323" s="22"/>
    </row>
    <row r="324" spans="10:24">
      <c r="J324" s="20" t="e">
        <f>VLOOKUP(G324,MD!M$2:O$93,3,FALSE)</f>
        <v>#N/A</v>
      </c>
      <c r="K324" s="29"/>
      <c r="P324" s="22"/>
      <c r="X324" s="22"/>
    </row>
    <row r="325" spans="10:24">
      <c r="J325" s="20" t="e">
        <f>VLOOKUP(G325,MD!M$2:O$93,3,FALSE)</f>
        <v>#N/A</v>
      </c>
      <c r="K325" s="29"/>
      <c r="P325" s="22"/>
      <c r="X325" s="22"/>
    </row>
    <row r="326" spans="10:24">
      <c r="J326" s="20" t="e">
        <f>VLOOKUP(G326,MD!M$2:O$93,3,FALSE)</f>
        <v>#N/A</v>
      </c>
      <c r="K326" s="29"/>
      <c r="P326" s="22"/>
      <c r="X326" s="22"/>
    </row>
    <row r="327" spans="10:24">
      <c r="J327" s="20" t="e">
        <f>VLOOKUP(G327,MD!M$2:O$93,3,FALSE)</f>
        <v>#N/A</v>
      </c>
      <c r="K327" s="29"/>
      <c r="P327" s="22"/>
      <c r="X327" s="22"/>
    </row>
    <row r="328" spans="10:24">
      <c r="J328" s="20" t="e">
        <f>VLOOKUP(G328,MD!M$2:O$93,3,FALSE)</f>
        <v>#N/A</v>
      </c>
      <c r="K328" s="29"/>
      <c r="P328" s="22"/>
      <c r="X328" s="22"/>
    </row>
    <row r="329" spans="10:24">
      <c r="J329" s="20" t="e">
        <f>VLOOKUP(G329,MD!M$2:O$93,3,FALSE)</f>
        <v>#N/A</v>
      </c>
      <c r="K329" s="29"/>
      <c r="P329" s="22"/>
      <c r="X329" s="22"/>
    </row>
    <row r="330" spans="10:24">
      <c r="J330" s="20" t="e">
        <f>VLOOKUP(G330,MD!M$2:O$93,3,FALSE)</f>
        <v>#N/A</v>
      </c>
      <c r="K330" s="29"/>
      <c r="P330" s="22"/>
      <c r="X330" s="22"/>
    </row>
    <row r="331" spans="10:24">
      <c r="J331" s="20" t="e">
        <f>VLOOKUP(G331,MD!M$2:O$93,3,FALSE)</f>
        <v>#N/A</v>
      </c>
      <c r="K331" s="29"/>
      <c r="P331" s="22"/>
      <c r="X331" s="22"/>
    </row>
    <row r="332" spans="10:24">
      <c r="J332" s="20" t="e">
        <f>VLOOKUP(G332,MD!M$2:O$93,3,FALSE)</f>
        <v>#N/A</v>
      </c>
      <c r="K332" s="29"/>
      <c r="P332" s="22"/>
      <c r="X332" s="22"/>
    </row>
    <row r="333" spans="10:24">
      <c r="J333" s="20" t="e">
        <f>VLOOKUP(G333,MD!M$2:O$93,3,FALSE)</f>
        <v>#N/A</v>
      </c>
      <c r="K333" s="29"/>
      <c r="P333" s="22"/>
      <c r="X333" s="22"/>
    </row>
    <row r="334" spans="10:24">
      <c r="J334" s="20" t="e">
        <f>VLOOKUP(G334,MD!M$2:O$93,3,FALSE)</f>
        <v>#N/A</v>
      </c>
      <c r="K334" s="29"/>
      <c r="P334" s="22"/>
      <c r="X334" s="22"/>
    </row>
    <row r="335" spans="10:24">
      <c r="J335" s="20" t="e">
        <f>VLOOKUP(G335,MD!M$2:O$93,3,FALSE)</f>
        <v>#N/A</v>
      </c>
      <c r="K335" s="29"/>
      <c r="P335" s="22"/>
      <c r="X335" s="22"/>
    </row>
    <row r="336" spans="10:24">
      <c r="J336" s="20" t="e">
        <f>VLOOKUP(G336,MD!M$2:O$93,3,FALSE)</f>
        <v>#N/A</v>
      </c>
      <c r="K336" s="29"/>
      <c r="P336" s="22"/>
      <c r="X336" s="22"/>
    </row>
    <row r="337" spans="10:24">
      <c r="J337" s="20" t="e">
        <f>VLOOKUP(G337,MD!M$2:O$93,3,FALSE)</f>
        <v>#N/A</v>
      </c>
      <c r="K337" s="29"/>
      <c r="P337" s="22"/>
      <c r="X337" s="22"/>
    </row>
    <row r="338" spans="10:24">
      <c r="J338" s="20" t="e">
        <f>VLOOKUP(G338,MD!M$2:O$93,3,FALSE)</f>
        <v>#N/A</v>
      </c>
      <c r="K338" s="29"/>
      <c r="P338" s="22"/>
      <c r="X338" s="22"/>
    </row>
    <row r="339" spans="10:24">
      <c r="J339" s="20" t="e">
        <f>VLOOKUP(G339,MD!M$2:O$93,3,FALSE)</f>
        <v>#N/A</v>
      </c>
      <c r="K339" s="29"/>
      <c r="P339" s="22"/>
      <c r="X339" s="22"/>
    </row>
    <row r="340" spans="10:24">
      <c r="J340" s="20" t="e">
        <f>VLOOKUP(G340,MD!M$2:O$93,3,FALSE)</f>
        <v>#N/A</v>
      </c>
      <c r="K340" s="29"/>
      <c r="P340" s="22"/>
      <c r="X340" s="22"/>
    </row>
    <row r="341" spans="10:24">
      <c r="J341" s="20" t="e">
        <f>VLOOKUP(G341,MD!M$2:O$93,3,FALSE)</f>
        <v>#N/A</v>
      </c>
      <c r="K341" s="29"/>
      <c r="P341" s="22"/>
      <c r="X341" s="22"/>
    </row>
    <row r="342" spans="10:24">
      <c r="J342" s="20" t="e">
        <f>VLOOKUP(G342,MD!M$2:O$93,3,FALSE)</f>
        <v>#N/A</v>
      </c>
      <c r="K342" s="29"/>
      <c r="P342" s="22"/>
      <c r="X342" s="22"/>
    </row>
    <row r="343" spans="10:24">
      <c r="J343" s="20" t="e">
        <f>VLOOKUP(G343,MD!M$2:O$93,3,FALSE)</f>
        <v>#N/A</v>
      </c>
      <c r="K343" s="29"/>
      <c r="P343" s="22"/>
      <c r="X343" s="22"/>
    </row>
    <row r="344" spans="10:24">
      <c r="J344" s="20" t="e">
        <f>VLOOKUP(G344,MD!M$2:O$93,3,FALSE)</f>
        <v>#N/A</v>
      </c>
      <c r="K344" s="29"/>
      <c r="P344" s="22"/>
      <c r="X344" s="22"/>
    </row>
    <row r="345" spans="10:24">
      <c r="J345" s="20" t="e">
        <f>VLOOKUP(G345,MD!M$2:O$93,3,FALSE)</f>
        <v>#N/A</v>
      </c>
      <c r="K345" s="29"/>
      <c r="P345" s="22"/>
      <c r="X345" s="22"/>
    </row>
    <row r="346" spans="10:24">
      <c r="J346" s="20" t="e">
        <f>VLOOKUP(G346,MD!M$2:O$93,3,FALSE)</f>
        <v>#N/A</v>
      </c>
      <c r="K346" s="29"/>
      <c r="P346" s="22"/>
      <c r="X346" s="22"/>
    </row>
    <row r="347" spans="10:24">
      <c r="J347" s="20" t="e">
        <f>VLOOKUP(G347,MD!M$2:O$93,3,FALSE)</f>
        <v>#N/A</v>
      </c>
      <c r="K347" s="29"/>
      <c r="P347" s="22"/>
      <c r="X347" s="22"/>
    </row>
    <row r="348" spans="10:24">
      <c r="J348" s="20" t="e">
        <f>VLOOKUP(G348,MD!M$2:O$93,3,FALSE)</f>
        <v>#N/A</v>
      </c>
      <c r="K348" s="29"/>
      <c r="P348" s="22"/>
      <c r="X348" s="22"/>
    </row>
    <row r="349" spans="10:24">
      <c r="J349" s="20" t="e">
        <f>VLOOKUP(G349,MD!M$2:O$93,3,FALSE)</f>
        <v>#N/A</v>
      </c>
      <c r="K349" s="29"/>
      <c r="P349" s="22"/>
      <c r="X349" s="22"/>
    </row>
    <row r="350" spans="10:24">
      <c r="J350" s="20" t="e">
        <f>VLOOKUP(G350,MD!M$2:O$93,3,FALSE)</f>
        <v>#N/A</v>
      </c>
      <c r="K350" s="29"/>
      <c r="P350" s="22"/>
      <c r="X350" s="22"/>
    </row>
    <row r="351" spans="10:24">
      <c r="J351" s="20" t="e">
        <f>VLOOKUP(G351,MD!M$2:O$93,3,FALSE)</f>
        <v>#N/A</v>
      </c>
      <c r="K351" s="29"/>
      <c r="P351" s="22"/>
      <c r="X351" s="22"/>
    </row>
    <row r="352" spans="10:24">
      <c r="J352" s="20" t="e">
        <f>VLOOKUP(G352,MD!M$2:O$93,3,FALSE)</f>
        <v>#N/A</v>
      </c>
      <c r="K352" s="29"/>
      <c r="P352" s="22"/>
      <c r="X352" s="22"/>
    </row>
    <row r="353" spans="10:24">
      <c r="J353" s="20" t="e">
        <f>VLOOKUP(G353,MD!M$2:O$93,3,FALSE)</f>
        <v>#N/A</v>
      </c>
      <c r="K353" s="29"/>
      <c r="P353" s="22"/>
      <c r="X353" s="22"/>
    </row>
    <row r="354" spans="10:24">
      <c r="J354" s="20" t="e">
        <f>VLOOKUP(G354,MD!M$2:O$93,3,FALSE)</f>
        <v>#N/A</v>
      </c>
      <c r="K354" s="29"/>
      <c r="P354" s="22"/>
      <c r="X354" s="22"/>
    </row>
    <row r="355" spans="10:24">
      <c r="J355" s="20" t="e">
        <f>VLOOKUP(G355,MD!M$2:O$93,3,FALSE)</f>
        <v>#N/A</v>
      </c>
      <c r="K355" s="29"/>
      <c r="P355" s="22"/>
      <c r="X355" s="22"/>
    </row>
    <row r="356" spans="10:24">
      <c r="J356" s="20" t="e">
        <f>VLOOKUP(G356,MD!M$2:O$93,3,FALSE)</f>
        <v>#N/A</v>
      </c>
      <c r="K356" s="29"/>
      <c r="P356" s="22"/>
      <c r="X356" s="22"/>
    </row>
    <row r="357" spans="10:24">
      <c r="J357" s="20" t="e">
        <f>VLOOKUP(G357,MD!M$2:O$93,3,FALSE)</f>
        <v>#N/A</v>
      </c>
      <c r="K357" s="29"/>
      <c r="P357" s="22"/>
      <c r="X357" s="22"/>
    </row>
    <row r="358" spans="10:24">
      <c r="J358" s="20" t="e">
        <f>VLOOKUP(G358,MD!M$2:O$93,3,FALSE)</f>
        <v>#N/A</v>
      </c>
      <c r="K358" s="29"/>
      <c r="P358" s="22"/>
      <c r="X358" s="22"/>
    </row>
    <row r="359" spans="10:24">
      <c r="J359" s="20" t="e">
        <f>VLOOKUP(G359,MD!M$2:O$93,3,FALSE)</f>
        <v>#N/A</v>
      </c>
      <c r="K359" s="29"/>
      <c r="P359" s="22"/>
      <c r="X359" s="22"/>
    </row>
    <row r="360" spans="10:24">
      <c r="J360" s="20" t="e">
        <f>VLOOKUP(G360,MD!M$2:O$93,3,FALSE)</f>
        <v>#N/A</v>
      </c>
      <c r="K360" s="29"/>
      <c r="P360" s="22"/>
      <c r="X360" s="22"/>
    </row>
    <row r="361" spans="10:24">
      <c r="J361" s="20" t="e">
        <f>VLOOKUP(G361,MD!M$2:O$93,3,FALSE)</f>
        <v>#N/A</v>
      </c>
      <c r="K361" s="29"/>
      <c r="P361" s="22"/>
      <c r="X361" s="22"/>
    </row>
    <row r="362" spans="10:24">
      <c r="J362" s="20" t="e">
        <f>VLOOKUP(G362,MD!M$2:O$93,3,FALSE)</f>
        <v>#N/A</v>
      </c>
      <c r="K362" s="29"/>
      <c r="P362" s="22"/>
      <c r="X362" s="22"/>
    </row>
    <row r="363" spans="10:24">
      <c r="J363" s="20" t="e">
        <f>VLOOKUP(G363,MD!M$2:O$93,3,FALSE)</f>
        <v>#N/A</v>
      </c>
      <c r="K363" s="29"/>
      <c r="P363" s="22"/>
      <c r="X363" s="22"/>
    </row>
    <row r="364" spans="10:24">
      <c r="J364" s="20" t="e">
        <f>VLOOKUP(G364,MD!M$2:O$93,3,FALSE)</f>
        <v>#N/A</v>
      </c>
      <c r="K364" s="29"/>
      <c r="P364" s="22"/>
      <c r="X364" s="22"/>
    </row>
    <row r="365" spans="10:24">
      <c r="J365" s="20" t="e">
        <f>VLOOKUP(G365,MD!M$2:O$93,3,FALSE)</f>
        <v>#N/A</v>
      </c>
      <c r="K365" s="29"/>
      <c r="P365" s="22"/>
      <c r="X365" s="22"/>
    </row>
    <row r="366" spans="10:24">
      <c r="J366" s="20" t="e">
        <f>VLOOKUP(G366,MD!M$2:O$93,3,FALSE)</f>
        <v>#N/A</v>
      </c>
      <c r="K366" s="29"/>
      <c r="P366" s="22"/>
      <c r="X366" s="22"/>
    </row>
    <row r="367" spans="10:24">
      <c r="J367" s="20" t="e">
        <f>VLOOKUP(G367,MD!M$2:O$93,3,FALSE)</f>
        <v>#N/A</v>
      </c>
      <c r="K367" s="29"/>
      <c r="P367" s="22"/>
      <c r="X367" s="22"/>
    </row>
    <row r="368" spans="10:24">
      <c r="J368" s="20" t="e">
        <f>VLOOKUP(G368,MD!M$2:O$93,3,FALSE)</f>
        <v>#N/A</v>
      </c>
      <c r="K368" s="29"/>
      <c r="P368" s="22"/>
      <c r="X368" s="22"/>
    </row>
    <row r="369" spans="10:24">
      <c r="J369" s="20" t="e">
        <f>VLOOKUP(G369,MD!M$2:O$93,3,FALSE)</f>
        <v>#N/A</v>
      </c>
      <c r="K369" s="29"/>
      <c r="P369" s="22"/>
      <c r="X369" s="22"/>
    </row>
    <row r="370" spans="10:24">
      <c r="J370" s="20" t="e">
        <f>VLOOKUP(G370,MD!M$2:O$93,3,FALSE)</f>
        <v>#N/A</v>
      </c>
      <c r="K370" s="29"/>
      <c r="P370" s="22"/>
      <c r="X370" s="22"/>
    </row>
    <row r="371" spans="10:24">
      <c r="J371" s="20" t="e">
        <f>VLOOKUP(G371,MD!M$2:O$93,3,FALSE)</f>
        <v>#N/A</v>
      </c>
      <c r="K371" s="29"/>
      <c r="P371" s="22"/>
      <c r="X371" s="22"/>
    </row>
    <row r="372" spans="10:24">
      <c r="J372" s="20" t="e">
        <f>VLOOKUP(G372,MD!M$2:O$93,3,FALSE)</f>
        <v>#N/A</v>
      </c>
      <c r="K372" s="29"/>
      <c r="P372" s="22"/>
      <c r="X372" s="22"/>
    </row>
    <row r="373" spans="10:24">
      <c r="J373" s="20" t="e">
        <f>VLOOKUP(G373,MD!M$2:O$93,3,FALSE)</f>
        <v>#N/A</v>
      </c>
      <c r="K373" s="29"/>
      <c r="P373" s="22"/>
      <c r="X373" s="22"/>
    </row>
    <row r="374" spans="10:24">
      <c r="J374" s="20" t="e">
        <f>VLOOKUP(G374,MD!M$2:O$93,3,FALSE)</f>
        <v>#N/A</v>
      </c>
      <c r="K374" s="29"/>
      <c r="P374" s="22"/>
      <c r="X374" s="22"/>
    </row>
    <row r="375" spans="10:24">
      <c r="J375" s="20" t="e">
        <f>VLOOKUP(G375,MD!M$2:O$93,3,FALSE)</f>
        <v>#N/A</v>
      </c>
      <c r="K375" s="29"/>
      <c r="P375" s="22"/>
      <c r="X375" s="22"/>
    </row>
    <row r="376" spans="10:24">
      <c r="J376" s="20" t="e">
        <f>VLOOKUP(G376,MD!M$2:O$93,3,FALSE)</f>
        <v>#N/A</v>
      </c>
      <c r="K376" s="29"/>
      <c r="P376" s="22"/>
      <c r="X376" s="22"/>
    </row>
    <row r="377" spans="10:24">
      <c r="J377" s="20" t="e">
        <f>VLOOKUP(G377,MD!M$2:O$93,3,FALSE)</f>
        <v>#N/A</v>
      </c>
      <c r="K377" s="29"/>
      <c r="P377" s="22"/>
      <c r="X377" s="22"/>
    </row>
    <row r="378" spans="10:24">
      <c r="J378" s="20" t="e">
        <f>VLOOKUP(G378,MD!M$2:O$93,3,FALSE)</f>
        <v>#N/A</v>
      </c>
      <c r="K378" s="29"/>
      <c r="P378" s="22"/>
      <c r="X378" s="22"/>
    </row>
    <row r="379" spans="10:24">
      <c r="J379" s="20" t="e">
        <f>VLOOKUP(G379,MD!M$2:O$93,3,FALSE)</f>
        <v>#N/A</v>
      </c>
      <c r="K379" s="29"/>
      <c r="P379" s="22"/>
      <c r="X379" s="22"/>
    </row>
    <row r="380" spans="10:24">
      <c r="J380" s="20" t="e">
        <f>VLOOKUP(G380,MD!M$2:O$93,3,FALSE)</f>
        <v>#N/A</v>
      </c>
      <c r="K380" s="29"/>
      <c r="P380" s="22"/>
      <c r="X380" s="22"/>
    </row>
    <row r="381" spans="10:24">
      <c r="J381" s="20" t="e">
        <f>VLOOKUP(G381,MD!M$2:O$93,3,FALSE)</f>
        <v>#N/A</v>
      </c>
      <c r="K381" s="29"/>
      <c r="P381" s="22"/>
      <c r="X381" s="22"/>
    </row>
    <row r="382" spans="10:24">
      <c r="J382" s="20" t="e">
        <f>VLOOKUP(G382,MD!M$2:O$93,3,FALSE)</f>
        <v>#N/A</v>
      </c>
      <c r="K382" s="29"/>
      <c r="P382" s="22"/>
      <c r="X382" s="22"/>
    </row>
    <row r="383" spans="10:24">
      <c r="J383" s="20" t="e">
        <f>VLOOKUP(G383,MD!M$2:O$93,3,FALSE)</f>
        <v>#N/A</v>
      </c>
      <c r="K383" s="29"/>
      <c r="P383" s="22"/>
      <c r="X383" s="22"/>
    </row>
    <row r="384" spans="10:24">
      <c r="J384" s="20" t="e">
        <f>VLOOKUP(G384,MD!M$2:O$93,3,FALSE)</f>
        <v>#N/A</v>
      </c>
      <c r="K384" s="29"/>
      <c r="P384" s="22"/>
      <c r="X384" s="22"/>
    </row>
    <row r="385" spans="10:24">
      <c r="J385" s="20" t="e">
        <f>VLOOKUP(G385,MD!M$2:O$93,3,FALSE)</f>
        <v>#N/A</v>
      </c>
      <c r="K385" s="29"/>
      <c r="P385" s="22"/>
      <c r="X385" s="22"/>
    </row>
    <row r="386" spans="10:24">
      <c r="J386" s="20" t="e">
        <f>VLOOKUP(G386,MD!M$2:O$93,3,FALSE)</f>
        <v>#N/A</v>
      </c>
      <c r="K386" s="29"/>
      <c r="P386" s="22"/>
      <c r="X386" s="22"/>
    </row>
    <row r="387" spans="10:24">
      <c r="J387" s="20" t="e">
        <f>VLOOKUP(G387,MD!M$2:O$93,3,FALSE)</f>
        <v>#N/A</v>
      </c>
      <c r="K387" s="29"/>
      <c r="P387" s="22"/>
      <c r="X387" s="22"/>
    </row>
    <row r="388" spans="10:24">
      <c r="J388" s="20" t="e">
        <f>VLOOKUP(G388,MD!M$2:O$93,3,FALSE)</f>
        <v>#N/A</v>
      </c>
      <c r="K388" s="29"/>
      <c r="P388" s="22"/>
      <c r="X388" s="22"/>
    </row>
    <row r="389" spans="10:24">
      <c r="J389" s="20" t="e">
        <f>VLOOKUP(G389,MD!M$2:O$93,3,FALSE)</f>
        <v>#N/A</v>
      </c>
      <c r="K389" s="29"/>
      <c r="P389" s="22"/>
      <c r="X389" s="22"/>
    </row>
    <row r="390" spans="10:24">
      <c r="J390" s="20" t="e">
        <f>VLOOKUP(G390,MD!M$2:O$93,3,FALSE)</f>
        <v>#N/A</v>
      </c>
      <c r="K390" s="29"/>
      <c r="P390" s="22"/>
      <c r="X390" s="22"/>
    </row>
    <row r="391" spans="10:24">
      <c r="J391" s="20" t="e">
        <f>VLOOKUP(G391,MD!M$2:O$93,3,FALSE)</f>
        <v>#N/A</v>
      </c>
      <c r="K391" s="29"/>
      <c r="P391" s="22"/>
      <c r="X391" s="22"/>
    </row>
    <row r="392" spans="10:24">
      <c r="J392" s="20" t="e">
        <f>VLOOKUP(G392,MD!M$2:O$93,3,FALSE)</f>
        <v>#N/A</v>
      </c>
      <c r="K392" s="29"/>
      <c r="P392" s="22"/>
      <c r="X392" s="22"/>
    </row>
    <row r="393" spans="10:24">
      <c r="J393" s="20" t="e">
        <f>VLOOKUP(G393,MD!M$2:O$93,3,FALSE)</f>
        <v>#N/A</v>
      </c>
      <c r="K393" s="29"/>
      <c r="P393" s="22"/>
      <c r="X393" s="22"/>
    </row>
    <row r="394" spans="10:24">
      <c r="J394" s="20" t="e">
        <f>VLOOKUP(G394,MD!M$2:O$93,3,FALSE)</f>
        <v>#N/A</v>
      </c>
      <c r="K394" s="29"/>
      <c r="P394" s="22"/>
      <c r="X394" s="22"/>
    </row>
    <row r="395" spans="10:24">
      <c r="J395" s="20" t="e">
        <f>VLOOKUP(G395,MD!M$2:O$93,3,FALSE)</f>
        <v>#N/A</v>
      </c>
      <c r="K395" s="29"/>
      <c r="P395" s="22"/>
      <c r="X395" s="22"/>
    </row>
    <row r="396" spans="10:24">
      <c r="J396" s="20" t="e">
        <f>VLOOKUP(G396,MD!M$2:O$93,3,FALSE)</f>
        <v>#N/A</v>
      </c>
      <c r="K396" s="29"/>
      <c r="P396" s="22"/>
      <c r="X396" s="22"/>
    </row>
    <row r="397" spans="10:24">
      <c r="J397" s="20" t="e">
        <f>VLOOKUP(G397,MD!M$2:O$93,3,FALSE)</f>
        <v>#N/A</v>
      </c>
      <c r="K397" s="29"/>
      <c r="P397" s="22"/>
      <c r="X397" s="22"/>
    </row>
    <row r="398" spans="10:24">
      <c r="J398" s="20" t="e">
        <f>VLOOKUP(G398,MD!M$2:O$93,3,FALSE)</f>
        <v>#N/A</v>
      </c>
      <c r="K398" s="29"/>
      <c r="P398" s="22"/>
      <c r="X398" s="22"/>
    </row>
    <row r="399" spans="10:24">
      <c r="J399" s="20" t="e">
        <f>VLOOKUP(G399,MD!M$2:O$93,3,FALSE)</f>
        <v>#N/A</v>
      </c>
      <c r="K399" s="29"/>
      <c r="P399" s="22"/>
      <c r="X399" s="22"/>
    </row>
    <row r="400" spans="10:24">
      <c r="J400" s="20" t="e">
        <f>VLOOKUP(G400,MD!M$2:O$93,3,FALSE)</f>
        <v>#N/A</v>
      </c>
      <c r="K400" s="29"/>
      <c r="P400" s="22"/>
      <c r="X400" s="22"/>
    </row>
    <row r="401" spans="10:24">
      <c r="J401" s="20" t="e">
        <f>VLOOKUP(G401,MD!M$2:O$93,3,FALSE)</f>
        <v>#N/A</v>
      </c>
      <c r="K401" s="29"/>
      <c r="P401" s="22"/>
      <c r="X401" s="22"/>
    </row>
    <row r="402" spans="10:24">
      <c r="J402" s="20" t="e">
        <f>VLOOKUP(G402,MD!M$2:O$93,3,FALSE)</f>
        <v>#N/A</v>
      </c>
      <c r="K402" s="29"/>
      <c r="P402" s="22"/>
      <c r="X402" s="22"/>
    </row>
    <row r="403" spans="10:24">
      <c r="J403" s="20" t="e">
        <f>VLOOKUP(G403,MD!M$2:O$93,3,FALSE)</f>
        <v>#N/A</v>
      </c>
      <c r="K403" s="29"/>
      <c r="P403" s="22"/>
      <c r="X403" s="22"/>
    </row>
    <row r="404" spans="10:24">
      <c r="J404" s="20" t="e">
        <f>VLOOKUP(G404,MD!M$2:O$93,3,FALSE)</f>
        <v>#N/A</v>
      </c>
      <c r="K404" s="29"/>
      <c r="P404" s="22"/>
      <c r="X404" s="22"/>
    </row>
    <row r="405" spans="10:24">
      <c r="J405" s="20" t="e">
        <f>VLOOKUP(G405,MD!M$2:O$93,3,FALSE)</f>
        <v>#N/A</v>
      </c>
      <c r="K405" s="29"/>
      <c r="P405" s="22"/>
      <c r="X405" s="22"/>
    </row>
    <row r="406" spans="10:24">
      <c r="J406" s="20" t="e">
        <f>VLOOKUP(G406,MD!M$2:O$93,3,FALSE)</f>
        <v>#N/A</v>
      </c>
      <c r="K406" s="29"/>
      <c r="P406" s="22"/>
      <c r="X406" s="22"/>
    </row>
    <row r="407" spans="10:24">
      <c r="J407" s="20" t="e">
        <f>VLOOKUP(G407,MD!M$2:O$93,3,FALSE)</f>
        <v>#N/A</v>
      </c>
      <c r="K407" s="29"/>
      <c r="P407" s="22"/>
      <c r="X407" s="22"/>
    </row>
    <row r="408" spans="10:24">
      <c r="J408" s="20" t="e">
        <f>VLOOKUP(G408,MD!M$2:O$93,3,FALSE)</f>
        <v>#N/A</v>
      </c>
      <c r="K408" s="29"/>
      <c r="P408" s="22"/>
      <c r="X408" s="22"/>
    </row>
    <row r="409" spans="10:24">
      <c r="J409" s="20" t="e">
        <f>VLOOKUP(G409,MD!M$2:O$93,3,FALSE)</f>
        <v>#N/A</v>
      </c>
      <c r="K409" s="29"/>
      <c r="P409" s="22"/>
      <c r="X409" s="22"/>
    </row>
    <row r="410" spans="10:24">
      <c r="J410" s="20" t="e">
        <f>VLOOKUP(G410,MD!M$2:O$93,3,FALSE)</f>
        <v>#N/A</v>
      </c>
      <c r="K410" s="29"/>
      <c r="P410" s="22"/>
      <c r="X410" s="22"/>
    </row>
    <row r="411" spans="10:24">
      <c r="J411" s="20" t="e">
        <f>VLOOKUP(G411,MD!M$2:O$93,3,FALSE)</f>
        <v>#N/A</v>
      </c>
      <c r="K411" s="29"/>
      <c r="P411" s="22"/>
      <c r="X411" s="22"/>
    </row>
    <row r="412" spans="10:24">
      <c r="J412" s="20" t="e">
        <f>VLOOKUP(G412,MD!M$2:O$93,3,FALSE)</f>
        <v>#N/A</v>
      </c>
      <c r="K412" s="29"/>
      <c r="P412" s="22"/>
      <c r="X412" s="22"/>
    </row>
    <row r="413" spans="10:24">
      <c r="J413" s="20" t="e">
        <f>VLOOKUP(G413,MD!M$2:O$93,3,FALSE)</f>
        <v>#N/A</v>
      </c>
      <c r="K413" s="29"/>
      <c r="P413" s="22"/>
      <c r="X413" s="22"/>
    </row>
    <row r="414" spans="10:24">
      <c r="J414" s="20" t="e">
        <f>VLOOKUP(G414,MD!M$2:O$93,3,FALSE)</f>
        <v>#N/A</v>
      </c>
      <c r="K414" s="29"/>
      <c r="P414" s="22"/>
      <c r="X414" s="22"/>
    </row>
    <row r="415" spans="10:24">
      <c r="J415" s="20" t="e">
        <f>VLOOKUP(G415,MD!M$2:O$93,3,FALSE)</f>
        <v>#N/A</v>
      </c>
      <c r="K415" s="29"/>
      <c r="P415" s="22"/>
      <c r="X415" s="22"/>
    </row>
    <row r="416" spans="10:24">
      <c r="J416" s="20" t="e">
        <f>VLOOKUP(G416,MD!M$2:O$93,3,FALSE)</f>
        <v>#N/A</v>
      </c>
      <c r="K416" s="29"/>
      <c r="P416" s="22"/>
      <c r="X416" s="22"/>
    </row>
    <row r="417" spans="10:24">
      <c r="J417" s="20" t="e">
        <f>VLOOKUP(G417,MD!M$2:O$93,3,FALSE)</f>
        <v>#N/A</v>
      </c>
      <c r="K417" s="29"/>
      <c r="P417" s="22"/>
      <c r="X417" s="22"/>
    </row>
    <row r="418" spans="10:24">
      <c r="J418" s="20" t="e">
        <f>VLOOKUP(G418,MD!M$2:O$93,3,FALSE)</f>
        <v>#N/A</v>
      </c>
      <c r="K418" s="29"/>
      <c r="P418" s="22"/>
      <c r="X418" s="22"/>
    </row>
    <row r="419" spans="10:24">
      <c r="J419" s="20" t="e">
        <f>VLOOKUP(G419,MD!M$2:O$93,3,FALSE)</f>
        <v>#N/A</v>
      </c>
      <c r="K419" s="29"/>
      <c r="P419" s="22"/>
      <c r="X419" s="22"/>
    </row>
    <row r="420" spans="10:24">
      <c r="J420" s="20" t="e">
        <f>VLOOKUP(G420,MD!M$2:O$93,3,FALSE)</f>
        <v>#N/A</v>
      </c>
      <c r="K420" s="29"/>
      <c r="P420" s="22"/>
      <c r="X420" s="22"/>
    </row>
    <row r="421" spans="10:24">
      <c r="J421" s="20" t="e">
        <f>VLOOKUP(G421,MD!M$2:O$93,3,FALSE)</f>
        <v>#N/A</v>
      </c>
      <c r="K421" s="29"/>
      <c r="P421" s="22"/>
      <c r="X421" s="22"/>
    </row>
    <row r="422" spans="10:24">
      <c r="J422" s="20" t="e">
        <f>VLOOKUP(G422,MD!M$2:O$93,3,FALSE)</f>
        <v>#N/A</v>
      </c>
      <c r="K422" s="29"/>
      <c r="P422" s="22"/>
      <c r="X422" s="22"/>
    </row>
    <row r="423" spans="10:24">
      <c r="J423" s="20" t="e">
        <f>VLOOKUP(G423,MD!M$2:O$93,3,FALSE)</f>
        <v>#N/A</v>
      </c>
      <c r="K423" s="29"/>
      <c r="P423" s="22"/>
      <c r="X423" s="22"/>
    </row>
    <row r="424" spans="10:24">
      <c r="J424" s="20" t="e">
        <f>VLOOKUP(G424,MD!M$2:O$93,3,FALSE)</f>
        <v>#N/A</v>
      </c>
      <c r="K424" s="29"/>
      <c r="P424" s="22"/>
      <c r="X424" s="22"/>
    </row>
    <row r="425" spans="10:24">
      <c r="J425" s="20" t="e">
        <f>VLOOKUP(G425,MD!M$2:O$93,3,FALSE)</f>
        <v>#N/A</v>
      </c>
      <c r="K425" s="29"/>
      <c r="P425" s="22"/>
      <c r="X425" s="22"/>
    </row>
    <row r="426" spans="10:24">
      <c r="J426" s="20" t="e">
        <f>VLOOKUP(G426,MD!M$2:O$93,3,FALSE)</f>
        <v>#N/A</v>
      </c>
      <c r="K426" s="29"/>
      <c r="P426" s="22"/>
      <c r="X426" s="22"/>
    </row>
    <row r="427" spans="10:24">
      <c r="J427" s="20" t="e">
        <f>VLOOKUP(G427,MD!M$2:O$93,3,FALSE)</f>
        <v>#N/A</v>
      </c>
      <c r="K427" s="29"/>
      <c r="P427" s="22"/>
      <c r="X427" s="22"/>
    </row>
    <row r="428" spans="10:24">
      <c r="J428" s="20" t="e">
        <f>VLOOKUP(G428,MD!M$2:O$93,3,FALSE)</f>
        <v>#N/A</v>
      </c>
      <c r="K428" s="29"/>
      <c r="P428" s="22"/>
      <c r="X428" s="22"/>
    </row>
    <row r="429" spans="10:24">
      <c r="J429" s="20" t="e">
        <f>VLOOKUP(G429,MD!M$2:O$93,3,FALSE)</f>
        <v>#N/A</v>
      </c>
      <c r="K429" s="29"/>
      <c r="P429" s="22"/>
      <c r="X429" s="22"/>
    </row>
    <row r="430" spans="10:24">
      <c r="J430" s="20" t="e">
        <f>VLOOKUP(G430,MD!M$2:O$93,3,FALSE)</f>
        <v>#N/A</v>
      </c>
      <c r="K430" s="29"/>
      <c r="P430" s="22"/>
      <c r="X430" s="22"/>
    </row>
    <row r="431" spans="10:24">
      <c r="J431" s="20" t="e">
        <f>VLOOKUP(G431,MD!M$2:O$93,3,FALSE)</f>
        <v>#N/A</v>
      </c>
      <c r="K431" s="29"/>
      <c r="P431" s="22"/>
      <c r="X431" s="22"/>
    </row>
    <row r="432" spans="10:24">
      <c r="J432" s="20" t="e">
        <f>VLOOKUP(G432,MD!M$2:O$93,3,FALSE)</f>
        <v>#N/A</v>
      </c>
      <c r="K432" s="29"/>
      <c r="P432" s="22"/>
      <c r="X432" s="22"/>
    </row>
    <row r="433" spans="10:24">
      <c r="J433" s="20" t="e">
        <f>VLOOKUP(G433,MD!M$2:O$93,3,FALSE)</f>
        <v>#N/A</v>
      </c>
      <c r="K433" s="29"/>
      <c r="P433" s="22"/>
      <c r="X433" s="22"/>
    </row>
    <row r="434" spans="10:24">
      <c r="J434" s="20" t="e">
        <f>VLOOKUP(G434,MD!M$2:O$93,3,FALSE)</f>
        <v>#N/A</v>
      </c>
      <c r="K434" s="29"/>
      <c r="P434" s="22"/>
      <c r="X434" s="22"/>
    </row>
    <row r="435" spans="10:24">
      <c r="J435" s="20" t="e">
        <f>VLOOKUP(G435,MD!M$2:O$93,3,FALSE)</f>
        <v>#N/A</v>
      </c>
      <c r="K435" s="29"/>
      <c r="P435" s="22"/>
      <c r="X435" s="22"/>
    </row>
    <row r="436" spans="10:24">
      <c r="J436" s="20" t="e">
        <f>VLOOKUP(G436,MD!M$2:O$93,3,FALSE)</f>
        <v>#N/A</v>
      </c>
      <c r="K436" s="29"/>
      <c r="P436" s="22"/>
      <c r="X436" s="22"/>
    </row>
    <row r="437" spans="10:24">
      <c r="J437" s="20" t="e">
        <f>VLOOKUP(G437,MD!M$2:O$93,3,FALSE)</f>
        <v>#N/A</v>
      </c>
      <c r="K437" s="29"/>
      <c r="P437" s="22"/>
      <c r="X437" s="22"/>
    </row>
    <row r="438" spans="10:24">
      <c r="J438" s="20" t="e">
        <f>VLOOKUP(G438,MD!M$2:O$93,3,FALSE)</f>
        <v>#N/A</v>
      </c>
      <c r="K438" s="29"/>
      <c r="P438" s="22"/>
      <c r="X438" s="22"/>
    </row>
    <row r="439" spans="10:24">
      <c r="J439" s="20" t="e">
        <f>VLOOKUP(G439,MD!M$2:O$93,3,FALSE)</f>
        <v>#N/A</v>
      </c>
      <c r="K439" s="29"/>
      <c r="P439" s="22"/>
      <c r="X439" s="22"/>
    </row>
    <row r="440" spans="10:24">
      <c r="J440" s="20" t="e">
        <f>VLOOKUP(G440,MD!M$2:O$93,3,FALSE)</f>
        <v>#N/A</v>
      </c>
      <c r="K440" s="29"/>
      <c r="P440" s="22"/>
      <c r="X440" s="22"/>
    </row>
    <row r="441" spans="10:24">
      <c r="J441" s="20" t="e">
        <f>VLOOKUP(G441,MD!M$2:O$93,3,FALSE)</f>
        <v>#N/A</v>
      </c>
      <c r="K441" s="29"/>
      <c r="P441" s="22"/>
      <c r="X441" s="22"/>
    </row>
    <row r="442" spans="10:24">
      <c r="J442" s="20" t="e">
        <f>VLOOKUP(G442,MD!M$2:O$93,3,FALSE)</f>
        <v>#N/A</v>
      </c>
      <c r="K442" s="29"/>
      <c r="P442" s="22"/>
      <c r="X442" s="22"/>
    </row>
    <row r="443" spans="10:24">
      <c r="J443" s="20" t="e">
        <f>VLOOKUP(G443,MD!M$2:O$93,3,FALSE)</f>
        <v>#N/A</v>
      </c>
      <c r="K443" s="29"/>
      <c r="P443" s="22"/>
      <c r="X443" s="22"/>
    </row>
    <row r="444" spans="10:24">
      <c r="J444" s="20" t="e">
        <f>VLOOKUP(G444,MD!M$2:O$93,3,FALSE)</f>
        <v>#N/A</v>
      </c>
      <c r="K444" s="29"/>
      <c r="P444" s="22"/>
      <c r="X444" s="22"/>
    </row>
    <row r="445" spans="10:24">
      <c r="J445" s="20" t="e">
        <f>VLOOKUP(G445,MD!M$2:O$93,3,FALSE)</f>
        <v>#N/A</v>
      </c>
      <c r="K445" s="29"/>
      <c r="P445" s="22"/>
      <c r="X445" s="22"/>
    </row>
    <row r="446" spans="10:24">
      <c r="J446" s="20" t="e">
        <f>VLOOKUP(G446,MD!M$2:O$93,3,FALSE)</f>
        <v>#N/A</v>
      </c>
      <c r="K446" s="29"/>
      <c r="P446" s="22"/>
      <c r="X446" s="22"/>
    </row>
    <row r="447" spans="10:24">
      <c r="J447" s="20" t="e">
        <f>VLOOKUP(G447,MD!M$2:O$93,3,FALSE)</f>
        <v>#N/A</v>
      </c>
      <c r="K447" s="29"/>
      <c r="P447" s="22"/>
      <c r="X447" s="22"/>
    </row>
    <row r="448" spans="10:24">
      <c r="J448" s="20" t="e">
        <f>VLOOKUP(G448,MD!M$2:O$93,3,FALSE)</f>
        <v>#N/A</v>
      </c>
      <c r="K448" s="29"/>
      <c r="P448" s="22"/>
      <c r="X448" s="22"/>
    </row>
    <row r="449" spans="10:24">
      <c r="J449" s="20" t="e">
        <f>VLOOKUP(G449,MD!M$2:O$93,3,FALSE)</f>
        <v>#N/A</v>
      </c>
      <c r="K449" s="29"/>
      <c r="P449" s="22"/>
      <c r="X449" s="22"/>
    </row>
    <row r="450" spans="10:24">
      <c r="J450" s="20" t="e">
        <f>VLOOKUP(G450,MD!M$2:O$93,3,FALSE)</f>
        <v>#N/A</v>
      </c>
      <c r="K450" s="29"/>
      <c r="P450" s="22"/>
      <c r="X450" s="22"/>
    </row>
    <row r="451" spans="10:24">
      <c r="J451" s="20" t="e">
        <f>VLOOKUP(G451,MD!M$2:O$93,3,FALSE)</f>
        <v>#N/A</v>
      </c>
      <c r="K451" s="29"/>
      <c r="P451" s="22"/>
      <c r="X451" s="22"/>
    </row>
    <row r="452" spans="10:24">
      <c r="J452" s="20" t="e">
        <f>VLOOKUP(G452,MD!M$2:O$93,3,FALSE)</f>
        <v>#N/A</v>
      </c>
      <c r="K452" s="29"/>
      <c r="P452" s="22"/>
      <c r="X452" s="22"/>
    </row>
    <row r="453" spans="10:24">
      <c r="J453" s="20" t="e">
        <f>VLOOKUP(G453,MD!M$2:O$93,3,FALSE)</f>
        <v>#N/A</v>
      </c>
      <c r="K453" s="29"/>
      <c r="P453" s="22"/>
      <c r="X453" s="22"/>
    </row>
    <row r="454" spans="10:24">
      <c r="J454" s="20" t="e">
        <f>VLOOKUP(G454,MD!M$2:O$93,3,FALSE)</f>
        <v>#N/A</v>
      </c>
      <c r="K454" s="29"/>
      <c r="P454" s="22"/>
      <c r="X454" s="22"/>
    </row>
    <row r="455" spans="10:24">
      <c r="J455" s="20" t="e">
        <f>VLOOKUP(G455,MD!M$2:O$93,3,FALSE)</f>
        <v>#N/A</v>
      </c>
      <c r="K455" s="29"/>
      <c r="P455" s="22"/>
      <c r="X455" s="22"/>
    </row>
    <row r="456" spans="10:24">
      <c r="J456" s="20" t="e">
        <f>VLOOKUP(G456,MD!M$2:O$93,3,FALSE)</f>
        <v>#N/A</v>
      </c>
      <c r="K456" s="29"/>
      <c r="P456" s="22"/>
      <c r="X456" s="22"/>
    </row>
    <row r="457" spans="10:24">
      <c r="J457" s="20" t="e">
        <f>VLOOKUP(G457,MD!M$2:O$93,3,FALSE)</f>
        <v>#N/A</v>
      </c>
      <c r="K457" s="29"/>
      <c r="P457" s="22"/>
      <c r="X457" s="22"/>
    </row>
    <row r="458" spans="10:24">
      <c r="J458" s="20" t="e">
        <f>VLOOKUP(G458,MD!M$2:O$93,3,FALSE)</f>
        <v>#N/A</v>
      </c>
      <c r="K458" s="29"/>
      <c r="P458" s="22"/>
      <c r="X458" s="22"/>
    </row>
    <row r="459" spans="10:24">
      <c r="J459" s="20" t="e">
        <f>VLOOKUP(G459,MD!M$2:O$93,3,FALSE)</f>
        <v>#N/A</v>
      </c>
      <c r="K459" s="29"/>
      <c r="P459" s="22"/>
      <c r="X459" s="22"/>
    </row>
    <row r="460" spans="10:24">
      <c r="J460" s="20" t="e">
        <f>VLOOKUP(G460,MD!M$2:O$93,3,FALSE)</f>
        <v>#N/A</v>
      </c>
      <c r="K460" s="29"/>
      <c r="P460" s="22"/>
      <c r="X460" s="22"/>
    </row>
    <row r="461" spans="10:24">
      <c r="J461" s="20" t="e">
        <f>VLOOKUP(G461,MD!M$2:O$93,3,FALSE)</f>
        <v>#N/A</v>
      </c>
      <c r="K461" s="29"/>
      <c r="P461" s="22"/>
      <c r="X461" s="22"/>
    </row>
    <row r="462" spans="10:24">
      <c r="J462" s="20" t="e">
        <f>VLOOKUP(G462,MD!M$2:O$93,3,FALSE)</f>
        <v>#N/A</v>
      </c>
      <c r="K462" s="29"/>
      <c r="P462" s="22"/>
      <c r="X462" s="22"/>
    </row>
    <row r="463" spans="10:24">
      <c r="J463" s="20" t="e">
        <f>VLOOKUP(G463,MD!M$2:O$93,3,FALSE)</f>
        <v>#N/A</v>
      </c>
      <c r="K463" s="29"/>
      <c r="P463" s="22"/>
      <c r="X463" s="22"/>
    </row>
    <row r="464" spans="10:24">
      <c r="J464" s="20" t="e">
        <f>VLOOKUP(G464,MD!M$2:O$93,3,FALSE)</f>
        <v>#N/A</v>
      </c>
      <c r="K464" s="29"/>
      <c r="P464" s="22"/>
      <c r="X464" s="22"/>
    </row>
    <row r="465" spans="10:24">
      <c r="J465" s="20" t="e">
        <f>VLOOKUP(G465,MD!M$2:O$93,3,FALSE)</f>
        <v>#N/A</v>
      </c>
      <c r="K465" s="29"/>
      <c r="P465" s="22"/>
      <c r="X465" s="22"/>
    </row>
    <row r="466" spans="10:24">
      <c r="J466" s="20" t="e">
        <f>VLOOKUP(G466,MD!M$2:O$93,3,FALSE)</f>
        <v>#N/A</v>
      </c>
      <c r="K466" s="29"/>
      <c r="P466" s="22"/>
      <c r="X466" s="22"/>
    </row>
    <row r="467" spans="10:24">
      <c r="J467" s="20" t="e">
        <f>VLOOKUP(G467,MD!M$2:O$93,3,FALSE)</f>
        <v>#N/A</v>
      </c>
      <c r="K467" s="29"/>
      <c r="P467" s="22"/>
      <c r="X467" s="22"/>
    </row>
    <row r="468" spans="10:24">
      <c r="J468" s="20" t="e">
        <f>VLOOKUP(G468,MD!M$2:O$93,3,FALSE)</f>
        <v>#N/A</v>
      </c>
      <c r="K468" s="29"/>
      <c r="P468" s="22"/>
      <c r="X468" s="22"/>
    </row>
    <row r="469" spans="10:24">
      <c r="J469" s="20" t="e">
        <f>VLOOKUP(G469,MD!M$2:O$93,3,FALSE)</f>
        <v>#N/A</v>
      </c>
      <c r="K469" s="29"/>
      <c r="P469" s="22"/>
      <c r="X469" s="22"/>
    </row>
    <row r="470" spans="10:24">
      <c r="J470" s="20" t="e">
        <f>VLOOKUP(G470,MD!M$2:O$93,3,FALSE)</f>
        <v>#N/A</v>
      </c>
      <c r="K470" s="29"/>
      <c r="P470" s="22"/>
      <c r="X470" s="22"/>
    </row>
    <row r="471" spans="10:24">
      <c r="J471" s="20" t="e">
        <f>VLOOKUP(G471,MD!M$2:O$93,3,FALSE)</f>
        <v>#N/A</v>
      </c>
      <c r="K471" s="29"/>
      <c r="P471" s="22"/>
      <c r="X471" s="22"/>
    </row>
    <row r="472" spans="10:24">
      <c r="J472" s="20" t="e">
        <f>VLOOKUP(G472,MD!M$2:O$93,3,FALSE)</f>
        <v>#N/A</v>
      </c>
      <c r="K472" s="29"/>
      <c r="P472" s="22"/>
      <c r="X472" s="22"/>
    </row>
    <row r="473" spans="10:24">
      <c r="J473" s="20" t="e">
        <f>VLOOKUP(G473,MD!M$2:O$93,3,FALSE)</f>
        <v>#N/A</v>
      </c>
      <c r="K473" s="29"/>
      <c r="P473" s="22"/>
      <c r="X473" s="22"/>
    </row>
    <row r="474" spans="10:24">
      <c r="J474" s="20" t="e">
        <f>VLOOKUP(G474,MD!M$2:O$93,3,FALSE)</f>
        <v>#N/A</v>
      </c>
      <c r="K474" s="29"/>
      <c r="P474" s="22"/>
      <c r="X474" s="22"/>
    </row>
    <row r="475" spans="10:24">
      <c r="J475" s="20" t="e">
        <f>VLOOKUP(G475,MD!M$2:O$93,3,FALSE)</f>
        <v>#N/A</v>
      </c>
      <c r="K475" s="29"/>
      <c r="P475" s="22"/>
      <c r="X475" s="22"/>
    </row>
    <row r="476" spans="10:24">
      <c r="J476" s="20" t="e">
        <f>VLOOKUP(G476,MD!M$2:O$93,3,FALSE)</f>
        <v>#N/A</v>
      </c>
      <c r="K476" s="29"/>
      <c r="P476" s="22"/>
      <c r="X476" s="22"/>
    </row>
    <row r="477" spans="10:24">
      <c r="J477" s="20" t="e">
        <f>VLOOKUP(G477,MD!M$2:O$93,3,FALSE)</f>
        <v>#N/A</v>
      </c>
      <c r="K477" s="29"/>
      <c r="P477" s="22"/>
      <c r="X477" s="22"/>
    </row>
    <row r="478" spans="10:24">
      <c r="J478" s="20" t="e">
        <f>VLOOKUP(G478,MD!M$2:O$93,3,FALSE)</f>
        <v>#N/A</v>
      </c>
      <c r="K478" s="29"/>
      <c r="P478" s="22"/>
      <c r="X478" s="22"/>
    </row>
    <row r="479" spans="10:24">
      <c r="J479" s="20" t="e">
        <f>VLOOKUP(G479,MD!M$2:O$93,3,FALSE)</f>
        <v>#N/A</v>
      </c>
      <c r="K479" s="29"/>
      <c r="P479" s="22"/>
      <c r="X479" s="22"/>
    </row>
    <row r="480" spans="10:24">
      <c r="J480" s="20" t="e">
        <f>VLOOKUP(G480,MD!M$2:O$93,3,FALSE)</f>
        <v>#N/A</v>
      </c>
      <c r="K480" s="29"/>
      <c r="P480" s="22"/>
      <c r="X480" s="22"/>
    </row>
    <row r="481" spans="10:24">
      <c r="J481" s="20" t="e">
        <f>VLOOKUP(G481,MD!M$2:O$93,3,FALSE)</f>
        <v>#N/A</v>
      </c>
      <c r="K481" s="29"/>
      <c r="P481" s="22"/>
      <c r="X481" s="22"/>
    </row>
    <row r="482" spans="10:24">
      <c r="J482" s="20" t="e">
        <f>VLOOKUP(G482,MD!M$2:O$93,3,FALSE)</f>
        <v>#N/A</v>
      </c>
      <c r="K482" s="29"/>
      <c r="P482" s="22"/>
      <c r="X482" s="22"/>
    </row>
    <row r="483" spans="10:24">
      <c r="J483" s="20" t="e">
        <f>VLOOKUP(G483,MD!M$2:O$93,3,FALSE)</f>
        <v>#N/A</v>
      </c>
      <c r="K483" s="29"/>
      <c r="P483" s="22"/>
      <c r="X483" s="22"/>
    </row>
    <row r="484" spans="10:24">
      <c r="J484" s="20" t="e">
        <f>VLOOKUP(G484,MD!M$2:O$93,3,FALSE)</f>
        <v>#N/A</v>
      </c>
      <c r="K484" s="29"/>
      <c r="P484" s="22"/>
      <c r="X484" s="22"/>
    </row>
    <row r="485" spans="10:24">
      <c r="J485" s="20" t="e">
        <f>VLOOKUP(G485,MD!M$2:O$93,3,FALSE)</f>
        <v>#N/A</v>
      </c>
      <c r="K485" s="29"/>
      <c r="P485" s="22"/>
      <c r="X485" s="22"/>
    </row>
    <row r="486" spans="10:24">
      <c r="J486" s="20" t="e">
        <f>VLOOKUP(G486,MD!M$2:O$93,3,FALSE)</f>
        <v>#N/A</v>
      </c>
      <c r="K486" s="29"/>
      <c r="P486" s="22"/>
      <c r="X486" s="22"/>
    </row>
    <row r="487" spans="10:24">
      <c r="J487" s="20" t="e">
        <f>VLOOKUP(G487,MD!M$2:O$93,3,FALSE)</f>
        <v>#N/A</v>
      </c>
      <c r="K487" s="29"/>
      <c r="P487" s="22"/>
      <c r="X487" s="22"/>
    </row>
    <row r="488" spans="10:24">
      <c r="J488" s="20" t="e">
        <f>VLOOKUP(G488,MD!M$2:O$93,3,FALSE)</f>
        <v>#N/A</v>
      </c>
      <c r="K488" s="29"/>
      <c r="P488" s="22"/>
      <c r="X488" s="22"/>
    </row>
    <row r="489" spans="10:24">
      <c r="J489" s="20" t="e">
        <f>VLOOKUP(G489,MD!M$2:O$93,3,FALSE)</f>
        <v>#N/A</v>
      </c>
      <c r="K489" s="29"/>
      <c r="P489" s="22"/>
      <c r="X489" s="22"/>
    </row>
    <row r="490" spans="10:24">
      <c r="J490" s="20" t="e">
        <f>VLOOKUP(G490,MD!M$2:O$93,3,FALSE)</f>
        <v>#N/A</v>
      </c>
      <c r="K490" s="29"/>
      <c r="P490" s="22"/>
      <c r="X490" s="22"/>
    </row>
    <row r="491" spans="10:24">
      <c r="J491" s="20" t="e">
        <f>VLOOKUP(G491,MD!M$2:O$93,3,FALSE)</f>
        <v>#N/A</v>
      </c>
      <c r="K491" s="29"/>
      <c r="P491" s="22"/>
      <c r="X491" s="22"/>
    </row>
    <row r="492" spans="10:24">
      <c r="J492" s="20" t="e">
        <f>VLOOKUP(G492,MD!M$2:O$93,3,FALSE)</f>
        <v>#N/A</v>
      </c>
      <c r="K492" s="29"/>
      <c r="P492" s="22"/>
      <c r="X492" s="22"/>
    </row>
    <row r="493" spans="10:24">
      <c r="J493" s="20" t="e">
        <f>VLOOKUP(G493,MD!M$2:O$93,3,FALSE)</f>
        <v>#N/A</v>
      </c>
      <c r="K493" s="29"/>
      <c r="P493" s="22"/>
      <c r="X493" s="22"/>
    </row>
    <row r="494" spans="10:24">
      <c r="J494" s="20" t="e">
        <f>VLOOKUP(G494,MD!M$2:O$93,3,FALSE)</f>
        <v>#N/A</v>
      </c>
      <c r="K494" s="29"/>
      <c r="P494" s="22"/>
      <c r="X494" s="22"/>
    </row>
    <row r="495" spans="10:24">
      <c r="J495" s="20" t="e">
        <f>VLOOKUP(G495,MD!M$2:O$93,3,FALSE)</f>
        <v>#N/A</v>
      </c>
      <c r="K495" s="29"/>
      <c r="P495" s="22"/>
      <c r="X495" s="22"/>
    </row>
    <row r="496" spans="10:24">
      <c r="J496" s="20" t="e">
        <f>VLOOKUP(G496,MD!M$2:O$93,3,FALSE)</f>
        <v>#N/A</v>
      </c>
      <c r="K496" s="29"/>
      <c r="P496" s="22"/>
      <c r="X496" s="22"/>
    </row>
    <row r="497" spans="10:24">
      <c r="J497" s="20" t="e">
        <f>VLOOKUP(G497,MD!M$2:O$93,3,FALSE)</f>
        <v>#N/A</v>
      </c>
      <c r="K497" s="29"/>
      <c r="P497" s="22"/>
      <c r="X497" s="22"/>
    </row>
    <row r="498" spans="10:24">
      <c r="J498" s="20" t="e">
        <f>VLOOKUP(G498,MD!M$2:O$93,3,FALSE)</f>
        <v>#N/A</v>
      </c>
      <c r="K498" s="29"/>
      <c r="P498" s="22"/>
      <c r="X498" s="22"/>
    </row>
    <row r="499" spans="10:24">
      <c r="J499" s="20" t="e">
        <f>VLOOKUP(G499,MD!M$2:O$93,3,FALSE)</f>
        <v>#N/A</v>
      </c>
      <c r="K499" s="29"/>
      <c r="P499" s="22"/>
      <c r="X499" s="22"/>
    </row>
    <row r="500" spans="10:24">
      <c r="J500" s="20" t="e">
        <f>VLOOKUP(G500,MD!M$2:O$93,3,FALSE)</f>
        <v>#N/A</v>
      </c>
      <c r="K500" s="29"/>
      <c r="P500" s="22"/>
      <c r="X500" s="22"/>
    </row>
    <row r="501" spans="10:24">
      <c r="J501" s="20" t="e">
        <f>VLOOKUP(G501,MD!M$2:O$93,3,FALSE)</f>
        <v>#N/A</v>
      </c>
      <c r="K501" s="29"/>
      <c r="P501" s="22"/>
      <c r="X501" s="22"/>
    </row>
    <row r="502" spans="10:24">
      <c r="J502" s="20" t="e">
        <f>VLOOKUP(G502,MD!M$2:O$93,3,FALSE)</f>
        <v>#N/A</v>
      </c>
      <c r="K502" s="29"/>
      <c r="P502" s="22"/>
      <c r="X502" s="22"/>
    </row>
    <row r="503" spans="10:24">
      <c r="J503" s="20" t="e">
        <f>VLOOKUP(G503,MD!M$2:O$93,3,FALSE)</f>
        <v>#N/A</v>
      </c>
      <c r="K503" s="29"/>
      <c r="P503" s="22"/>
      <c r="X503" s="22"/>
    </row>
    <row r="504" spans="10:24">
      <c r="J504" s="20" t="e">
        <f>VLOOKUP(G504,MD!M$2:O$93,3,FALSE)</f>
        <v>#N/A</v>
      </c>
      <c r="K504" s="29"/>
      <c r="P504" s="22"/>
      <c r="X504" s="22"/>
    </row>
    <row r="505" spans="10:24">
      <c r="J505" s="20" t="e">
        <f>VLOOKUP(G505,MD!M$2:O$93,3,FALSE)</f>
        <v>#N/A</v>
      </c>
      <c r="K505" s="29"/>
      <c r="P505" s="22"/>
      <c r="X505" s="22"/>
    </row>
    <row r="506" spans="10:24">
      <c r="J506" s="20" t="e">
        <f>VLOOKUP(G506,MD!M$2:O$93,3,FALSE)</f>
        <v>#N/A</v>
      </c>
      <c r="K506" s="29"/>
      <c r="P506" s="22"/>
      <c r="X506" s="22"/>
    </row>
    <row r="507" spans="10:24">
      <c r="J507" s="20" t="e">
        <f>VLOOKUP(G507,MD!M$2:O$93,3,FALSE)</f>
        <v>#N/A</v>
      </c>
      <c r="K507" s="29"/>
      <c r="P507" s="22"/>
      <c r="X507" s="22"/>
    </row>
    <row r="508" spans="10:24">
      <c r="J508" s="20" t="e">
        <f>VLOOKUP(G508,MD!M$2:O$93,3,FALSE)</f>
        <v>#N/A</v>
      </c>
      <c r="K508" s="29"/>
      <c r="P508" s="22"/>
      <c r="X508" s="22"/>
    </row>
    <row r="509" spans="10:24">
      <c r="J509" s="20" t="e">
        <f>VLOOKUP(G509,MD!M$2:O$93,3,FALSE)</f>
        <v>#N/A</v>
      </c>
      <c r="K509" s="29"/>
      <c r="P509" s="22"/>
      <c r="X509" s="22"/>
    </row>
    <row r="510" spans="10:24">
      <c r="J510" s="20" t="e">
        <f>VLOOKUP(G510,MD!M$2:O$93,3,FALSE)</f>
        <v>#N/A</v>
      </c>
      <c r="K510" s="29"/>
      <c r="P510" s="22"/>
      <c r="X510" s="22"/>
    </row>
    <row r="511" spans="10:24">
      <c r="J511" s="20" t="e">
        <f>VLOOKUP(G511,MD!M$2:O$93,3,FALSE)</f>
        <v>#N/A</v>
      </c>
      <c r="K511" s="29"/>
      <c r="P511" s="22"/>
      <c r="X511" s="22"/>
    </row>
    <row r="512" spans="10:24">
      <c r="J512" s="20" t="e">
        <f>VLOOKUP(G512,MD!M$2:O$93,3,FALSE)</f>
        <v>#N/A</v>
      </c>
      <c r="K512" s="29"/>
      <c r="P512" s="22"/>
      <c r="X512" s="22"/>
    </row>
    <row r="513" spans="10:24">
      <c r="J513" s="20" t="e">
        <f>VLOOKUP(G513,MD!M$2:O$93,3,FALSE)</f>
        <v>#N/A</v>
      </c>
      <c r="K513" s="29"/>
      <c r="P513" s="22"/>
      <c r="X513" s="22"/>
    </row>
    <row r="514" spans="10:24">
      <c r="J514" s="20" t="e">
        <f>VLOOKUP(G514,MD!M$2:O$93,3,FALSE)</f>
        <v>#N/A</v>
      </c>
      <c r="K514" s="29"/>
      <c r="P514" s="22"/>
      <c r="X514" s="22"/>
    </row>
    <row r="515" spans="10:24">
      <c r="J515" s="20" t="e">
        <f>VLOOKUP(G515,MD!M$2:O$93,3,FALSE)</f>
        <v>#N/A</v>
      </c>
      <c r="K515" s="29"/>
      <c r="P515" s="22"/>
      <c r="X515" s="22"/>
    </row>
    <row r="516" spans="10:24">
      <c r="J516" s="20" t="e">
        <f>VLOOKUP(G516,MD!M$2:O$93,3,FALSE)</f>
        <v>#N/A</v>
      </c>
      <c r="K516" s="29"/>
      <c r="P516" s="22"/>
      <c r="X516" s="22"/>
    </row>
    <row r="517" spans="10:24">
      <c r="J517" s="20" t="e">
        <f>VLOOKUP(G517,MD!M$2:O$93,3,FALSE)</f>
        <v>#N/A</v>
      </c>
      <c r="K517" s="29"/>
      <c r="P517" s="22"/>
      <c r="X517" s="22"/>
    </row>
    <row r="518" spans="10:24">
      <c r="J518" s="20" t="e">
        <f>VLOOKUP(G518,MD!M$2:O$93,3,FALSE)</f>
        <v>#N/A</v>
      </c>
      <c r="K518" s="29"/>
      <c r="P518" s="22"/>
      <c r="X518" s="22"/>
    </row>
    <row r="519" spans="10:24">
      <c r="J519" s="20" t="e">
        <f>VLOOKUP(G519,MD!M$2:O$93,3,FALSE)</f>
        <v>#N/A</v>
      </c>
      <c r="K519" s="29"/>
      <c r="P519" s="22"/>
      <c r="X519" s="22"/>
    </row>
    <row r="520" spans="10:24">
      <c r="J520" s="20" t="e">
        <f>VLOOKUP(G520,MD!M$2:O$93,3,FALSE)</f>
        <v>#N/A</v>
      </c>
      <c r="K520" s="29"/>
      <c r="P520" s="22"/>
      <c r="X520" s="22"/>
    </row>
    <row r="521" spans="10:24">
      <c r="J521" s="20" t="e">
        <f>VLOOKUP(G521,MD!M$2:O$93,3,FALSE)</f>
        <v>#N/A</v>
      </c>
      <c r="K521" s="29"/>
      <c r="P521" s="22"/>
      <c r="X521" s="22"/>
    </row>
    <row r="522" spans="10:24">
      <c r="J522" s="20" t="e">
        <f>VLOOKUP(G522,MD!M$2:O$93,3,FALSE)</f>
        <v>#N/A</v>
      </c>
      <c r="K522" s="29"/>
      <c r="P522" s="22"/>
      <c r="X522" s="22"/>
    </row>
    <row r="523" spans="10:24">
      <c r="J523" s="20" t="e">
        <f>VLOOKUP(G523,MD!M$2:O$93,3,FALSE)</f>
        <v>#N/A</v>
      </c>
      <c r="K523" s="29"/>
      <c r="P523" s="22"/>
      <c r="X523" s="22"/>
    </row>
    <row r="524" spans="10:24">
      <c r="J524" s="20" t="e">
        <f>VLOOKUP(G524,MD!M$2:O$93,3,FALSE)</f>
        <v>#N/A</v>
      </c>
      <c r="K524" s="29"/>
      <c r="P524" s="22"/>
      <c r="X524" s="22"/>
    </row>
    <row r="525" spans="10:24">
      <c r="J525" s="20" t="e">
        <f>VLOOKUP(G525,MD!M$2:O$93,3,FALSE)</f>
        <v>#N/A</v>
      </c>
      <c r="K525" s="29"/>
      <c r="P525" s="22"/>
      <c r="X525" s="22"/>
    </row>
    <row r="526" spans="10:24">
      <c r="J526" s="20" t="e">
        <f>VLOOKUP(G526,MD!M$2:O$93,3,FALSE)</f>
        <v>#N/A</v>
      </c>
      <c r="K526" s="29"/>
      <c r="P526" s="22"/>
      <c r="X526" s="22"/>
    </row>
    <row r="527" spans="10:24">
      <c r="J527" s="20" t="e">
        <f>VLOOKUP(G527,MD!M$2:O$93,3,FALSE)</f>
        <v>#N/A</v>
      </c>
      <c r="K527" s="29"/>
      <c r="P527" s="22"/>
      <c r="X527" s="22"/>
    </row>
    <row r="528" spans="10:24">
      <c r="J528" s="20" t="e">
        <f>VLOOKUP(G528,MD!M$2:O$93,3,FALSE)</f>
        <v>#N/A</v>
      </c>
      <c r="K528" s="29"/>
      <c r="P528" s="22"/>
      <c r="X528" s="22"/>
    </row>
    <row r="529" spans="10:24">
      <c r="J529" s="20" t="e">
        <f>VLOOKUP(G529,MD!M$2:O$93,3,FALSE)</f>
        <v>#N/A</v>
      </c>
      <c r="K529" s="29"/>
      <c r="P529" s="22"/>
      <c r="X529" s="22"/>
    </row>
    <row r="530" spans="10:24">
      <c r="J530" s="20" t="e">
        <f>VLOOKUP(G530,MD!M$2:O$93,3,FALSE)</f>
        <v>#N/A</v>
      </c>
      <c r="K530" s="29"/>
      <c r="P530" s="22"/>
      <c r="X530" s="22"/>
    </row>
    <row r="531" spans="10:24">
      <c r="J531" s="20" t="e">
        <f>VLOOKUP(G531,MD!M$2:O$93,3,FALSE)</f>
        <v>#N/A</v>
      </c>
      <c r="K531" s="29"/>
      <c r="P531" s="22"/>
      <c r="X531" s="22"/>
    </row>
    <row r="532" spans="10:24">
      <c r="J532" s="20" t="e">
        <f>VLOOKUP(G532,MD!M$2:O$93,3,FALSE)</f>
        <v>#N/A</v>
      </c>
      <c r="K532" s="29"/>
      <c r="P532" s="22"/>
      <c r="X532" s="22"/>
    </row>
    <row r="533" spans="10:24">
      <c r="J533" s="20" t="e">
        <f>VLOOKUP(G533,MD!M$2:O$93,3,FALSE)</f>
        <v>#N/A</v>
      </c>
      <c r="K533" s="29"/>
      <c r="P533" s="22"/>
      <c r="X533" s="22"/>
    </row>
    <row r="534" spans="10:24">
      <c r="J534" s="20" t="e">
        <f>VLOOKUP(G534,MD!M$2:O$93,3,FALSE)</f>
        <v>#N/A</v>
      </c>
      <c r="K534" s="29"/>
      <c r="P534" s="22"/>
      <c r="X534" s="22"/>
    </row>
    <row r="535" spans="10:24">
      <c r="J535" s="20" t="e">
        <f>VLOOKUP(G535,MD!M$2:O$93,3,FALSE)</f>
        <v>#N/A</v>
      </c>
      <c r="K535" s="29"/>
      <c r="P535" s="22"/>
      <c r="X535" s="22"/>
    </row>
    <row r="536" spans="10:24">
      <c r="J536" s="20" t="e">
        <f>VLOOKUP(G536,MD!M$2:O$93,3,FALSE)</f>
        <v>#N/A</v>
      </c>
      <c r="K536" s="29"/>
      <c r="P536" s="22"/>
      <c r="X536" s="22"/>
    </row>
    <row r="537" spans="10:24">
      <c r="J537" s="20" t="e">
        <f>VLOOKUP(G537,MD!M$2:O$93,3,FALSE)</f>
        <v>#N/A</v>
      </c>
      <c r="K537" s="29"/>
      <c r="P537" s="22"/>
      <c r="X537" s="22"/>
    </row>
    <row r="538" spans="10:24">
      <c r="J538" s="20" t="e">
        <f>VLOOKUP(G538,MD!M$2:O$93,3,FALSE)</f>
        <v>#N/A</v>
      </c>
      <c r="K538" s="29"/>
      <c r="P538" s="22"/>
      <c r="X538" s="22"/>
    </row>
    <row r="539" spans="10:24">
      <c r="J539" s="20" t="e">
        <f>VLOOKUP(G539,MD!M$2:O$93,3,FALSE)</f>
        <v>#N/A</v>
      </c>
      <c r="K539" s="29"/>
      <c r="P539" s="22"/>
      <c r="X539" s="22"/>
    </row>
    <row r="540" spans="10:24">
      <c r="J540" s="20" t="e">
        <f>VLOOKUP(G540,MD!M$2:O$93,3,FALSE)</f>
        <v>#N/A</v>
      </c>
      <c r="K540" s="29"/>
      <c r="P540" s="22"/>
      <c r="X540" s="22"/>
    </row>
    <row r="541" spans="10:24">
      <c r="J541" s="20" t="e">
        <f>VLOOKUP(G541,MD!M$2:O$93,3,FALSE)</f>
        <v>#N/A</v>
      </c>
      <c r="K541" s="29"/>
      <c r="P541" s="22"/>
      <c r="X541" s="22"/>
    </row>
    <row r="542" spans="10:24">
      <c r="J542" s="20" t="e">
        <f>VLOOKUP(G542,MD!M$2:O$93,3,FALSE)</f>
        <v>#N/A</v>
      </c>
      <c r="K542" s="29"/>
      <c r="P542" s="22"/>
      <c r="X542" s="22"/>
    </row>
    <row r="543" spans="10:24">
      <c r="J543" s="20" t="e">
        <f>VLOOKUP(G543,MD!M$2:O$93,3,FALSE)</f>
        <v>#N/A</v>
      </c>
      <c r="K543" s="29"/>
      <c r="P543" s="22"/>
      <c r="X543" s="22"/>
    </row>
    <row r="544" spans="10:24">
      <c r="J544" s="20" t="e">
        <f>VLOOKUP(G544,MD!M$2:O$93,3,FALSE)</f>
        <v>#N/A</v>
      </c>
      <c r="K544" s="29"/>
      <c r="P544" s="22"/>
      <c r="X544" s="22"/>
    </row>
    <row r="545" spans="10:24">
      <c r="J545" s="20" t="e">
        <f>VLOOKUP(G545,MD!M$2:O$93,3,FALSE)</f>
        <v>#N/A</v>
      </c>
      <c r="K545" s="29"/>
      <c r="P545" s="22"/>
      <c r="X545" s="22"/>
    </row>
    <row r="546" spans="10:24">
      <c r="J546" s="20" t="e">
        <f>VLOOKUP(G546,MD!M$2:O$93,3,FALSE)</f>
        <v>#N/A</v>
      </c>
      <c r="K546" s="29"/>
      <c r="P546" s="22"/>
      <c r="X546" s="22"/>
    </row>
    <row r="547" spans="10:24">
      <c r="J547" s="20" t="e">
        <f>VLOOKUP(G547,MD!M$2:O$93,3,FALSE)</f>
        <v>#N/A</v>
      </c>
      <c r="K547" s="29"/>
      <c r="P547" s="22"/>
      <c r="X547" s="22"/>
    </row>
    <row r="548" spans="10:24">
      <c r="J548" s="20" t="e">
        <f>VLOOKUP(G548,MD!M$2:O$93,3,FALSE)</f>
        <v>#N/A</v>
      </c>
      <c r="K548" s="29"/>
      <c r="P548" s="22"/>
      <c r="X548" s="22"/>
    </row>
    <row r="549" spans="10:24">
      <c r="J549" s="20" t="e">
        <f>VLOOKUP(G549,MD!M$2:O$93,3,FALSE)</f>
        <v>#N/A</v>
      </c>
      <c r="K549" s="29"/>
      <c r="P549" s="22"/>
      <c r="X549" s="22"/>
    </row>
    <row r="550" spans="10:24">
      <c r="J550" s="20" t="e">
        <f>VLOOKUP(G550,MD!M$2:O$93,3,FALSE)</f>
        <v>#N/A</v>
      </c>
      <c r="K550" s="29"/>
      <c r="P550" s="22"/>
      <c r="X550" s="22"/>
    </row>
    <row r="551" spans="10:24">
      <c r="J551" s="20" t="e">
        <f>VLOOKUP(G551,MD!M$2:O$93,3,FALSE)</f>
        <v>#N/A</v>
      </c>
      <c r="K551" s="29"/>
      <c r="P551" s="22"/>
      <c r="X551" s="22"/>
    </row>
    <row r="552" spans="10:24">
      <c r="J552" s="20" t="e">
        <f>VLOOKUP(G552,MD!M$2:O$93,3,FALSE)</f>
        <v>#N/A</v>
      </c>
      <c r="K552" s="29"/>
      <c r="P552" s="22"/>
      <c r="X552" s="22"/>
    </row>
    <row r="553" spans="10:24">
      <c r="J553" s="20" t="e">
        <f>VLOOKUP(G553,MD!M$2:O$93,3,FALSE)</f>
        <v>#N/A</v>
      </c>
      <c r="K553" s="29"/>
      <c r="P553" s="22"/>
      <c r="X553" s="22"/>
    </row>
    <row r="554" spans="10:24">
      <c r="J554" s="20" t="e">
        <f>VLOOKUP(G554,MD!M$2:O$93,3,FALSE)</f>
        <v>#N/A</v>
      </c>
      <c r="K554" s="29"/>
      <c r="P554" s="22"/>
      <c r="X554" s="22"/>
    </row>
    <row r="555" spans="10:24">
      <c r="J555" s="20" t="e">
        <f>VLOOKUP(G555,MD!M$2:O$93,3,FALSE)</f>
        <v>#N/A</v>
      </c>
      <c r="K555" s="29"/>
      <c r="P555" s="22"/>
      <c r="X555" s="22"/>
    </row>
    <row r="556" spans="10:24">
      <c r="J556" s="20" t="e">
        <f>VLOOKUP(G556,MD!M$2:O$93,3,FALSE)</f>
        <v>#N/A</v>
      </c>
      <c r="K556" s="29"/>
      <c r="P556" s="22"/>
      <c r="X556" s="22"/>
    </row>
    <row r="557" spans="10:24">
      <c r="J557" s="20" t="e">
        <f>VLOOKUP(G557,MD!M$2:O$93,3,FALSE)</f>
        <v>#N/A</v>
      </c>
      <c r="K557" s="29"/>
      <c r="P557" s="22"/>
      <c r="X557" s="22"/>
    </row>
    <row r="558" spans="10:24">
      <c r="J558" s="20" t="e">
        <f>VLOOKUP(G558,MD!M$2:O$93,3,FALSE)</f>
        <v>#N/A</v>
      </c>
      <c r="K558" s="29"/>
      <c r="P558" s="22"/>
      <c r="X558" s="22"/>
    </row>
    <row r="559" spans="10:24">
      <c r="J559" s="20" t="e">
        <f>VLOOKUP(G559,MD!M$2:O$93,3,FALSE)</f>
        <v>#N/A</v>
      </c>
      <c r="K559" s="29"/>
      <c r="P559" s="22"/>
      <c r="X559" s="22"/>
    </row>
    <row r="560" spans="10:24">
      <c r="J560" s="20" t="e">
        <f>VLOOKUP(G560,MD!M$2:O$93,3,FALSE)</f>
        <v>#N/A</v>
      </c>
      <c r="K560" s="29"/>
      <c r="P560" s="22"/>
      <c r="X560" s="22"/>
    </row>
    <row r="561" spans="10:24">
      <c r="J561" s="20" t="e">
        <f>VLOOKUP(G561,MD!M$2:O$93,3,FALSE)</f>
        <v>#N/A</v>
      </c>
      <c r="K561" s="29"/>
      <c r="P561" s="22"/>
      <c r="X561" s="22"/>
    </row>
    <row r="562" spans="10:24">
      <c r="J562" s="20" t="e">
        <f>VLOOKUP(G562,MD!M$2:O$93,3,FALSE)</f>
        <v>#N/A</v>
      </c>
      <c r="K562" s="29"/>
      <c r="P562" s="22"/>
      <c r="X562" s="22"/>
    </row>
    <row r="563" spans="10:24">
      <c r="J563" s="20" t="e">
        <f>VLOOKUP(G563,MD!M$2:O$93,3,FALSE)</f>
        <v>#N/A</v>
      </c>
      <c r="K563" s="29"/>
      <c r="P563" s="22"/>
      <c r="X563" s="22"/>
    </row>
    <row r="564" spans="10:24">
      <c r="J564" s="20" t="e">
        <f>VLOOKUP(G564,MD!M$2:O$93,3,FALSE)</f>
        <v>#N/A</v>
      </c>
      <c r="K564" s="29"/>
      <c r="P564" s="22"/>
      <c r="X564" s="22"/>
    </row>
    <row r="565" spans="10:24">
      <c r="J565" s="20" t="e">
        <f>VLOOKUP(G565,MD!M$2:O$93,3,FALSE)</f>
        <v>#N/A</v>
      </c>
      <c r="K565" s="29"/>
      <c r="P565" s="22"/>
      <c r="X565" s="22"/>
    </row>
    <row r="566" spans="10:24">
      <c r="J566" s="20" t="e">
        <f>VLOOKUP(G566,MD!M$2:O$93,3,FALSE)</f>
        <v>#N/A</v>
      </c>
      <c r="K566" s="29"/>
      <c r="P566" s="22"/>
      <c r="X566" s="22"/>
    </row>
    <row r="567" spans="10:24">
      <c r="J567" s="20" t="e">
        <f>VLOOKUP(G567,MD!M$2:O$93,3,FALSE)</f>
        <v>#N/A</v>
      </c>
      <c r="K567" s="29"/>
      <c r="P567" s="22"/>
      <c r="X567" s="22"/>
    </row>
    <row r="568" spans="10:24">
      <c r="J568" s="20" t="e">
        <f>VLOOKUP(G568,MD!M$2:O$93,3,FALSE)</f>
        <v>#N/A</v>
      </c>
      <c r="K568" s="29"/>
      <c r="P568" s="22"/>
      <c r="X568" s="22"/>
    </row>
    <row r="569" spans="10:24">
      <c r="J569" s="20" t="e">
        <f>VLOOKUP(G569,MD!M$2:O$93,3,FALSE)</f>
        <v>#N/A</v>
      </c>
      <c r="K569" s="29"/>
      <c r="P569" s="22"/>
      <c r="X569" s="22"/>
    </row>
    <row r="570" spans="10:24">
      <c r="J570" s="20" t="e">
        <f>VLOOKUP(G570,MD!M$2:O$93,3,FALSE)</f>
        <v>#N/A</v>
      </c>
      <c r="K570" s="29"/>
      <c r="P570" s="22"/>
      <c r="X570" s="22"/>
    </row>
    <row r="571" spans="10:24">
      <c r="J571" s="20" t="e">
        <f>VLOOKUP(G571,MD!M$2:O$93,3,FALSE)</f>
        <v>#N/A</v>
      </c>
      <c r="K571" s="29"/>
      <c r="P571" s="22"/>
      <c r="X571" s="22"/>
    </row>
    <row r="572" spans="10:24">
      <c r="J572" s="20" t="e">
        <f>VLOOKUP(G572,MD!M$2:O$93,3,FALSE)</f>
        <v>#N/A</v>
      </c>
      <c r="K572" s="29"/>
      <c r="P572" s="22"/>
      <c r="X572" s="22"/>
    </row>
    <row r="573" spans="10:24">
      <c r="J573" s="20" t="e">
        <f>VLOOKUP(G573,MD!M$2:O$93,3,FALSE)</f>
        <v>#N/A</v>
      </c>
      <c r="K573" s="29"/>
      <c r="P573" s="22"/>
      <c r="X573" s="22"/>
    </row>
    <row r="574" spans="10:24">
      <c r="J574" s="20" t="e">
        <f>VLOOKUP(G574,MD!M$2:O$93,3,FALSE)</f>
        <v>#N/A</v>
      </c>
      <c r="K574" s="29"/>
      <c r="P574" s="22"/>
      <c r="X574" s="22"/>
    </row>
    <row r="575" spans="10:24">
      <c r="J575" s="20" t="e">
        <f>VLOOKUP(G575,MD!M$2:O$93,3,FALSE)</f>
        <v>#N/A</v>
      </c>
      <c r="K575" s="29"/>
      <c r="P575" s="22"/>
      <c r="X575" s="22"/>
    </row>
    <row r="576" spans="10:24">
      <c r="J576" s="20" t="e">
        <f>VLOOKUP(G576,MD!M$2:O$93,3,FALSE)</f>
        <v>#N/A</v>
      </c>
      <c r="K576" s="29"/>
      <c r="P576" s="22"/>
      <c r="X576" s="22"/>
    </row>
    <row r="577" spans="10:24">
      <c r="J577" s="20" t="e">
        <f>VLOOKUP(G577,MD!M$2:O$93,3,FALSE)</f>
        <v>#N/A</v>
      </c>
      <c r="K577" s="29"/>
      <c r="P577" s="22"/>
      <c r="X577" s="22"/>
    </row>
    <row r="578" spans="10:24">
      <c r="J578" s="20" t="e">
        <f>VLOOKUP(G578,MD!M$2:O$93,3,FALSE)</f>
        <v>#N/A</v>
      </c>
      <c r="K578" s="29"/>
      <c r="P578" s="22"/>
      <c r="X578" s="22"/>
    </row>
    <row r="579" spans="10:24">
      <c r="J579" s="20" t="e">
        <f>VLOOKUP(G579,MD!M$2:O$93,3,FALSE)</f>
        <v>#N/A</v>
      </c>
      <c r="K579" s="29"/>
      <c r="P579" s="22"/>
      <c r="X579" s="22"/>
    </row>
    <row r="580" spans="10:24">
      <c r="J580" s="20" t="e">
        <f>VLOOKUP(G580,MD!M$2:O$93,3,FALSE)</f>
        <v>#N/A</v>
      </c>
      <c r="K580" s="29"/>
      <c r="P580" s="22"/>
      <c r="X580" s="22"/>
    </row>
    <row r="581" spans="10:24">
      <c r="J581" s="20" t="e">
        <f>VLOOKUP(G581,MD!M$2:O$93,3,FALSE)</f>
        <v>#N/A</v>
      </c>
      <c r="K581" s="29"/>
      <c r="P581" s="22"/>
      <c r="X581" s="22"/>
    </row>
    <row r="582" spans="10:24">
      <c r="J582" s="20" t="e">
        <f>VLOOKUP(G582,MD!M$2:O$93,3,FALSE)</f>
        <v>#N/A</v>
      </c>
      <c r="K582" s="29"/>
      <c r="P582" s="22"/>
      <c r="X582" s="22"/>
    </row>
    <row r="583" spans="10:24">
      <c r="J583" s="20" t="e">
        <f>VLOOKUP(G583,MD!M$2:O$93,3,FALSE)</f>
        <v>#N/A</v>
      </c>
      <c r="K583" s="29"/>
      <c r="P583" s="22"/>
      <c r="X583" s="22"/>
    </row>
    <row r="584" spans="10:24">
      <c r="J584" s="20" t="e">
        <f>VLOOKUP(G584,MD!M$2:O$93,3,FALSE)</f>
        <v>#N/A</v>
      </c>
      <c r="K584" s="29"/>
      <c r="P584" s="22"/>
      <c r="X584" s="22"/>
    </row>
    <row r="585" spans="10:24">
      <c r="J585" s="20" t="e">
        <f>VLOOKUP(G585,MD!M$2:O$93,3,FALSE)</f>
        <v>#N/A</v>
      </c>
      <c r="K585" s="29"/>
      <c r="P585" s="22"/>
      <c r="X585" s="22"/>
    </row>
    <row r="586" spans="10:24">
      <c r="J586" s="20" t="e">
        <f>VLOOKUP(G586,MD!M$2:O$93,3,FALSE)</f>
        <v>#N/A</v>
      </c>
      <c r="K586" s="29"/>
      <c r="P586" s="22"/>
      <c r="X586" s="22"/>
    </row>
    <row r="587" spans="10:24">
      <c r="J587" s="20" t="e">
        <f>VLOOKUP(G587,MD!M$2:O$93,3,FALSE)</f>
        <v>#N/A</v>
      </c>
      <c r="K587" s="29"/>
      <c r="P587" s="22"/>
      <c r="X587" s="22"/>
    </row>
    <row r="588" spans="10:24">
      <c r="J588" s="20" t="e">
        <f>VLOOKUP(G588,MD!M$2:O$93,3,FALSE)</f>
        <v>#N/A</v>
      </c>
      <c r="K588" s="29"/>
      <c r="P588" s="22"/>
      <c r="X588" s="22"/>
    </row>
    <row r="589" spans="10:24">
      <c r="J589" s="20" t="e">
        <f>VLOOKUP(G589,MD!M$2:O$93,3,FALSE)</f>
        <v>#N/A</v>
      </c>
      <c r="K589" s="29"/>
      <c r="P589" s="22"/>
      <c r="X589" s="22"/>
    </row>
    <row r="590" spans="10:24">
      <c r="J590" s="20" t="e">
        <f>VLOOKUP(G590,MD!M$2:O$93,3,FALSE)</f>
        <v>#N/A</v>
      </c>
      <c r="K590" s="29"/>
      <c r="P590" s="22"/>
      <c r="X590" s="22"/>
    </row>
    <row r="591" spans="10:24">
      <c r="J591" s="20" t="e">
        <f>VLOOKUP(G591,MD!M$2:O$93,3,FALSE)</f>
        <v>#N/A</v>
      </c>
      <c r="K591" s="29"/>
      <c r="P591" s="22"/>
      <c r="X591" s="22"/>
    </row>
    <row r="592" spans="10:24">
      <c r="J592" s="20" t="e">
        <f>VLOOKUP(G592,MD!M$2:O$93,3,FALSE)</f>
        <v>#N/A</v>
      </c>
      <c r="K592" s="29"/>
      <c r="P592" s="22"/>
      <c r="X592" s="22"/>
    </row>
    <row r="593" spans="10:24">
      <c r="J593" s="20" t="e">
        <f>VLOOKUP(G593,MD!M$2:O$93,3,FALSE)</f>
        <v>#N/A</v>
      </c>
      <c r="K593" s="29"/>
      <c r="P593" s="22"/>
      <c r="X593" s="22"/>
    </row>
    <row r="594" spans="10:24">
      <c r="J594" s="20" t="e">
        <f>VLOOKUP(G594,MD!M$2:O$93,3,FALSE)</f>
        <v>#N/A</v>
      </c>
      <c r="K594" s="29"/>
      <c r="P594" s="22"/>
      <c r="X594" s="22"/>
    </row>
    <row r="595" spans="10:24">
      <c r="J595" s="20" t="e">
        <f>VLOOKUP(G595,MD!M$2:O$93,3,FALSE)</f>
        <v>#N/A</v>
      </c>
      <c r="K595" s="29"/>
      <c r="P595" s="22"/>
      <c r="X595" s="22"/>
    </row>
    <row r="596" spans="10:24">
      <c r="J596" s="20" t="e">
        <f>VLOOKUP(G596,MD!M$2:O$93,3,FALSE)</f>
        <v>#N/A</v>
      </c>
      <c r="K596" s="29"/>
      <c r="P596" s="22"/>
      <c r="X596" s="22"/>
    </row>
    <row r="597" spans="10:24">
      <c r="J597" s="20" t="e">
        <f>VLOOKUP(G597,MD!M$2:O$93,3,FALSE)</f>
        <v>#N/A</v>
      </c>
      <c r="K597" s="29"/>
      <c r="P597" s="22"/>
      <c r="X597" s="22"/>
    </row>
    <row r="598" spans="10:24">
      <c r="J598" s="20" t="e">
        <f>VLOOKUP(G598,MD!M$2:O$93,3,FALSE)</f>
        <v>#N/A</v>
      </c>
      <c r="K598" s="29"/>
      <c r="P598" s="22"/>
      <c r="X598" s="22"/>
    </row>
    <row r="599" spans="10:24">
      <c r="J599" s="20" t="e">
        <f>VLOOKUP(G599,MD!M$2:O$93,3,FALSE)</f>
        <v>#N/A</v>
      </c>
      <c r="K599" s="29"/>
      <c r="P599" s="22"/>
      <c r="X599" s="22"/>
    </row>
    <row r="600" spans="10:24">
      <c r="J600" s="20" t="e">
        <f>VLOOKUP(G600,MD!M$2:O$93,3,FALSE)</f>
        <v>#N/A</v>
      </c>
      <c r="K600" s="29"/>
      <c r="P600" s="22"/>
      <c r="X600" s="22"/>
    </row>
    <row r="601" spans="10:24">
      <c r="J601" s="20" t="e">
        <f>VLOOKUP(G601,MD!M$2:O$93,3,FALSE)</f>
        <v>#N/A</v>
      </c>
      <c r="K601" s="29"/>
      <c r="P601" s="22"/>
      <c r="X601" s="22"/>
    </row>
    <row r="602" spans="10:24">
      <c r="J602" s="20" t="e">
        <f>VLOOKUP(G602,MD!M$2:O$93,3,FALSE)</f>
        <v>#N/A</v>
      </c>
      <c r="K602" s="29"/>
      <c r="P602" s="22"/>
      <c r="X602" s="22"/>
    </row>
    <row r="603" spans="10:24">
      <c r="J603" s="20" t="e">
        <f>VLOOKUP(G603,MD!M$2:O$93,3,FALSE)</f>
        <v>#N/A</v>
      </c>
      <c r="K603" s="29"/>
      <c r="P603" s="22"/>
      <c r="X603" s="22"/>
    </row>
    <row r="604" spans="10:24">
      <c r="J604" s="20" t="e">
        <f>VLOOKUP(G604,MD!M$2:O$93,3,FALSE)</f>
        <v>#N/A</v>
      </c>
      <c r="K604" s="29"/>
      <c r="P604" s="22"/>
      <c r="X604" s="22"/>
    </row>
    <row r="605" spans="10:24">
      <c r="J605" s="20" t="e">
        <f>VLOOKUP(G605,MD!M$2:O$93,3,FALSE)</f>
        <v>#N/A</v>
      </c>
      <c r="K605" s="29"/>
      <c r="P605" s="22"/>
      <c r="X605" s="22"/>
    </row>
    <row r="606" spans="10:24">
      <c r="J606" s="20" t="e">
        <f>VLOOKUP(G606,MD!M$2:O$93,3,FALSE)</f>
        <v>#N/A</v>
      </c>
      <c r="K606" s="29"/>
      <c r="P606" s="22"/>
      <c r="X606" s="22"/>
    </row>
    <row r="607" spans="10:24">
      <c r="J607" s="20" t="e">
        <f>VLOOKUP(G607,MD!M$2:O$93,3,FALSE)</f>
        <v>#N/A</v>
      </c>
      <c r="K607" s="29"/>
      <c r="P607" s="22"/>
      <c r="X607" s="22"/>
    </row>
    <row r="608" spans="10:24">
      <c r="J608" s="20" t="e">
        <f>VLOOKUP(G608,MD!M$2:O$93,3,FALSE)</f>
        <v>#N/A</v>
      </c>
      <c r="K608" s="29"/>
      <c r="P608" s="22"/>
      <c r="X608" s="22"/>
    </row>
    <row r="609" spans="10:24">
      <c r="J609" s="20" t="e">
        <f>VLOOKUP(G609,MD!M$2:O$93,3,FALSE)</f>
        <v>#N/A</v>
      </c>
      <c r="K609" s="29"/>
      <c r="P609" s="22"/>
      <c r="X609" s="22"/>
    </row>
    <row r="610" spans="10:24">
      <c r="J610" s="20" t="e">
        <f>VLOOKUP(G610,MD!M$2:O$93,3,FALSE)</f>
        <v>#N/A</v>
      </c>
      <c r="K610" s="29"/>
      <c r="P610" s="22"/>
      <c r="X610" s="22"/>
    </row>
    <row r="611" spans="10:24">
      <c r="J611" s="20" t="e">
        <f>VLOOKUP(G611,MD!M$2:O$93,3,FALSE)</f>
        <v>#N/A</v>
      </c>
      <c r="K611" s="29"/>
      <c r="P611" s="22"/>
      <c r="X611" s="22"/>
    </row>
    <row r="612" spans="10:24">
      <c r="J612" s="20" t="e">
        <f>VLOOKUP(G612,MD!M$2:O$93,3,FALSE)</f>
        <v>#N/A</v>
      </c>
      <c r="K612" s="29"/>
      <c r="P612" s="22"/>
      <c r="X612" s="22"/>
    </row>
    <row r="613" spans="10:24">
      <c r="J613" s="20" t="e">
        <f>VLOOKUP(G613,MD!M$2:O$93,3,FALSE)</f>
        <v>#N/A</v>
      </c>
      <c r="K613" s="29"/>
      <c r="P613" s="22"/>
      <c r="X613" s="22"/>
    </row>
    <row r="614" spans="10:24">
      <c r="J614" s="20" t="e">
        <f>VLOOKUP(G614,MD!M$2:O$93,3,FALSE)</f>
        <v>#N/A</v>
      </c>
      <c r="K614" s="29"/>
      <c r="P614" s="22"/>
      <c r="X614" s="22"/>
    </row>
    <row r="615" spans="10:24">
      <c r="J615" s="20" t="e">
        <f>VLOOKUP(G615,MD!M$2:O$93,3,FALSE)</f>
        <v>#N/A</v>
      </c>
      <c r="K615" s="29"/>
      <c r="P615" s="22"/>
      <c r="X615" s="22"/>
    </row>
    <row r="616" spans="10:24">
      <c r="J616" s="20" t="e">
        <f>VLOOKUP(G616,MD!M$2:O$93,3,FALSE)</f>
        <v>#N/A</v>
      </c>
      <c r="K616" s="29"/>
      <c r="P616" s="22"/>
      <c r="X616" s="22"/>
    </row>
    <row r="617" spans="10:24">
      <c r="J617" s="20" t="e">
        <f>VLOOKUP(G617,MD!M$2:O$93,3,FALSE)</f>
        <v>#N/A</v>
      </c>
      <c r="K617" s="29"/>
      <c r="P617" s="22"/>
      <c r="X617" s="22"/>
    </row>
    <row r="618" spans="10:24">
      <c r="J618" s="20" t="e">
        <f>VLOOKUP(G618,MD!M$2:O$93,3,FALSE)</f>
        <v>#N/A</v>
      </c>
      <c r="K618" s="29"/>
      <c r="P618" s="22"/>
      <c r="X618" s="22"/>
    </row>
    <row r="619" spans="10:24">
      <c r="J619" s="20" t="e">
        <f>VLOOKUP(G619,MD!M$2:O$93,3,FALSE)</f>
        <v>#N/A</v>
      </c>
      <c r="K619" s="29"/>
      <c r="P619" s="22"/>
      <c r="X619" s="22"/>
    </row>
    <row r="620" spans="10:24">
      <c r="J620" s="20" t="e">
        <f>VLOOKUP(G620,MD!M$2:O$93,3,FALSE)</f>
        <v>#N/A</v>
      </c>
      <c r="K620" s="29"/>
      <c r="P620" s="22"/>
      <c r="X620" s="22"/>
    </row>
    <row r="621" spans="10:24">
      <c r="J621" s="20" t="e">
        <f>VLOOKUP(G621,MD!M$2:O$93,3,FALSE)</f>
        <v>#N/A</v>
      </c>
      <c r="K621" s="29"/>
      <c r="P621" s="22"/>
      <c r="X621" s="22"/>
    </row>
    <row r="622" spans="10:24">
      <c r="J622" s="20" t="e">
        <f>VLOOKUP(G622,MD!M$2:O$93,3,FALSE)</f>
        <v>#N/A</v>
      </c>
      <c r="K622" s="29"/>
      <c r="P622" s="22"/>
      <c r="X622" s="22"/>
    </row>
    <row r="623" spans="10:24">
      <c r="J623" s="20" t="e">
        <f>VLOOKUP(G623,MD!M$2:O$93,3,FALSE)</f>
        <v>#N/A</v>
      </c>
      <c r="K623" s="29"/>
      <c r="P623" s="22"/>
      <c r="X623" s="22"/>
    </row>
    <row r="624" spans="10:24">
      <c r="J624" s="20" t="e">
        <f>VLOOKUP(G624,MD!M$2:O$93,3,FALSE)</f>
        <v>#N/A</v>
      </c>
      <c r="K624" s="29"/>
      <c r="P624" s="22"/>
      <c r="X624" s="22"/>
    </row>
    <row r="625" spans="10:24">
      <c r="J625" s="20" t="e">
        <f>VLOOKUP(G625,MD!M$2:O$93,3,FALSE)</f>
        <v>#N/A</v>
      </c>
      <c r="K625" s="29"/>
      <c r="P625" s="22"/>
      <c r="X625" s="22"/>
    </row>
    <row r="626" spans="10:24">
      <c r="J626" s="20" t="e">
        <f>VLOOKUP(G626,MD!M$2:O$93,3,FALSE)</f>
        <v>#N/A</v>
      </c>
      <c r="K626" s="29"/>
      <c r="P626" s="22"/>
      <c r="X626" s="22"/>
    </row>
    <row r="627" spans="10:24">
      <c r="J627" s="20" t="e">
        <f>VLOOKUP(G627,MD!M$2:O$93,3,FALSE)</f>
        <v>#N/A</v>
      </c>
      <c r="K627" s="29"/>
      <c r="P627" s="22"/>
      <c r="X627" s="22"/>
    </row>
    <row r="628" spans="10:24">
      <c r="J628" s="20" t="e">
        <f>VLOOKUP(G628,MD!M$2:O$93,3,FALSE)</f>
        <v>#N/A</v>
      </c>
      <c r="K628" s="29"/>
      <c r="P628" s="22"/>
      <c r="X628" s="22"/>
    </row>
    <row r="629" spans="10:24">
      <c r="J629" s="20" t="e">
        <f>VLOOKUP(G629,MD!M$2:O$93,3,FALSE)</f>
        <v>#N/A</v>
      </c>
      <c r="K629" s="29"/>
      <c r="P629" s="22"/>
      <c r="X629" s="22"/>
    </row>
    <row r="630" spans="10:24">
      <c r="J630" s="20" t="e">
        <f>VLOOKUP(G630,MD!M$2:O$93,3,FALSE)</f>
        <v>#N/A</v>
      </c>
      <c r="K630" s="29"/>
      <c r="P630" s="22"/>
      <c r="X630" s="22"/>
    </row>
    <row r="631" spans="10:24">
      <c r="J631" s="20" t="e">
        <f>VLOOKUP(G631,MD!M$2:O$93,3,FALSE)</f>
        <v>#N/A</v>
      </c>
      <c r="K631" s="29"/>
      <c r="P631" s="22"/>
      <c r="X631" s="22"/>
    </row>
    <row r="632" spans="10:24">
      <c r="J632" s="20" t="e">
        <f>VLOOKUP(G632,MD!M$2:O$93,3,FALSE)</f>
        <v>#N/A</v>
      </c>
      <c r="K632" s="29"/>
      <c r="P632" s="22"/>
      <c r="X632" s="22"/>
    </row>
    <row r="633" spans="10:24">
      <c r="J633" s="20" t="e">
        <f>VLOOKUP(G633,MD!M$2:O$93,3,FALSE)</f>
        <v>#N/A</v>
      </c>
      <c r="K633" s="29"/>
      <c r="P633" s="22"/>
      <c r="X633" s="22"/>
    </row>
    <row r="634" spans="10:24">
      <c r="J634" s="20" t="e">
        <f>VLOOKUP(G634,MD!M$2:O$93,3,FALSE)</f>
        <v>#N/A</v>
      </c>
      <c r="K634" s="29"/>
      <c r="P634" s="22"/>
      <c r="X634" s="22"/>
    </row>
    <row r="635" spans="10:24">
      <c r="J635" s="20" t="e">
        <f>VLOOKUP(G635,MD!M$2:O$93,3,FALSE)</f>
        <v>#N/A</v>
      </c>
      <c r="K635" s="29"/>
      <c r="P635" s="22"/>
      <c r="X635" s="22"/>
    </row>
    <row r="636" spans="10:24">
      <c r="J636" s="20" t="e">
        <f>VLOOKUP(G636,MD!M$2:O$93,3,FALSE)</f>
        <v>#N/A</v>
      </c>
      <c r="K636" s="29"/>
      <c r="P636" s="22"/>
      <c r="X636" s="22"/>
    </row>
    <row r="637" spans="10:24">
      <c r="J637" s="20" t="e">
        <f>VLOOKUP(G637,MD!M$2:O$93,3,FALSE)</f>
        <v>#N/A</v>
      </c>
      <c r="K637" s="29"/>
      <c r="P637" s="22"/>
      <c r="X637" s="22"/>
    </row>
    <row r="638" spans="10:24">
      <c r="J638" s="20" t="e">
        <f>VLOOKUP(G638,MD!M$2:O$93,3,FALSE)</f>
        <v>#N/A</v>
      </c>
      <c r="K638" s="29"/>
      <c r="P638" s="22"/>
      <c r="X638" s="22"/>
    </row>
    <row r="639" spans="10:24">
      <c r="J639" s="20" t="e">
        <f>VLOOKUP(G639,MD!M$2:O$93,3,FALSE)</f>
        <v>#N/A</v>
      </c>
      <c r="K639" s="29"/>
      <c r="P639" s="22"/>
      <c r="X639" s="22"/>
    </row>
    <row r="640" spans="10:24">
      <c r="J640" s="20" t="e">
        <f>VLOOKUP(G640,MD!M$2:O$93,3,FALSE)</f>
        <v>#N/A</v>
      </c>
      <c r="K640" s="29"/>
      <c r="P640" s="22"/>
      <c r="X640" s="22"/>
    </row>
    <row r="641" spans="10:24">
      <c r="J641" s="20" t="e">
        <f>VLOOKUP(G641,MD!M$2:O$93,3,FALSE)</f>
        <v>#N/A</v>
      </c>
      <c r="K641" s="29"/>
      <c r="P641" s="22"/>
      <c r="X641" s="22"/>
    </row>
    <row r="642" spans="10:24">
      <c r="J642" s="20" t="e">
        <f>VLOOKUP(G642,MD!M$2:O$93,3,FALSE)</f>
        <v>#N/A</v>
      </c>
      <c r="K642" s="29"/>
      <c r="P642" s="22"/>
      <c r="X642" s="22"/>
    </row>
    <row r="643" spans="10:24">
      <c r="J643" s="20" t="e">
        <f>VLOOKUP(G643,MD!M$2:O$93,3,FALSE)</f>
        <v>#N/A</v>
      </c>
      <c r="K643" s="29"/>
      <c r="P643" s="22"/>
      <c r="X643" s="22"/>
    </row>
    <row r="644" spans="10:24">
      <c r="J644" s="20" t="e">
        <f>VLOOKUP(G644,MD!M$2:O$93,3,FALSE)</f>
        <v>#N/A</v>
      </c>
      <c r="K644" s="29"/>
      <c r="P644" s="22"/>
      <c r="X644" s="22"/>
    </row>
    <row r="645" spans="10:24">
      <c r="J645" s="20" t="e">
        <f>VLOOKUP(G645,MD!M$2:O$93,3,FALSE)</f>
        <v>#N/A</v>
      </c>
      <c r="K645" s="29"/>
      <c r="P645" s="22"/>
      <c r="X645" s="22"/>
    </row>
    <row r="646" spans="10:24">
      <c r="J646" s="20" t="e">
        <f>VLOOKUP(G646,MD!M$2:O$93,3,FALSE)</f>
        <v>#N/A</v>
      </c>
      <c r="K646" s="29"/>
      <c r="P646" s="22"/>
      <c r="X646" s="22"/>
    </row>
    <row r="647" spans="10:24">
      <c r="J647" s="20" t="e">
        <f>VLOOKUP(G647,MD!M$2:O$93,3,FALSE)</f>
        <v>#N/A</v>
      </c>
      <c r="K647" s="29"/>
      <c r="P647" s="22"/>
      <c r="X647" s="22"/>
    </row>
    <row r="648" spans="10:24">
      <c r="J648" s="20" t="e">
        <f>VLOOKUP(G648,MD!M$2:O$93,3,FALSE)</f>
        <v>#N/A</v>
      </c>
      <c r="K648" s="29"/>
      <c r="P648" s="22"/>
      <c r="X648" s="22"/>
    </row>
    <row r="649" spans="10:24">
      <c r="J649" s="20" t="e">
        <f>VLOOKUP(G649,MD!M$2:O$93,3,FALSE)</f>
        <v>#N/A</v>
      </c>
      <c r="K649" s="29"/>
      <c r="P649" s="22"/>
      <c r="X649" s="22"/>
    </row>
    <row r="650" spans="10:24">
      <c r="J650" s="20" t="e">
        <f>VLOOKUP(G650,MD!M$2:O$93,3,FALSE)</f>
        <v>#N/A</v>
      </c>
      <c r="K650" s="29"/>
      <c r="P650" s="22"/>
      <c r="X650" s="22"/>
    </row>
    <row r="651" spans="10:24">
      <c r="J651" s="20" t="e">
        <f>VLOOKUP(G651,MD!M$2:O$93,3,FALSE)</f>
        <v>#N/A</v>
      </c>
      <c r="K651" s="29"/>
      <c r="P651" s="22"/>
      <c r="X651" s="22"/>
    </row>
    <row r="652" spans="10:24">
      <c r="J652" s="20" t="e">
        <f>VLOOKUP(G652,MD!M$2:O$93,3,FALSE)</f>
        <v>#N/A</v>
      </c>
      <c r="K652" s="29"/>
      <c r="P652" s="22"/>
      <c r="X652" s="22"/>
    </row>
    <row r="653" spans="10:24">
      <c r="J653" s="20" t="e">
        <f>VLOOKUP(G653,MD!M$2:O$93,3,FALSE)</f>
        <v>#N/A</v>
      </c>
      <c r="K653" s="29"/>
      <c r="P653" s="22"/>
      <c r="X653" s="22"/>
    </row>
    <row r="654" spans="10:24">
      <c r="J654" s="20" t="e">
        <f>VLOOKUP(G654,MD!M$2:O$93,3,FALSE)</f>
        <v>#N/A</v>
      </c>
      <c r="K654" s="29"/>
      <c r="P654" s="22"/>
      <c r="X654" s="22"/>
    </row>
    <row r="655" spans="10:24">
      <c r="J655" s="20" t="e">
        <f>VLOOKUP(G655,MD!M$2:O$93,3,FALSE)</f>
        <v>#N/A</v>
      </c>
      <c r="K655" s="29"/>
      <c r="P655" s="22"/>
      <c r="X655" s="22"/>
    </row>
    <row r="656" spans="10:24">
      <c r="J656" s="20" t="e">
        <f>VLOOKUP(G656,MD!M$2:O$93,3,FALSE)</f>
        <v>#N/A</v>
      </c>
      <c r="K656" s="29"/>
      <c r="P656" s="22"/>
      <c r="X656" s="22"/>
    </row>
    <row r="657" spans="10:24">
      <c r="J657" s="20" t="e">
        <f>VLOOKUP(G657,MD!M$2:O$93,3,FALSE)</f>
        <v>#N/A</v>
      </c>
      <c r="K657" s="29"/>
      <c r="P657" s="22"/>
      <c r="X657" s="22"/>
    </row>
    <row r="658" spans="10:24">
      <c r="J658" s="20" t="e">
        <f>VLOOKUP(G658,MD!M$2:O$93,3,FALSE)</f>
        <v>#N/A</v>
      </c>
      <c r="K658" s="29"/>
      <c r="P658" s="22"/>
      <c r="X658" s="22"/>
    </row>
    <row r="659" spans="10:24">
      <c r="J659" s="20" t="e">
        <f>VLOOKUP(G659,MD!M$2:O$93,3,FALSE)</f>
        <v>#N/A</v>
      </c>
      <c r="K659" s="29"/>
      <c r="P659" s="22"/>
      <c r="X659" s="22"/>
    </row>
    <row r="660" spans="10:24">
      <c r="J660" s="20" t="e">
        <f>VLOOKUP(G660,MD!M$2:O$93,3,FALSE)</f>
        <v>#N/A</v>
      </c>
      <c r="K660" s="29"/>
      <c r="P660" s="22"/>
      <c r="X660" s="22"/>
    </row>
    <row r="661" spans="10:24">
      <c r="J661" s="20" t="e">
        <f>VLOOKUP(G661,MD!M$2:O$93,3,FALSE)</f>
        <v>#N/A</v>
      </c>
      <c r="K661" s="29"/>
      <c r="P661" s="22"/>
      <c r="X661" s="22"/>
    </row>
    <row r="662" spans="10:24">
      <c r="J662" s="20" t="e">
        <f>VLOOKUP(G662,MD!M$2:O$93,3,FALSE)</f>
        <v>#N/A</v>
      </c>
      <c r="K662" s="29"/>
      <c r="P662" s="22"/>
      <c r="X662" s="22"/>
    </row>
    <row r="663" spans="10:24">
      <c r="J663" s="20" t="e">
        <f>VLOOKUP(G663,MD!M$2:O$93,3,FALSE)</f>
        <v>#N/A</v>
      </c>
      <c r="K663" s="29"/>
      <c r="P663" s="22"/>
      <c r="X663" s="22"/>
    </row>
    <row r="664" spans="10:24">
      <c r="J664" s="20" t="e">
        <f>VLOOKUP(G664,MD!M$2:O$93,3,FALSE)</f>
        <v>#N/A</v>
      </c>
      <c r="K664" s="29"/>
      <c r="P664" s="22"/>
      <c r="X664" s="22"/>
    </row>
    <row r="665" spans="10:24">
      <c r="J665" s="20" t="e">
        <f>VLOOKUP(G665,MD!M$2:O$93,3,FALSE)</f>
        <v>#N/A</v>
      </c>
      <c r="K665" s="29"/>
      <c r="P665" s="22"/>
      <c r="X665" s="22"/>
    </row>
    <row r="666" spans="10:24">
      <c r="J666" s="20" t="e">
        <f>VLOOKUP(G666,MD!M$2:O$93,3,FALSE)</f>
        <v>#N/A</v>
      </c>
      <c r="K666" s="29"/>
      <c r="P666" s="22"/>
      <c r="X666" s="22"/>
    </row>
    <row r="667" spans="10:24">
      <c r="J667" s="20" t="e">
        <f>VLOOKUP(G667,MD!M$2:O$93,3,FALSE)</f>
        <v>#N/A</v>
      </c>
      <c r="K667" s="29"/>
      <c r="P667" s="22"/>
      <c r="X667" s="22"/>
    </row>
    <row r="668" spans="10:24">
      <c r="J668" s="20" t="e">
        <f>VLOOKUP(G668,MD!M$2:O$93,3,FALSE)</f>
        <v>#N/A</v>
      </c>
      <c r="K668" s="29"/>
      <c r="P668" s="22"/>
      <c r="X668" s="22"/>
    </row>
    <row r="669" spans="10:24">
      <c r="J669" s="20" t="e">
        <f>VLOOKUP(G669,MD!M$2:O$93,3,FALSE)</f>
        <v>#N/A</v>
      </c>
      <c r="K669" s="29"/>
      <c r="P669" s="22"/>
      <c r="X669" s="22"/>
    </row>
    <row r="670" spans="10:24">
      <c r="J670" s="20" t="e">
        <f>VLOOKUP(G670,MD!M$2:O$93,3,FALSE)</f>
        <v>#N/A</v>
      </c>
      <c r="K670" s="29"/>
      <c r="P670" s="22"/>
      <c r="X670" s="22"/>
    </row>
    <row r="671" spans="10:24">
      <c r="J671" s="20" t="e">
        <f>VLOOKUP(G671,MD!M$2:O$93,3,FALSE)</f>
        <v>#N/A</v>
      </c>
      <c r="K671" s="29"/>
      <c r="P671" s="22"/>
      <c r="X671" s="22"/>
    </row>
    <row r="672" spans="10:24">
      <c r="J672" s="20" t="e">
        <f>VLOOKUP(G672,MD!M$2:O$93,3,FALSE)</f>
        <v>#N/A</v>
      </c>
      <c r="K672" s="29"/>
      <c r="P672" s="22"/>
      <c r="X672" s="22"/>
    </row>
    <row r="673" spans="10:24">
      <c r="J673" s="20" t="e">
        <f>VLOOKUP(G673,MD!M$2:O$93,3,FALSE)</f>
        <v>#N/A</v>
      </c>
      <c r="K673" s="29"/>
      <c r="P673" s="22"/>
      <c r="X673" s="22"/>
    </row>
    <row r="674" spans="10:24">
      <c r="J674" s="20" t="e">
        <f>VLOOKUP(G674,MD!M$2:O$93,3,FALSE)</f>
        <v>#N/A</v>
      </c>
      <c r="K674" s="29"/>
      <c r="P674" s="22"/>
      <c r="X674" s="22"/>
    </row>
    <row r="675" spans="10:24">
      <c r="J675" s="20" t="e">
        <f>VLOOKUP(G675,MD!M$2:O$93,3,FALSE)</f>
        <v>#N/A</v>
      </c>
      <c r="K675" s="29"/>
      <c r="P675" s="22"/>
      <c r="X675" s="22"/>
    </row>
    <row r="676" spans="10:24">
      <c r="J676" s="20" t="e">
        <f>VLOOKUP(G676,MD!M$2:O$93,3,FALSE)</f>
        <v>#N/A</v>
      </c>
      <c r="K676" s="29"/>
      <c r="P676" s="22"/>
      <c r="X676" s="22"/>
    </row>
    <row r="677" spans="10:24">
      <c r="J677" s="20" t="e">
        <f>VLOOKUP(G677,MD!M$2:O$93,3,FALSE)</f>
        <v>#N/A</v>
      </c>
      <c r="K677" s="29"/>
      <c r="P677" s="22"/>
      <c r="X677" s="22"/>
    </row>
    <row r="678" spans="10:24">
      <c r="J678" s="20" t="e">
        <f>VLOOKUP(G678,MD!M$2:O$93,3,FALSE)</f>
        <v>#N/A</v>
      </c>
      <c r="K678" s="29"/>
      <c r="P678" s="22"/>
      <c r="X678" s="22"/>
    </row>
    <row r="679" spans="10:24">
      <c r="J679" s="20" t="e">
        <f>VLOOKUP(G679,MD!M$2:O$93,3,FALSE)</f>
        <v>#N/A</v>
      </c>
      <c r="K679" s="29"/>
      <c r="P679" s="22"/>
      <c r="X679" s="22"/>
    </row>
    <row r="680" spans="10:24">
      <c r="J680" s="20" t="e">
        <f>VLOOKUP(G680,MD!M$2:O$93,3,FALSE)</f>
        <v>#N/A</v>
      </c>
      <c r="K680" s="29"/>
      <c r="P680" s="22"/>
      <c r="X680" s="22"/>
    </row>
    <row r="681" spans="10:24">
      <c r="J681" s="20" t="e">
        <f>VLOOKUP(G681,MD!M$2:O$93,3,FALSE)</f>
        <v>#N/A</v>
      </c>
      <c r="K681" s="29"/>
      <c r="P681" s="22"/>
      <c r="X681" s="22"/>
    </row>
    <row r="682" spans="10:24">
      <c r="J682" s="20" t="e">
        <f>VLOOKUP(G682,MD!M$2:O$93,3,FALSE)</f>
        <v>#N/A</v>
      </c>
      <c r="K682" s="29"/>
      <c r="P682" s="22"/>
      <c r="X682" s="22"/>
    </row>
    <row r="683" spans="10:24">
      <c r="J683" s="20" t="e">
        <f>VLOOKUP(G683,MD!M$2:O$93,3,FALSE)</f>
        <v>#N/A</v>
      </c>
      <c r="K683" s="29"/>
      <c r="P683" s="22"/>
      <c r="X683" s="22"/>
    </row>
    <row r="684" spans="10:24">
      <c r="J684" s="20" t="e">
        <f>VLOOKUP(G684,MD!M$2:O$93,3,FALSE)</f>
        <v>#N/A</v>
      </c>
      <c r="K684" s="29"/>
      <c r="P684" s="22"/>
      <c r="X684" s="22"/>
    </row>
    <row r="685" spans="10:24">
      <c r="J685" s="20" t="e">
        <f>VLOOKUP(G685,MD!M$2:O$93,3,FALSE)</f>
        <v>#N/A</v>
      </c>
      <c r="K685" s="29"/>
      <c r="P685" s="22"/>
      <c r="X685" s="22"/>
    </row>
    <row r="686" spans="10:24">
      <c r="J686" s="20" t="e">
        <f>VLOOKUP(G686,MD!M$2:O$93,3,FALSE)</f>
        <v>#N/A</v>
      </c>
      <c r="K686" s="29"/>
      <c r="P686" s="22"/>
      <c r="X686" s="22"/>
    </row>
    <row r="687" spans="10:24">
      <c r="J687" s="20" t="e">
        <f>VLOOKUP(G687,MD!M$2:O$93,3,FALSE)</f>
        <v>#N/A</v>
      </c>
      <c r="K687" s="29"/>
      <c r="P687" s="22"/>
      <c r="X687" s="22"/>
    </row>
    <row r="688" spans="10:24">
      <c r="J688" s="20" t="e">
        <f>VLOOKUP(G688,MD!M$2:O$93,3,FALSE)</f>
        <v>#N/A</v>
      </c>
      <c r="K688" s="29"/>
      <c r="P688" s="22"/>
      <c r="X688" s="22"/>
    </row>
    <row r="689" spans="10:24">
      <c r="J689" s="20" t="e">
        <f>VLOOKUP(G689,MD!M$2:O$93,3,FALSE)</f>
        <v>#N/A</v>
      </c>
      <c r="K689" s="29"/>
      <c r="P689" s="22"/>
      <c r="X689" s="22"/>
    </row>
    <row r="690" spans="10:24">
      <c r="J690" s="20" t="e">
        <f>VLOOKUP(G690,MD!M$2:O$93,3,FALSE)</f>
        <v>#N/A</v>
      </c>
      <c r="K690" s="29"/>
      <c r="P690" s="22"/>
      <c r="X690" s="22"/>
    </row>
    <row r="691" spans="10:24">
      <c r="J691" s="20" t="e">
        <f>VLOOKUP(G691,MD!M$2:O$93,3,FALSE)</f>
        <v>#N/A</v>
      </c>
      <c r="K691" s="29"/>
      <c r="P691" s="22"/>
      <c r="X691" s="22"/>
    </row>
    <row r="692" spans="10:24">
      <c r="J692" s="20" t="e">
        <f>VLOOKUP(G692,MD!M$2:O$93,3,FALSE)</f>
        <v>#N/A</v>
      </c>
      <c r="K692" s="29"/>
      <c r="P692" s="22"/>
      <c r="X692" s="22"/>
    </row>
    <row r="693" spans="10:24">
      <c r="J693" s="20" t="e">
        <f>VLOOKUP(G693,MD!M$2:O$93,3,FALSE)</f>
        <v>#N/A</v>
      </c>
      <c r="K693" s="29"/>
      <c r="P693" s="22"/>
      <c r="X693" s="22"/>
    </row>
    <row r="694" spans="10:24">
      <c r="J694" s="20" t="e">
        <f>VLOOKUP(G694,MD!M$2:O$93,3,FALSE)</f>
        <v>#N/A</v>
      </c>
      <c r="K694" s="29"/>
      <c r="P694" s="22"/>
      <c r="X694" s="22"/>
    </row>
    <row r="695" spans="10:24">
      <c r="J695" s="20" t="e">
        <f>VLOOKUP(G695,MD!M$2:O$93,3,FALSE)</f>
        <v>#N/A</v>
      </c>
      <c r="K695" s="29"/>
      <c r="P695" s="22"/>
      <c r="X695" s="22"/>
    </row>
    <row r="696" spans="10:24">
      <c r="J696" s="20" t="e">
        <f>VLOOKUP(G696,MD!M$2:O$93,3,FALSE)</f>
        <v>#N/A</v>
      </c>
      <c r="K696" s="29"/>
      <c r="P696" s="22"/>
      <c r="X696" s="22"/>
    </row>
    <row r="697" spans="10:24">
      <c r="J697" s="20" t="e">
        <f>VLOOKUP(G697,MD!M$2:O$93,3,FALSE)</f>
        <v>#N/A</v>
      </c>
      <c r="K697" s="29"/>
      <c r="P697" s="22"/>
      <c r="X697" s="22"/>
    </row>
    <row r="698" spans="10:24">
      <c r="J698" s="20" t="e">
        <f>VLOOKUP(G698,MD!M$2:O$93,3,FALSE)</f>
        <v>#N/A</v>
      </c>
      <c r="K698" s="29"/>
      <c r="P698" s="22"/>
      <c r="X698" s="22"/>
    </row>
    <row r="699" spans="10:24">
      <c r="J699" s="20" t="e">
        <f>VLOOKUP(G699,MD!M$2:O$93,3,FALSE)</f>
        <v>#N/A</v>
      </c>
      <c r="K699" s="29"/>
      <c r="P699" s="22"/>
      <c r="X699" s="22"/>
    </row>
    <row r="700" spans="10:24">
      <c r="J700" s="20" t="e">
        <f>VLOOKUP(G700,MD!M$2:O$93,3,FALSE)</f>
        <v>#N/A</v>
      </c>
      <c r="K700" s="29"/>
      <c r="P700" s="22"/>
      <c r="X700" s="22"/>
    </row>
    <row r="701" spans="10:24">
      <c r="J701" s="20" t="e">
        <f>VLOOKUP(G701,MD!M$2:O$93,3,FALSE)</f>
        <v>#N/A</v>
      </c>
      <c r="K701" s="29"/>
      <c r="P701" s="22"/>
      <c r="X701" s="22"/>
    </row>
    <row r="702" spans="10:24">
      <c r="J702" s="20" t="e">
        <f>VLOOKUP(G702,MD!M$2:O$93,3,FALSE)</f>
        <v>#N/A</v>
      </c>
      <c r="K702" s="29"/>
      <c r="P702" s="22"/>
      <c r="X702" s="22"/>
    </row>
    <row r="703" spans="10:24">
      <c r="J703" s="20" t="e">
        <f>VLOOKUP(G703,MD!M$2:O$93,3,FALSE)</f>
        <v>#N/A</v>
      </c>
      <c r="K703" s="29"/>
      <c r="P703" s="22"/>
      <c r="X703" s="22"/>
    </row>
    <row r="704" spans="10:24">
      <c r="J704" s="20" t="e">
        <f>VLOOKUP(G704,MD!M$2:O$93,3,FALSE)</f>
        <v>#N/A</v>
      </c>
      <c r="K704" s="29"/>
      <c r="P704" s="22"/>
      <c r="X704" s="22"/>
    </row>
    <row r="705" spans="10:24">
      <c r="J705" s="20" t="e">
        <f>VLOOKUP(G705,MD!M$2:O$93,3,FALSE)</f>
        <v>#N/A</v>
      </c>
      <c r="K705" s="29"/>
      <c r="P705" s="22"/>
      <c r="X705" s="22"/>
    </row>
    <row r="706" spans="10:24">
      <c r="J706" s="20" t="e">
        <f>VLOOKUP(G706,MD!M$2:O$93,3,FALSE)</f>
        <v>#N/A</v>
      </c>
      <c r="K706" s="29"/>
      <c r="P706" s="22"/>
      <c r="X706" s="22"/>
    </row>
    <row r="707" spans="10:24">
      <c r="J707" s="20" t="e">
        <f>VLOOKUP(G707,MD!M$2:O$93,3,FALSE)</f>
        <v>#N/A</v>
      </c>
      <c r="K707" s="29"/>
      <c r="P707" s="22"/>
      <c r="X707" s="22"/>
    </row>
    <row r="708" spans="10:24">
      <c r="J708" s="20" t="e">
        <f>VLOOKUP(G708,MD!M$2:O$93,3,FALSE)</f>
        <v>#N/A</v>
      </c>
      <c r="K708" s="29"/>
      <c r="P708" s="22"/>
      <c r="X708" s="22"/>
    </row>
    <row r="709" spans="10:24">
      <c r="J709" s="20" t="e">
        <f>VLOOKUP(G709,MD!M$2:O$93,3,FALSE)</f>
        <v>#N/A</v>
      </c>
      <c r="K709" s="29"/>
      <c r="P709" s="22"/>
      <c r="X709" s="22"/>
    </row>
    <row r="710" spans="10:24">
      <c r="J710" s="20" t="e">
        <f>VLOOKUP(G710,MD!M$2:O$93,3,FALSE)</f>
        <v>#N/A</v>
      </c>
      <c r="K710" s="29"/>
      <c r="P710" s="22"/>
      <c r="X710" s="22"/>
    </row>
    <row r="711" spans="10:24">
      <c r="J711" s="20" t="e">
        <f>VLOOKUP(G711,MD!M$2:O$93,3,FALSE)</f>
        <v>#N/A</v>
      </c>
      <c r="K711" s="29"/>
      <c r="P711" s="22"/>
      <c r="X711" s="22"/>
    </row>
    <row r="712" spans="10:24">
      <c r="J712" s="20" t="e">
        <f>VLOOKUP(G712,MD!M$2:O$93,3,FALSE)</f>
        <v>#N/A</v>
      </c>
      <c r="K712" s="29"/>
      <c r="P712" s="22"/>
      <c r="X712" s="22"/>
    </row>
    <row r="713" spans="10:24">
      <c r="J713" s="20" t="e">
        <f>VLOOKUP(G713,MD!M$2:O$93,3,FALSE)</f>
        <v>#N/A</v>
      </c>
      <c r="K713" s="29"/>
      <c r="P713" s="22"/>
      <c r="X713" s="22"/>
    </row>
    <row r="714" spans="10:24">
      <c r="J714" s="20" t="e">
        <f>VLOOKUP(G714,MD!M$2:O$93,3,FALSE)</f>
        <v>#N/A</v>
      </c>
      <c r="K714" s="29"/>
      <c r="P714" s="22"/>
      <c r="X714" s="22"/>
    </row>
    <row r="715" spans="10:24">
      <c r="J715" s="20" t="e">
        <f>VLOOKUP(G715,MD!M$2:O$93,3,FALSE)</f>
        <v>#N/A</v>
      </c>
      <c r="K715" s="29"/>
      <c r="P715" s="22"/>
      <c r="X715" s="22"/>
    </row>
    <row r="716" spans="10:24">
      <c r="J716" s="20" t="e">
        <f>VLOOKUP(G716,MD!M$2:O$93,3,FALSE)</f>
        <v>#N/A</v>
      </c>
      <c r="K716" s="29"/>
      <c r="P716" s="22"/>
      <c r="X716" s="22"/>
    </row>
    <row r="717" spans="10:24">
      <c r="J717" s="20" t="e">
        <f>VLOOKUP(G717,MD!M$2:O$93,3,FALSE)</f>
        <v>#N/A</v>
      </c>
      <c r="K717" s="29"/>
      <c r="P717" s="22"/>
      <c r="X717" s="22"/>
    </row>
    <row r="718" spans="10:24">
      <c r="J718" s="20" t="e">
        <f>VLOOKUP(G718,MD!M$2:O$93,3,FALSE)</f>
        <v>#N/A</v>
      </c>
      <c r="K718" s="29"/>
      <c r="P718" s="22"/>
      <c r="X718" s="22"/>
    </row>
    <row r="719" spans="10:24">
      <c r="J719" s="20" t="e">
        <f>VLOOKUP(G719,MD!M$2:O$93,3,FALSE)</f>
        <v>#N/A</v>
      </c>
      <c r="K719" s="29"/>
      <c r="P719" s="22"/>
      <c r="X719" s="22"/>
    </row>
    <row r="720" spans="10:24">
      <c r="J720" s="20" t="e">
        <f>VLOOKUP(G720,MD!M$2:O$93,3,FALSE)</f>
        <v>#N/A</v>
      </c>
      <c r="K720" s="29"/>
      <c r="P720" s="22"/>
      <c r="X720" s="22"/>
    </row>
    <row r="721" spans="10:24">
      <c r="J721" s="20" t="e">
        <f>VLOOKUP(G721,MD!M$2:O$93,3,FALSE)</f>
        <v>#N/A</v>
      </c>
      <c r="K721" s="29"/>
      <c r="P721" s="22"/>
      <c r="X721" s="22"/>
    </row>
    <row r="722" spans="10:24">
      <c r="J722" s="20" t="e">
        <f>VLOOKUP(G722,MD!M$2:O$93,3,FALSE)</f>
        <v>#N/A</v>
      </c>
      <c r="K722" s="29"/>
      <c r="P722" s="22"/>
      <c r="X722" s="22"/>
    </row>
    <row r="723" spans="10:24">
      <c r="J723" s="20" t="e">
        <f>VLOOKUP(G723,MD!M$2:O$93,3,FALSE)</f>
        <v>#N/A</v>
      </c>
      <c r="K723" s="29"/>
      <c r="P723" s="22"/>
      <c r="X723" s="22"/>
    </row>
    <row r="724" spans="10:24">
      <c r="J724" s="20" t="e">
        <f>VLOOKUP(G724,MD!M$2:O$93,3,FALSE)</f>
        <v>#N/A</v>
      </c>
      <c r="K724" s="29"/>
      <c r="P724" s="22"/>
      <c r="X724" s="22"/>
    </row>
    <row r="725" spans="10:24">
      <c r="J725" s="20" t="e">
        <f>VLOOKUP(G725,MD!M$2:O$93,3,FALSE)</f>
        <v>#N/A</v>
      </c>
      <c r="K725" s="29"/>
      <c r="P725" s="22"/>
      <c r="X725" s="22"/>
    </row>
    <row r="726" spans="10:24">
      <c r="J726" s="20" t="e">
        <f>VLOOKUP(G726,MD!M$2:O$93,3,FALSE)</f>
        <v>#N/A</v>
      </c>
      <c r="K726" s="29"/>
      <c r="P726" s="22"/>
      <c r="X726" s="22"/>
    </row>
    <row r="727" spans="10:24">
      <c r="J727" s="20" t="e">
        <f>VLOOKUP(G727,MD!M$2:O$93,3,FALSE)</f>
        <v>#N/A</v>
      </c>
      <c r="K727" s="29"/>
      <c r="P727" s="22"/>
      <c r="X727" s="22"/>
    </row>
    <row r="728" spans="10:24">
      <c r="J728" s="20" t="e">
        <f>VLOOKUP(G728,MD!M$2:O$93,3,FALSE)</f>
        <v>#N/A</v>
      </c>
      <c r="K728" s="29"/>
      <c r="P728" s="22"/>
      <c r="X728" s="22"/>
    </row>
    <row r="729" spans="10:24">
      <c r="J729" s="20" t="e">
        <f>VLOOKUP(G729,MD!M$2:O$93,3,FALSE)</f>
        <v>#N/A</v>
      </c>
      <c r="K729" s="29"/>
      <c r="P729" s="22"/>
      <c r="X729" s="22"/>
    </row>
    <row r="730" spans="10:24">
      <c r="J730" s="20" t="e">
        <f>VLOOKUP(G730,MD!M$2:O$93,3,FALSE)</f>
        <v>#N/A</v>
      </c>
      <c r="K730" s="29"/>
      <c r="P730" s="22"/>
      <c r="X730" s="22"/>
    </row>
    <row r="731" spans="10:24">
      <c r="J731" s="20" t="e">
        <f>VLOOKUP(G731,MD!M$2:O$93,3,FALSE)</f>
        <v>#N/A</v>
      </c>
      <c r="K731" s="29"/>
      <c r="P731" s="22"/>
      <c r="X731" s="22"/>
    </row>
    <row r="732" spans="10:24">
      <c r="J732" s="20" t="e">
        <f>VLOOKUP(G732,MD!M$2:O$93,3,FALSE)</f>
        <v>#N/A</v>
      </c>
      <c r="K732" s="29"/>
      <c r="P732" s="22"/>
      <c r="X732" s="22"/>
    </row>
    <row r="733" spans="10:24">
      <c r="J733" s="20" t="e">
        <f>VLOOKUP(G733,MD!M$2:O$93,3,FALSE)</f>
        <v>#N/A</v>
      </c>
      <c r="K733" s="29"/>
      <c r="P733" s="22"/>
      <c r="X733" s="22"/>
    </row>
    <row r="734" spans="10:24">
      <c r="J734" s="20" t="e">
        <f>VLOOKUP(G734,MD!M$2:O$93,3,FALSE)</f>
        <v>#N/A</v>
      </c>
      <c r="K734" s="29"/>
      <c r="P734" s="22"/>
      <c r="X734" s="22"/>
    </row>
    <row r="735" spans="10:24">
      <c r="J735" s="20" t="e">
        <f>VLOOKUP(G735,MD!M$2:O$93,3,FALSE)</f>
        <v>#N/A</v>
      </c>
      <c r="K735" s="29"/>
      <c r="P735" s="22"/>
      <c r="X735" s="22"/>
    </row>
    <row r="736" spans="10:24">
      <c r="J736" s="20" t="e">
        <f>VLOOKUP(G736,MD!M$2:O$93,3,FALSE)</f>
        <v>#N/A</v>
      </c>
      <c r="K736" s="29"/>
      <c r="P736" s="22"/>
      <c r="X736" s="22"/>
    </row>
    <row r="737" spans="10:24">
      <c r="J737" s="20" t="e">
        <f>VLOOKUP(G737,MD!M$2:O$93,3,FALSE)</f>
        <v>#N/A</v>
      </c>
      <c r="K737" s="29"/>
      <c r="P737" s="22"/>
      <c r="X737" s="22"/>
    </row>
    <row r="738" spans="10:24">
      <c r="J738" s="20" t="e">
        <f>VLOOKUP(G738,MD!M$2:O$93,3,FALSE)</f>
        <v>#N/A</v>
      </c>
      <c r="K738" s="29"/>
      <c r="P738" s="22"/>
      <c r="X738" s="22"/>
    </row>
    <row r="739" spans="10:24">
      <c r="J739" s="20" t="e">
        <f>VLOOKUP(G739,MD!M$2:O$93,3,FALSE)</f>
        <v>#N/A</v>
      </c>
      <c r="K739" s="29"/>
      <c r="P739" s="22"/>
      <c r="X739" s="22"/>
    </row>
    <row r="740" spans="10:24">
      <c r="J740" s="20" t="e">
        <f>VLOOKUP(G740,MD!M$2:O$93,3,FALSE)</f>
        <v>#N/A</v>
      </c>
      <c r="K740" s="29"/>
      <c r="P740" s="22"/>
      <c r="X740" s="22"/>
    </row>
    <row r="741" spans="10:24">
      <c r="J741" s="20" t="e">
        <f>VLOOKUP(G741,MD!M$2:O$93,3,FALSE)</f>
        <v>#N/A</v>
      </c>
      <c r="K741" s="29"/>
      <c r="P741" s="22"/>
      <c r="X741" s="22"/>
    </row>
    <row r="742" spans="10:24">
      <c r="J742" s="20" t="e">
        <f>VLOOKUP(G742,MD!M$2:O$93,3,FALSE)</f>
        <v>#N/A</v>
      </c>
      <c r="K742" s="29"/>
      <c r="P742" s="22"/>
      <c r="X742" s="22"/>
    </row>
    <row r="743" spans="10:24">
      <c r="J743" s="20" t="e">
        <f>VLOOKUP(G743,MD!M$2:O$93,3,FALSE)</f>
        <v>#N/A</v>
      </c>
      <c r="K743" s="29"/>
      <c r="P743" s="22"/>
      <c r="X743" s="22"/>
    </row>
    <row r="744" spans="10:24">
      <c r="J744" s="20" t="e">
        <f>VLOOKUP(G744,MD!M$2:O$93,3,FALSE)</f>
        <v>#N/A</v>
      </c>
      <c r="K744" s="29"/>
      <c r="P744" s="22"/>
      <c r="X744" s="22"/>
    </row>
    <row r="745" spans="10:24">
      <c r="J745" s="20" t="e">
        <f>VLOOKUP(G745,MD!M$2:O$93,3,FALSE)</f>
        <v>#N/A</v>
      </c>
      <c r="K745" s="29"/>
      <c r="P745" s="22"/>
      <c r="X745" s="22"/>
    </row>
    <row r="746" spans="10:24">
      <c r="J746" s="20" t="e">
        <f>VLOOKUP(G746,MD!M$2:O$93,3,FALSE)</f>
        <v>#N/A</v>
      </c>
      <c r="K746" s="29"/>
      <c r="P746" s="22"/>
      <c r="X746" s="22"/>
    </row>
    <row r="747" spans="10:24">
      <c r="J747" s="20" t="e">
        <f>VLOOKUP(G747,MD!M$2:O$93,3,FALSE)</f>
        <v>#N/A</v>
      </c>
      <c r="K747" s="29"/>
      <c r="P747" s="22"/>
      <c r="X747" s="22"/>
    </row>
    <row r="748" spans="10:24">
      <c r="J748" s="20" t="e">
        <f>VLOOKUP(G748,MD!M$2:O$93,3,FALSE)</f>
        <v>#N/A</v>
      </c>
      <c r="K748" s="29"/>
      <c r="P748" s="22"/>
      <c r="X748" s="22"/>
    </row>
    <row r="749" spans="10:24">
      <c r="J749" s="20" t="e">
        <f>VLOOKUP(G749,MD!M$2:O$93,3,FALSE)</f>
        <v>#N/A</v>
      </c>
      <c r="K749" s="29"/>
      <c r="P749" s="22"/>
      <c r="X749" s="22"/>
    </row>
    <row r="750" spans="10:24">
      <c r="J750" s="20" t="e">
        <f>VLOOKUP(G750,MD!M$2:O$93,3,FALSE)</f>
        <v>#N/A</v>
      </c>
      <c r="K750" s="29"/>
      <c r="P750" s="22"/>
      <c r="X750" s="22"/>
    </row>
    <row r="751" spans="10:24">
      <c r="J751" s="20" t="e">
        <f>VLOOKUP(G751,MD!M$2:O$93,3,FALSE)</f>
        <v>#N/A</v>
      </c>
      <c r="K751" s="29"/>
      <c r="P751" s="22"/>
      <c r="X751" s="22"/>
    </row>
    <row r="752" spans="10:24">
      <c r="J752" s="20" t="e">
        <f>VLOOKUP(G752,MD!M$2:O$93,3,FALSE)</f>
        <v>#N/A</v>
      </c>
      <c r="K752" s="29"/>
      <c r="P752" s="22"/>
      <c r="X752" s="22"/>
    </row>
    <row r="753" spans="10:24">
      <c r="J753" s="20" t="e">
        <f>VLOOKUP(G753,MD!M$2:O$93,3,FALSE)</f>
        <v>#N/A</v>
      </c>
      <c r="K753" s="29"/>
      <c r="P753" s="22"/>
      <c r="X753" s="22"/>
    </row>
    <row r="754" spans="10:24">
      <c r="J754" s="20" t="e">
        <f>VLOOKUP(G754,MD!M$2:O$93,3,FALSE)</f>
        <v>#N/A</v>
      </c>
      <c r="K754" s="29"/>
      <c r="P754" s="22"/>
      <c r="X754" s="22"/>
    </row>
    <row r="755" spans="10:24">
      <c r="J755" s="20" t="e">
        <f>VLOOKUP(G755,MD!M$2:O$93,3,FALSE)</f>
        <v>#N/A</v>
      </c>
      <c r="K755" s="29"/>
      <c r="P755" s="22"/>
      <c r="X755" s="22"/>
    </row>
    <row r="756" spans="10:24">
      <c r="J756" s="20" t="e">
        <f>VLOOKUP(G756,MD!M$2:O$93,3,FALSE)</f>
        <v>#N/A</v>
      </c>
      <c r="K756" s="29"/>
      <c r="P756" s="22"/>
      <c r="X756" s="22"/>
    </row>
    <row r="757" spans="10:24">
      <c r="J757" s="20" t="e">
        <f>VLOOKUP(G757,MD!M$2:O$93,3,FALSE)</f>
        <v>#N/A</v>
      </c>
      <c r="K757" s="29"/>
      <c r="P757" s="22"/>
      <c r="X757" s="22"/>
    </row>
    <row r="758" spans="10:24">
      <c r="J758" s="20" t="e">
        <f>VLOOKUP(G758,MD!M$2:O$93,3,FALSE)</f>
        <v>#N/A</v>
      </c>
      <c r="K758" s="29"/>
      <c r="P758" s="22"/>
      <c r="X758" s="22"/>
    </row>
    <row r="759" spans="10:24">
      <c r="J759" s="20" t="e">
        <f>VLOOKUP(G759,MD!M$2:O$93,3,FALSE)</f>
        <v>#N/A</v>
      </c>
      <c r="K759" s="29"/>
      <c r="P759" s="22"/>
      <c r="X759" s="22"/>
    </row>
    <row r="760" spans="10:24">
      <c r="J760" s="20" t="e">
        <f>VLOOKUP(G760,MD!M$2:O$93,3,FALSE)</f>
        <v>#N/A</v>
      </c>
      <c r="K760" s="29"/>
      <c r="P760" s="22"/>
      <c r="X760" s="22"/>
    </row>
    <row r="761" spans="10:24">
      <c r="J761" s="20" t="e">
        <f>VLOOKUP(G761,MD!M$2:O$93,3,FALSE)</f>
        <v>#N/A</v>
      </c>
      <c r="K761" s="29"/>
      <c r="P761" s="22"/>
      <c r="X761" s="22"/>
    </row>
    <row r="762" spans="10:24">
      <c r="J762" s="20" t="e">
        <f>VLOOKUP(G762,MD!M$2:O$93,3,FALSE)</f>
        <v>#N/A</v>
      </c>
      <c r="K762" s="29"/>
      <c r="P762" s="22"/>
      <c r="X762" s="22"/>
    </row>
    <row r="763" spans="10:24">
      <c r="J763" s="20" t="e">
        <f>VLOOKUP(G763,MD!M$2:O$93,3,FALSE)</f>
        <v>#N/A</v>
      </c>
      <c r="K763" s="29"/>
      <c r="P763" s="22"/>
      <c r="X763" s="22"/>
    </row>
    <row r="764" spans="10:24">
      <c r="J764" s="20" t="e">
        <f>VLOOKUP(G764,MD!M$2:O$93,3,FALSE)</f>
        <v>#N/A</v>
      </c>
      <c r="K764" s="29"/>
      <c r="P764" s="22"/>
      <c r="X764" s="22"/>
    </row>
    <row r="765" spans="10:24">
      <c r="J765" s="20" t="e">
        <f>VLOOKUP(G765,MD!M$2:O$93,3,FALSE)</f>
        <v>#N/A</v>
      </c>
      <c r="K765" s="29"/>
      <c r="P765" s="22"/>
      <c r="X765" s="22"/>
    </row>
    <row r="766" spans="10:24">
      <c r="J766" s="20" t="e">
        <f>VLOOKUP(G766,MD!M$2:O$93,3,FALSE)</f>
        <v>#N/A</v>
      </c>
      <c r="K766" s="29"/>
      <c r="P766" s="22"/>
      <c r="X766" s="22"/>
    </row>
    <row r="767" spans="10:24">
      <c r="J767" s="20" t="e">
        <f>VLOOKUP(G767,MD!M$2:O$93,3,FALSE)</f>
        <v>#N/A</v>
      </c>
      <c r="K767" s="29"/>
      <c r="P767" s="22"/>
      <c r="X767" s="22"/>
    </row>
    <row r="768" spans="10:24">
      <c r="J768" s="20" t="e">
        <f>VLOOKUP(G768,MD!M$2:O$93,3,FALSE)</f>
        <v>#N/A</v>
      </c>
      <c r="K768" s="29"/>
      <c r="P768" s="22"/>
      <c r="X768" s="22"/>
    </row>
    <row r="769" spans="10:24">
      <c r="J769" s="20" t="e">
        <f>VLOOKUP(G769,MD!M$2:O$93,3,FALSE)</f>
        <v>#N/A</v>
      </c>
      <c r="K769" s="29"/>
      <c r="P769" s="22"/>
      <c r="X769" s="22"/>
    </row>
    <row r="770" spans="10:24">
      <c r="J770" s="20" t="e">
        <f>VLOOKUP(G770,MD!M$2:O$93,3,FALSE)</f>
        <v>#N/A</v>
      </c>
      <c r="K770" s="29"/>
      <c r="P770" s="22"/>
      <c r="X770" s="22"/>
    </row>
    <row r="771" spans="10:24">
      <c r="J771" s="20" t="e">
        <f>VLOOKUP(G771,MD!M$2:O$93,3,FALSE)</f>
        <v>#N/A</v>
      </c>
      <c r="K771" s="29"/>
      <c r="P771" s="22"/>
      <c r="X771" s="22"/>
    </row>
    <row r="772" spans="10:24">
      <c r="J772" s="20" t="e">
        <f>VLOOKUP(G772,MD!M$2:O$93,3,FALSE)</f>
        <v>#N/A</v>
      </c>
      <c r="K772" s="29"/>
      <c r="P772" s="22"/>
      <c r="X772" s="22"/>
    </row>
    <row r="773" spans="10:24">
      <c r="J773" s="20" t="e">
        <f>VLOOKUP(G773,MD!M$2:O$93,3,FALSE)</f>
        <v>#N/A</v>
      </c>
      <c r="K773" s="29"/>
      <c r="P773" s="22"/>
      <c r="X773" s="22"/>
    </row>
    <row r="774" spans="10:24">
      <c r="J774" s="20" t="e">
        <f>VLOOKUP(G774,MD!M$2:O$93,3,FALSE)</f>
        <v>#N/A</v>
      </c>
      <c r="K774" s="29"/>
      <c r="P774" s="22"/>
      <c r="X774" s="22"/>
    </row>
    <row r="775" spans="10:24">
      <c r="J775" s="20" t="e">
        <f>VLOOKUP(G775,MD!M$2:O$93,3,FALSE)</f>
        <v>#N/A</v>
      </c>
      <c r="K775" s="29"/>
      <c r="P775" s="22"/>
      <c r="X775" s="22"/>
    </row>
    <row r="776" spans="10:24">
      <c r="J776" s="20" t="e">
        <f>VLOOKUP(G776,MD!M$2:O$93,3,FALSE)</f>
        <v>#N/A</v>
      </c>
      <c r="K776" s="29"/>
      <c r="P776" s="22"/>
      <c r="X776" s="22"/>
    </row>
    <row r="777" spans="10:24">
      <c r="J777" s="20" t="e">
        <f>VLOOKUP(G777,MD!M$2:O$93,3,FALSE)</f>
        <v>#N/A</v>
      </c>
      <c r="K777" s="29"/>
      <c r="P777" s="22"/>
      <c r="X777" s="22"/>
    </row>
    <row r="778" spans="10:24">
      <c r="J778" s="20" t="e">
        <f>VLOOKUP(G778,MD!M$2:O$93,3,FALSE)</f>
        <v>#N/A</v>
      </c>
      <c r="K778" s="29"/>
      <c r="P778" s="22"/>
      <c r="X778" s="22"/>
    </row>
    <row r="779" spans="10:24">
      <c r="J779" s="20" t="e">
        <f>VLOOKUP(G779,MD!M$2:O$93,3,FALSE)</f>
        <v>#N/A</v>
      </c>
      <c r="K779" s="29"/>
      <c r="P779" s="22"/>
      <c r="X779" s="22"/>
    </row>
    <row r="780" spans="10:24">
      <c r="J780" s="20" t="e">
        <f>VLOOKUP(G780,MD!M$2:O$93,3,FALSE)</f>
        <v>#N/A</v>
      </c>
      <c r="K780" s="29"/>
      <c r="P780" s="22"/>
      <c r="X780" s="22"/>
    </row>
    <row r="781" spans="10:24">
      <c r="J781" s="20" t="e">
        <f>VLOOKUP(G781,MD!M$2:O$93,3,FALSE)</f>
        <v>#N/A</v>
      </c>
      <c r="K781" s="29"/>
      <c r="P781" s="22"/>
      <c r="X781" s="22"/>
    </row>
    <row r="782" spans="10:24">
      <c r="J782" s="20" t="e">
        <f>VLOOKUP(G782,MD!M$2:O$93,3,FALSE)</f>
        <v>#N/A</v>
      </c>
      <c r="K782" s="29"/>
      <c r="P782" s="22"/>
      <c r="X782" s="22"/>
    </row>
    <row r="783" spans="10:24">
      <c r="J783" s="20" t="e">
        <f>VLOOKUP(G783,MD!M$2:O$93,3,FALSE)</f>
        <v>#N/A</v>
      </c>
      <c r="K783" s="29"/>
      <c r="P783" s="22"/>
      <c r="X783" s="22"/>
    </row>
    <row r="784" spans="10:24">
      <c r="J784" s="20" t="e">
        <f>VLOOKUP(G784,MD!M$2:O$93,3,FALSE)</f>
        <v>#N/A</v>
      </c>
      <c r="K784" s="29"/>
      <c r="P784" s="22"/>
      <c r="X784" s="22"/>
    </row>
    <row r="785" spans="10:24">
      <c r="J785" s="20" t="e">
        <f>VLOOKUP(G785,MD!M$2:O$93,3,FALSE)</f>
        <v>#N/A</v>
      </c>
      <c r="K785" s="29"/>
      <c r="P785" s="22"/>
      <c r="X785" s="22"/>
    </row>
    <row r="786" spans="10:24">
      <c r="J786" s="20" t="e">
        <f>VLOOKUP(G786,MD!M$2:O$93,3,FALSE)</f>
        <v>#N/A</v>
      </c>
      <c r="K786" s="29"/>
      <c r="P786" s="22"/>
      <c r="X786" s="22"/>
    </row>
    <row r="787" spans="10:24">
      <c r="J787" s="20" t="e">
        <f>VLOOKUP(G787,MD!M$2:O$93,3,FALSE)</f>
        <v>#N/A</v>
      </c>
      <c r="K787" s="29"/>
      <c r="P787" s="22"/>
      <c r="X787" s="22"/>
    </row>
    <row r="788" spans="10:24">
      <c r="J788" s="20" t="e">
        <f>VLOOKUP(G788,MD!M$2:O$93,3,FALSE)</f>
        <v>#N/A</v>
      </c>
      <c r="K788" s="29"/>
      <c r="P788" s="22"/>
      <c r="X788" s="22"/>
    </row>
    <row r="789" spans="10:24">
      <c r="J789" s="20" t="e">
        <f>VLOOKUP(G789,MD!M$2:O$93,3,FALSE)</f>
        <v>#N/A</v>
      </c>
      <c r="K789" s="29"/>
      <c r="P789" s="22"/>
      <c r="X789" s="22"/>
    </row>
    <row r="790" spans="10:24">
      <c r="J790" s="20" t="e">
        <f>VLOOKUP(G790,MD!M$2:O$93,3,FALSE)</f>
        <v>#N/A</v>
      </c>
      <c r="K790" s="29"/>
      <c r="P790" s="22"/>
      <c r="X790" s="22"/>
    </row>
    <row r="791" spans="10:24">
      <c r="J791" s="20" t="e">
        <f>VLOOKUP(G791,MD!M$2:O$93,3,FALSE)</f>
        <v>#N/A</v>
      </c>
      <c r="K791" s="29"/>
      <c r="P791" s="22"/>
      <c r="X791" s="22"/>
    </row>
    <row r="792" spans="10:24">
      <c r="J792" s="20" t="e">
        <f>VLOOKUP(G792,MD!M$2:O$93,3,FALSE)</f>
        <v>#N/A</v>
      </c>
      <c r="K792" s="29"/>
      <c r="P792" s="22"/>
      <c r="X792" s="22"/>
    </row>
    <row r="793" spans="10:24">
      <c r="J793" s="20" t="e">
        <f>VLOOKUP(G793,MD!M$2:O$93,3,FALSE)</f>
        <v>#N/A</v>
      </c>
      <c r="K793" s="29"/>
      <c r="P793" s="22"/>
      <c r="X793" s="22"/>
    </row>
    <row r="794" spans="10:24">
      <c r="J794" s="20" t="e">
        <f>VLOOKUP(G794,MD!M$2:O$93,3,FALSE)</f>
        <v>#N/A</v>
      </c>
      <c r="K794" s="29"/>
      <c r="P794" s="22"/>
      <c r="X794" s="22"/>
    </row>
    <row r="795" spans="10:24">
      <c r="J795" s="20" t="e">
        <f>VLOOKUP(G795,MD!M$2:O$93,3,FALSE)</f>
        <v>#N/A</v>
      </c>
      <c r="K795" s="29"/>
      <c r="P795" s="22"/>
      <c r="X795" s="22"/>
    </row>
    <row r="796" spans="10:24">
      <c r="J796" s="20" t="e">
        <f>VLOOKUP(G796,MD!M$2:O$93,3,FALSE)</f>
        <v>#N/A</v>
      </c>
      <c r="K796" s="29"/>
      <c r="P796" s="22"/>
      <c r="X796" s="22"/>
    </row>
    <row r="797" spans="10:24">
      <c r="J797" s="20" t="e">
        <f>VLOOKUP(G797,MD!M$2:O$93,3,FALSE)</f>
        <v>#N/A</v>
      </c>
      <c r="K797" s="29"/>
      <c r="P797" s="22"/>
      <c r="X797" s="22"/>
    </row>
    <row r="798" spans="10:24">
      <c r="J798" s="20" t="e">
        <f>VLOOKUP(G798,MD!M$2:O$93,3,FALSE)</f>
        <v>#N/A</v>
      </c>
      <c r="K798" s="29"/>
      <c r="P798" s="22"/>
      <c r="X798" s="22"/>
    </row>
    <row r="799" spans="10:24">
      <c r="J799" s="20" t="e">
        <f>VLOOKUP(G799,MD!M$2:O$93,3,FALSE)</f>
        <v>#N/A</v>
      </c>
      <c r="K799" s="29"/>
      <c r="P799" s="22"/>
      <c r="X799" s="22"/>
    </row>
    <row r="800" spans="10:24">
      <c r="J800" s="20" t="e">
        <f>VLOOKUP(G800,MD!M$2:O$93,3,FALSE)</f>
        <v>#N/A</v>
      </c>
      <c r="K800" s="29"/>
      <c r="P800" s="22"/>
      <c r="X800" s="22"/>
    </row>
    <row r="801" spans="10:24">
      <c r="J801" s="20" t="e">
        <f>VLOOKUP(G801,MD!M$2:O$93,3,FALSE)</f>
        <v>#N/A</v>
      </c>
      <c r="K801" s="29"/>
      <c r="P801" s="22"/>
      <c r="X801" s="22"/>
    </row>
    <row r="802" spans="10:24">
      <c r="J802" s="20" t="e">
        <f>VLOOKUP(G802,MD!M$2:O$93,3,FALSE)</f>
        <v>#N/A</v>
      </c>
      <c r="K802" s="29"/>
      <c r="P802" s="22"/>
      <c r="X802" s="22"/>
    </row>
    <row r="803" spans="10:24">
      <c r="J803" s="20" t="e">
        <f>VLOOKUP(G803,MD!M$2:O$93,3,FALSE)</f>
        <v>#N/A</v>
      </c>
      <c r="K803" s="29"/>
      <c r="P803" s="22"/>
      <c r="X803" s="22"/>
    </row>
    <row r="804" spans="10:24">
      <c r="J804" s="20" t="e">
        <f>VLOOKUP(G804,MD!M$2:O$93,3,FALSE)</f>
        <v>#N/A</v>
      </c>
      <c r="K804" s="29"/>
      <c r="P804" s="22"/>
      <c r="X804" s="22"/>
    </row>
    <row r="805" spans="10:24">
      <c r="J805" s="20" t="e">
        <f>VLOOKUP(G805,MD!M$2:O$93,3,FALSE)</f>
        <v>#N/A</v>
      </c>
      <c r="K805" s="29"/>
      <c r="P805" s="22"/>
      <c r="X805" s="22"/>
    </row>
    <row r="806" spans="10:24">
      <c r="J806" s="20" t="e">
        <f>VLOOKUP(G806,MD!M$2:O$93,3,FALSE)</f>
        <v>#N/A</v>
      </c>
      <c r="K806" s="29"/>
      <c r="P806" s="22"/>
      <c r="X806" s="22"/>
    </row>
    <row r="807" spans="10:24">
      <c r="J807" s="20" t="e">
        <f>VLOOKUP(G807,MD!M$2:O$93,3,FALSE)</f>
        <v>#N/A</v>
      </c>
      <c r="K807" s="29"/>
      <c r="P807" s="22"/>
      <c r="X807" s="22"/>
    </row>
    <row r="808" spans="10:24">
      <c r="J808" s="20" t="e">
        <f>VLOOKUP(G808,MD!M$2:O$93,3,FALSE)</f>
        <v>#N/A</v>
      </c>
      <c r="K808" s="29"/>
      <c r="P808" s="22"/>
      <c r="X808" s="22"/>
    </row>
    <row r="809" spans="10:24">
      <c r="J809" s="20" t="e">
        <f>VLOOKUP(G809,MD!M$2:O$93,3,FALSE)</f>
        <v>#N/A</v>
      </c>
      <c r="K809" s="29"/>
      <c r="P809" s="22"/>
      <c r="X809" s="22"/>
    </row>
    <row r="810" spans="10:24">
      <c r="J810" s="20" t="e">
        <f>VLOOKUP(G810,MD!M$2:O$93,3,FALSE)</f>
        <v>#N/A</v>
      </c>
      <c r="K810" s="29"/>
      <c r="P810" s="22"/>
      <c r="X810" s="22"/>
    </row>
    <row r="811" spans="10:24">
      <c r="J811" s="20" t="e">
        <f>VLOOKUP(G811,MD!M$2:O$93,3,FALSE)</f>
        <v>#N/A</v>
      </c>
      <c r="K811" s="29"/>
      <c r="P811" s="22"/>
      <c r="X811" s="22"/>
    </row>
    <row r="812" spans="10:24">
      <c r="J812" s="20" t="e">
        <f>VLOOKUP(G812,MD!M$2:O$93,3,FALSE)</f>
        <v>#N/A</v>
      </c>
      <c r="K812" s="29"/>
      <c r="P812" s="22"/>
      <c r="X812" s="22"/>
    </row>
    <row r="813" spans="10:24">
      <c r="J813" s="20" t="e">
        <f>VLOOKUP(G813,MD!M$2:O$93,3,FALSE)</f>
        <v>#N/A</v>
      </c>
      <c r="K813" s="29"/>
      <c r="P813" s="22"/>
      <c r="X813" s="22"/>
    </row>
    <row r="814" spans="10:24">
      <c r="J814" s="20" t="e">
        <f>VLOOKUP(G814,MD!M$2:O$93,3,FALSE)</f>
        <v>#N/A</v>
      </c>
      <c r="K814" s="29"/>
      <c r="P814" s="22"/>
      <c r="X814" s="22"/>
    </row>
    <row r="815" spans="10:24">
      <c r="J815" s="20" t="e">
        <f>VLOOKUP(G815,MD!M$2:O$93,3,FALSE)</f>
        <v>#N/A</v>
      </c>
      <c r="K815" s="29"/>
      <c r="P815" s="22"/>
      <c r="X815" s="22"/>
    </row>
    <row r="816" spans="10:24">
      <c r="J816" s="20" t="e">
        <f>VLOOKUP(G816,MD!M$2:O$93,3,FALSE)</f>
        <v>#N/A</v>
      </c>
      <c r="K816" s="29"/>
      <c r="P816" s="22"/>
      <c r="X816" s="22"/>
    </row>
    <row r="817" spans="10:24">
      <c r="J817" s="20" t="e">
        <f>VLOOKUP(G817,MD!M$2:O$93,3,FALSE)</f>
        <v>#N/A</v>
      </c>
      <c r="K817" s="29"/>
      <c r="P817" s="22"/>
      <c r="X817" s="22"/>
    </row>
    <row r="818" spans="10:24">
      <c r="J818" s="20" t="e">
        <f>VLOOKUP(G818,MD!M$2:O$93,3,FALSE)</f>
        <v>#N/A</v>
      </c>
      <c r="K818" s="29"/>
      <c r="P818" s="22"/>
      <c r="X818" s="22"/>
    </row>
    <row r="819" spans="10:24">
      <c r="J819" s="20" t="e">
        <f>VLOOKUP(G819,MD!M$2:O$93,3,FALSE)</f>
        <v>#N/A</v>
      </c>
      <c r="K819" s="29"/>
      <c r="P819" s="22"/>
      <c r="X819" s="22"/>
    </row>
    <row r="820" spans="10:24">
      <c r="J820" s="20" t="e">
        <f>VLOOKUP(G820,MD!M$2:O$93,3,FALSE)</f>
        <v>#N/A</v>
      </c>
      <c r="K820" s="29"/>
      <c r="P820" s="22"/>
      <c r="X820" s="22"/>
    </row>
    <row r="821" spans="10:24">
      <c r="J821" s="20" t="e">
        <f>VLOOKUP(G821,MD!M$2:O$93,3,FALSE)</f>
        <v>#N/A</v>
      </c>
      <c r="K821" s="29"/>
      <c r="P821" s="22"/>
      <c r="X821" s="22"/>
    </row>
    <row r="822" spans="10:24">
      <c r="J822" s="20" t="e">
        <f>VLOOKUP(G822,MD!M$2:O$93,3,FALSE)</f>
        <v>#N/A</v>
      </c>
      <c r="K822" s="29"/>
      <c r="P822" s="22"/>
      <c r="X822" s="22"/>
    </row>
    <row r="823" spans="10:24">
      <c r="J823" s="20" t="e">
        <f>VLOOKUP(G823,MD!M$2:O$93,3,FALSE)</f>
        <v>#N/A</v>
      </c>
      <c r="K823" s="29"/>
      <c r="P823" s="22"/>
      <c r="X823" s="22"/>
    </row>
    <row r="824" spans="10:24">
      <c r="J824" s="20" t="e">
        <f>VLOOKUP(G824,MD!M$2:O$93,3,FALSE)</f>
        <v>#N/A</v>
      </c>
      <c r="K824" s="29"/>
      <c r="P824" s="22"/>
      <c r="X824" s="22"/>
    </row>
    <row r="825" spans="10:24">
      <c r="J825" s="20" t="e">
        <f>VLOOKUP(G825,MD!M$2:O$93,3,FALSE)</f>
        <v>#N/A</v>
      </c>
      <c r="K825" s="29"/>
      <c r="P825" s="22"/>
      <c r="X825" s="22"/>
    </row>
    <row r="826" spans="10:24">
      <c r="J826" s="20" t="e">
        <f>VLOOKUP(G826,MD!M$2:O$93,3,FALSE)</f>
        <v>#N/A</v>
      </c>
      <c r="K826" s="29"/>
      <c r="P826" s="22"/>
      <c r="X826" s="22"/>
    </row>
    <row r="827" spans="10:24">
      <c r="J827" s="20" t="e">
        <f>VLOOKUP(G827,MD!M$2:O$93,3,FALSE)</f>
        <v>#N/A</v>
      </c>
      <c r="K827" s="29"/>
      <c r="P827" s="22"/>
      <c r="X827" s="22"/>
    </row>
    <row r="828" spans="10:24">
      <c r="J828" s="20" t="e">
        <f>VLOOKUP(G828,MD!M$2:O$93,3,FALSE)</f>
        <v>#N/A</v>
      </c>
      <c r="K828" s="29"/>
      <c r="P828" s="22"/>
      <c r="X828" s="22"/>
    </row>
    <row r="829" spans="10:24">
      <c r="J829" s="20" t="e">
        <f>VLOOKUP(G829,MD!M$2:O$93,3,FALSE)</f>
        <v>#N/A</v>
      </c>
      <c r="K829" s="29"/>
      <c r="P829" s="22"/>
      <c r="X829" s="22"/>
    </row>
    <row r="830" spans="10:24">
      <c r="J830" s="20" t="e">
        <f>VLOOKUP(G830,MD!M$2:O$93,3,FALSE)</f>
        <v>#N/A</v>
      </c>
      <c r="K830" s="29"/>
      <c r="P830" s="22"/>
      <c r="X830" s="22"/>
    </row>
    <row r="831" spans="10:24">
      <c r="J831" s="20" t="e">
        <f>VLOOKUP(G831,MD!M$2:O$93,3,FALSE)</f>
        <v>#N/A</v>
      </c>
      <c r="K831" s="29"/>
      <c r="P831" s="22"/>
      <c r="X831" s="22"/>
    </row>
    <row r="832" spans="10:24">
      <c r="J832" s="20" t="e">
        <f>VLOOKUP(G832,MD!M$2:O$93,3,FALSE)</f>
        <v>#N/A</v>
      </c>
      <c r="K832" s="29"/>
      <c r="P832" s="22"/>
      <c r="X832" s="22"/>
    </row>
    <row r="833" spans="10:24">
      <c r="J833" s="20" t="e">
        <f>VLOOKUP(G833,MD!M$2:O$93,3,FALSE)</f>
        <v>#N/A</v>
      </c>
      <c r="K833" s="29"/>
      <c r="P833" s="22"/>
      <c r="X833" s="22"/>
    </row>
    <row r="834" spans="10:24">
      <c r="J834" s="20" t="e">
        <f>VLOOKUP(G834,MD!M$2:O$93,3,FALSE)</f>
        <v>#N/A</v>
      </c>
      <c r="K834" s="29"/>
      <c r="P834" s="22"/>
      <c r="X834" s="22"/>
    </row>
    <row r="835" spans="10:24">
      <c r="J835" s="20" t="e">
        <f>VLOOKUP(G835,MD!M$2:O$93,3,FALSE)</f>
        <v>#N/A</v>
      </c>
      <c r="K835" s="29"/>
      <c r="P835" s="22"/>
      <c r="X835" s="22"/>
    </row>
    <row r="836" spans="10:24">
      <c r="J836" s="20" t="e">
        <f>VLOOKUP(G836,MD!M$2:O$93,3,FALSE)</f>
        <v>#N/A</v>
      </c>
      <c r="K836" s="29"/>
      <c r="P836" s="22"/>
      <c r="X836" s="22"/>
    </row>
    <row r="837" spans="10:24">
      <c r="J837" s="20" t="e">
        <f>VLOOKUP(G837,MD!M$2:O$93,3,FALSE)</f>
        <v>#N/A</v>
      </c>
      <c r="K837" s="29"/>
      <c r="P837" s="22"/>
      <c r="X837" s="22"/>
    </row>
    <row r="838" spans="10:24">
      <c r="J838" s="20" t="e">
        <f>VLOOKUP(G838,MD!M$2:O$93,3,FALSE)</f>
        <v>#N/A</v>
      </c>
      <c r="K838" s="29"/>
      <c r="P838" s="22"/>
      <c r="X838" s="22"/>
    </row>
    <row r="839" spans="10:24">
      <c r="J839" s="20" t="e">
        <f>VLOOKUP(G839,MD!M$2:O$93,3,FALSE)</f>
        <v>#N/A</v>
      </c>
      <c r="K839" s="29"/>
      <c r="P839" s="22"/>
      <c r="X839" s="22"/>
    </row>
    <row r="840" spans="10:24">
      <c r="J840" s="20" t="e">
        <f>VLOOKUP(G840,MD!M$2:O$93,3,FALSE)</f>
        <v>#N/A</v>
      </c>
      <c r="K840" s="29"/>
      <c r="P840" s="22"/>
      <c r="X840" s="22"/>
    </row>
    <row r="841" spans="10:24">
      <c r="J841" s="20" t="e">
        <f>VLOOKUP(G841,MD!M$2:O$93,3,FALSE)</f>
        <v>#N/A</v>
      </c>
      <c r="K841" s="29"/>
      <c r="P841" s="22"/>
      <c r="X841" s="22"/>
    </row>
    <row r="842" spans="10:24">
      <c r="J842" s="20" t="e">
        <f>VLOOKUP(G842,MD!M$2:O$93,3,FALSE)</f>
        <v>#N/A</v>
      </c>
      <c r="K842" s="29"/>
      <c r="P842" s="22"/>
      <c r="X842" s="22"/>
    </row>
    <row r="843" spans="10:24">
      <c r="J843" s="20" t="e">
        <f>VLOOKUP(G843,MD!M$2:O$93,3,FALSE)</f>
        <v>#N/A</v>
      </c>
      <c r="K843" s="29"/>
      <c r="P843" s="22"/>
      <c r="X843" s="22"/>
    </row>
    <row r="844" spans="10:24">
      <c r="J844" s="20" t="e">
        <f>VLOOKUP(G844,MD!M$2:O$93,3,FALSE)</f>
        <v>#N/A</v>
      </c>
      <c r="K844" s="29"/>
      <c r="P844" s="22"/>
      <c r="X844" s="22"/>
    </row>
    <row r="845" spans="10:24">
      <c r="J845" s="20" t="e">
        <f>VLOOKUP(G845,MD!M$2:O$93,3,FALSE)</f>
        <v>#N/A</v>
      </c>
      <c r="K845" s="29"/>
      <c r="P845" s="22"/>
      <c r="X845" s="22"/>
    </row>
    <row r="846" spans="10:24">
      <c r="J846" s="20" t="e">
        <f>VLOOKUP(G846,MD!M$2:O$93,3,FALSE)</f>
        <v>#N/A</v>
      </c>
      <c r="K846" s="29"/>
      <c r="P846" s="22"/>
      <c r="X846" s="22"/>
    </row>
    <row r="847" spans="10:24">
      <c r="J847" s="20" t="e">
        <f>VLOOKUP(G847,MD!M$2:O$93,3,FALSE)</f>
        <v>#N/A</v>
      </c>
      <c r="K847" s="29"/>
      <c r="P847" s="22"/>
      <c r="X847" s="22"/>
    </row>
    <row r="848" spans="10:24">
      <c r="J848" s="20" t="e">
        <f>VLOOKUP(G848,MD!M$2:O$93,3,FALSE)</f>
        <v>#N/A</v>
      </c>
      <c r="K848" s="29"/>
      <c r="P848" s="22"/>
      <c r="X848" s="22"/>
    </row>
    <row r="849" spans="10:24">
      <c r="J849" s="20" t="e">
        <f>VLOOKUP(G849,MD!M$2:O$93,3,FALSE)</f>
        <v>#N/A</v>
      </c>
      <c r="K849" s="29"/>
      <c r="P849" s="22"/>
      <c r="X849" s="22"/>
    </row>
    <row r="850" spans="10:24">
      <c r="J850" s="20" t="e">
        <f>VLOOKUP(G850,MD!M$2:O$93,3,FALSE)</f>
        <v>#N/A</v>
      </c>
      <c r="K850" s="29"/>
      <c r="P850" s="22"/>
      <c r="X850" s="22"/>
    </row>
    <row r="851" spans="10:24">
      <c r="J851" s="20" t="e">
        <f>VLOOKUP(G851,MD!M$2:O$93,3,FALSE)</f>
        <v>#N/A</v>
      </c>
      <c r="K851" s="29"/>
      <c r="P851" s="22"/>
      <c r="X851" s="22"/>
    </row>
    <row r="852" spans="10:24">
      <c r="J852" s="20" t="e">
        <f>VLOOKUP(G852,MD!M$2:O$93,3,FALSE)</f>
        <v>#N/A</v>
      </c>
      <c r="K852" s="29"/>
      <c r="P852" s="22"/>
      <c r="X852" s="22"/>
    </row>
    <row r="853" spans="10:24">
      <c r="J853" s="20" t="e">
        <f>VLOOKUP(G853,MD!M$2:O$93,3,FALSE)</f>
        <v>#N/A</v>
      </c>
      <c r="K853" s="29"/>
      <c r="P853" s="22"/>
      <c r="X853" s="22"/>
    </row>
    <row r="854" spans="10:24">
      <c r="J854" s="20" t="e">
        <f>VLOOKUP(G854,MD!M$2:O$93,3,FALSE)</f>
        <v>#N/A</v>
      </c>
      <c r="K854" s="29"/>
      <c r="P854" s="22"/>
      <c r="X854" s="22"/>
    </row>
    <row r="855" spans="10:24">
      <c r="J855" s="20" t="e">
        <f>VLOOKUP(G855,MD!M$2:O$93,3,FALSE)</f>
        <v>#N/A</v>
      </c>
      <c r="K855" s="29"/>
      <c r="P855" s="22"/>
      <c r="X855" s="22"/>
    </row>
    <row r="856" spans="10:24">
      <c r="J856" s="20" t="e">
        <f>VLOOKUP(G856,MD!M$2:O$93,3,FALSE)</f>
        <v>#N/A</v>
      </c>
      <c r="K856" s="29"/>
      <c r="P856" s="22"/>
      <c r="X856" s="22"/>
    </row>
    <row r="857" spans="10:24">
      <c r="J857" s="20" t="e">
        <f>VLOOKUP(G857,MD!M$2:O$93,3,FALSE)</f>
        <v>#N/A</v>
      </c>
      <c r="K857" s="29"/>
      <c r="P857" s="22"/>
      <c r="X857" s="22"/>
    </row>
    <row r="858" spans="10:24">
      <c r="J858" s="20" t="e">
        <f>VLOOKUP(G858,MD!M$2:O$93,3,FALSE)</f>
        <v>#N/A</v>
      </c>
      <c r="K858" s="29"/>
      <c r="P858" s="22"/>
      <c r="X858" s="22"/>
    </row>
    <row r="859" spans="10:24">
      <c r="J859" s="20" t="e">
        <f>VLOOKUP(G859,MD!M$2:O$93,3,FALSE)</f>
        <v>#N/A</v>
      </c>
      <c r="K859" s="29"/>
      <c r="P859" s="22"/>
      <c r="X859" s="22"/>
    </row>
    <row r="860" spans="10:24">
      <c r="J860" s="20" t="e">
        <f>VLOOKUP(G860,MD!M$2:O$93,3,FALSE)</f>
        <v>#N/A</v>
      </c>
      <c r="K860" s="29"/>
      <c r="P860" s="22"/>
      <c r="X860" s="22"/>
    </row>
    <row r="861" spans="10:24">
      <c r="J861" s="20" t="e">
        <f>VLOOKUP(G861,MD!M$2:O$93,3,FALSE)</f>
        <v>#N/A</v>
      </c>
      <c r="K861" s="29"/>
      <c r="P861" s="22"/>
      <c r="X861" s="22"/>
    </row>
    <row r="862" spans="10:24">
      <c r="J862" s="20" t="e">
        <f>VLOOKUP(G862,MD!M$2:O$93,3,FALSE)</f>
        <v>#N/A</v>
      </c>
      <c r="K862" s="29"/>
      <c r="P862" s="22"/>
      <c r="X862" s="22"/>
    </row>
    <row r="863" spans="10:24">
      <c r="J863" s="20" t="e">
        <f>VLOOKUP(G863,MD!M$2:O$93,3,FALSE)</f>
        <v>#N/A</v>
      </c>
      <c r="K863" s="29"/>
      <c r="P863" s="22"/>
      <c r="X863" s="22"/>
    </row>
    <row r="864" spans="10:24">
      <c r="J864" s="20" t="e">
        <f>VLOOKUP(G864,MD!M$2:O$93,3,FALSE)</f>
        <v>#N/A</v>
      </c>
      <c r="K864" s="29"/>
      <c r="P864" s="22"/>
      <c r="X864" s="22"/>
    </row>
    <row r="865" spans="10:24">
      <c r="J865" s="20" t="e">
        <f>VLOOKUP(G865,MD!M$2:O$93,3,FALSE)</f>
        <v>#N/A</v>
      </c>
      <c r="K865" s="29"/>
      <c r="P865" s="22"/>
      <c r="X865" s="22"/>
    </row>
    <row r="866" spans="10:24">
      <c r="J866" s="20" t="e">
        <f>VLOOKUP(G866,MD!M$2:O$93,3,FALSE)</f>
        <v>#N/A</v>
      </c>
      <c r="K866" s="29"/>
      <c r="P866" s="22"/>
      <c r="X866" s="22"/>
    </row>
    <row r="867" spans="10:24">
      <c r="J867" s="20" t="e">
        <f>VLOOKUP(G867,MD!M$2:O$93,3,FALSE)</f>
        <v>#N/A</v>
      </c>
      <c r="K867" s="29"/>
      <c r="P867" s="22"/>
      <c r="X867" s="22"/>
    </row>
    <row r="868" spans="10:24">
      <c r="J868" s="20" t="e">
        <f>VLOOKUP(G868,MD!M$2:O$93,3,FALSE)</f>
        <v>#N/A</v>
      </c>
      <c r="K868" s="29"/>
      <c r="P868" s="22"/>
      <c r="X868" s="22"/>
    </row>
    <row r="869" spans="10:24">
      <c r="J869" s="20" t="e">
        <f>VLOOKUP(G869,MD!M$2:O$93,3,FALSE)</f>
        <v>#N/A</v>
      </c>
      <c r="K869" s="29"/>
      <c r="P869" s="22"/>
      <c r="X869" s="22"/>
    </row>
    <row r="870" spans="10:24">
      <c r="J870" s="20" t="e">
        <f>VLOOKUP(G870,MD!M$2:O$93,3,FALSE)</f>
        <v>#N/A</v>
      </c>
      <c r="K870" s="29"/>
      <c r="P870" s="22"/>
      <c r="X870" s="22"/>
    </row>
    <row r="871" spans="10:24">
      <c r="J871" s="20" t="e">
        <f>VLOOKUP(G871,MD!M$2:O$93,3,FALSE)</f>
        <v>#N/A</v>
      </c>
      <c r="K871" s="29"/>
      <c r="P871" s="22"/>
      <c r="X871" s="22"/>
    </row>
    <row r="872" spans="10:24">
      <c r="J872" s="20" t="e">
        <f>VLOOKUP(G872,MD!M$2:O$93,3,FALSE)</f>
        <v>#N/A</v>
      </c>
      <c r="K872" s="29"/>
      <c r="P872" s="22"/>
      <c r="X872" s="22"/>
    </row>
    <row r="873" spans="10:24">
      <c r="J873" s="20" t="e">
        <f>VLOOKUP(G873,MD!M$2:O$93,3,FALSE)</f>
        <v>#N/A</v>
      </c>
      <c r="K873" s="29"/>
      <c r="P873" s="22"/>
      <c r="X873" s="22"/>
    </row>
    <row r="874" spans="10:24">
      <c r="J874" s="20" t="e">
        <f>VLOOKUP(G874,MD!M$2:O$93,3,FALSE)</f>
        <v>#N/A</v>
      </c>
      <c r="K874" s="29"/>
      <c r="P874" s="22"/>
      <c r="X874" s="22"/>
    </row>
    <row r="875" spans="10:24">
      <c r="J875" s="20" t="e">
        <f>VLOOKUP(G875,MD!M$2:O$93,3,FALSE)</f>
        <v>#N/A</v>
      </c>
      <c r="K875" s="29"/>
      <c r="P875" s="22"/>
      <c r="X875" s="22"/>
    </row>
    <row r="876" spans="10:24">
      <c r="J876" s="20" t="e">
        <f>VLOOKUP(G876,MD!M$2:O$93,3,FALSE)</f>
        <v>#N/A</v>
      </c>
      <c r="K876" s="29"/>
      <c r="P876" s="22"/>
      <c r="X876" s="22"/>
    </row>
    <row r="877" spans="10:24">
      <c r="J877" s="20" t="e">
        <f>VLOOKUP(G877,MD!M$2:O$93,3,FALSE)</f>
        <v>#N/A</v>
      </c>
      <c r="K877" s="29"/>
      <c r="P877" s="22"/>
      <c r="X877" s="22"/>
    </row>
    <row r="878" spans="10:24">
      <c r="J878" s="20" t="e">
        <f>VLOOKUP(G878,MD!M$2:O$93,3,FALSE)</f>
        <v>#N/A</v>
      </c>
      <c r="K878" s="29"/>
      <c r="P878" s="22"/>
      <c r="X878" s="22"/>
    </row>
    <row r="879" spans="10:24">
      <c r="J879" s="20" t="e">
        <f>VLOOKUP(G879,MD!M$2:O$93,3,FALSE)</f>
        <v>#N/A</v>
      </c>
      <c r="K879" s="29"/>
      <c r="P879" s="22"/>
      <c r="X879" s="22"/>
    </row>
    <row r="880" spans="10:24">
      <c r="J880" s="20" t="e">
        <f>VLOOKUP(G880,MD!M$2:O$93,3,FALSE)</f>
        <v>#N/A</v>
      </c>
      <c r="K880" s="29"/>
      <c r="P880" s="22"/>
      <c r="X880" s="22"/>
    </row>
    <row r="881" spans="10:24">
      <c r="J881" s="20" t="e">
        <f>VLOOKUP(G881,MD!M$2:O$93,3,FALSE)</f>
        <v>#N/A</v>
      </c>
      <c r="K881" s="29"/>
      <c r="P881" s="22"/>
      <c r="X881" s="22"/>
    </row>
    <row r="882" spans="10:24">
      <c r="J882" s="20" t="e">
        <f>VLOOKUP(G882,MD!M$2:O$93,3,FALSE)</f>
        <v>#N/A</v>
      </c>
      <c r="K882" s="29"/>
      <c r="P882" s="22"/>
      <c r="X882" s="22"/>
    </row>
    <row r="883" spans="10:24">
      <c r="J883" s="20" t="e">
        <f>VLOOKUP(G883,MD!M$2:O$93,3,FALSE)</f>
        <v>#N/A</v>
      </c>
      <c r="K883" s="29"/>
      <c r="P883" s="22"/>
      <c r="X883" s="22"/>
    </row>
    <row r="884" spans="10:24">
      <c r="J884" s="20" t="e">
        <f>VLOOKUP(G884,MD!M$2:O$93,3,FALSE)</f>
        <v>#N/A</v>
      </c>
      <c r="K884" s="29"/>
      <c r="P884" s="22"/>
      <c r="X884" s="22"/>
    </row>
    <row r="885" spans="10:24">
      <c r="J885" s="20" t="e">
        <f>VLOOKUP(G885,MD!M$2:O$93,3,FALSE)</f>
        <v>#N/A</v>
      </c>
      <c r="K885" s="29"/>
      <c r="P885" s="22"/>
      <c r="X885" s="22"/>
    </row>
    <row r="886" spans="10:24">
      <c r="J886" s="20" t="e">
        <f>VLOOKUP(G886,MD!M$2:O$93,3,FALSE)</f>
        <v>#N/A</v>
      </c>
      <c r="K886" s="29"/>
      <c r="P886" s="22"/>
      <c r="X886" s="22"/>
    </row>
    <row r="887" spans="10:24">
      <c r="J887" s="20" t="e">
        <f>VLOOKUP(G887,MD!M$2:O$93,3,FALSE)</f>
        <v>#N/A</v>
      </c>
      <c r="K887" s="29"/>
      <c r="P887" s="22"/>
      <c r="X887" s="22"/>
    </row>
    <row r="888" spans="10:24">
      <c r="J888" s="20" t="e">
        <f>VLOOKUP(G888,MD!M$2:O$93,3,FALSE)</f>
        <v>#N/A</v>
      </c>
      <c r="K888" s="29"/>
      <c r="P888" s="22"/>
      <c r="X888" s="22"/>
    </row>
    <row r="889" spans="10:24">
      <c r="J889" s="20" t="e">
        <f>VLOOKUP(G889,MD!M$2:O$93,3,FALSE)</f>
        <v>#N/A</v>
      </c>
      <c r="K889" s="29"/>
      <c r="P889" s="22"/>
      <c r="X889" s="22"/>
    </row>
    <row r="890" spans="10:24">
      <c r="J890" s="20" t="e">
        <f>VLOOKUP(G890,MD!M$2:O$93,3,FALSE)</f>
        <v>#N/A</v>
      </c>
      <c r="K890" s="29"/>
      <c r="P890" s="22"/>
      <c r="X890" s="22"/>
    </row>
    <row r="891" spans="10:24">
      <c r="J891" s="20" t="e">
        <f>VLOOKUP(G891,MD!M$2:O$93,3,FALSE)</f>
        <v>#N/A</v>
      </c>
      <c r="K891" s="29"/>
      <c r="P891" s="22"/>
      <c r="X891" s="22"/>
    </row>
    <row r="892" spans="10:24">
      <c r="J892" s="20" t="e">
        <f>VLOOKUP(G892,MD!M$2:O$93,3,FALSE)</f>
        <v>#N/A</v>
      </c>
      <c r="K892" s="29"/>
      <c r="P892" s="22"/>
      <c r="X892" s="22"/>
    </row>
    <row r="893" spans="10:24">
      <c r="J893" s="20" t="e">
        <f>VLOOKUP(G893,MD!M$2:O$93,3,FALSE)</f>
        <v>#N/A</v>
      </c>
      <c r="K893" s="29"/>
      <c r="P893" s="22"/>
      <c r="X893" s="22"/>
    </row>
    <row r="894" spans="10:24">
      <c r="J894" s="20" t="e">
        <f>VLOOKUP(G894,MD!M$2:O$93,3,FALSE)</f>
        <v>#N/A</v>
      </c>
      <c r="K894" s="29"/>
      <c r="P894" s="22"/>
      <c r="X894" s="22"/>
    </row>
    <row r="895" spans="10:24">
      <c r="J895" s="20" t="e">
        <f>VLOOKUP(G895,MD!M$2:O$93,3,FALSE)</f>
        <v>#N/A</v>
      </c>
      <c r="K895" s="29"/>
      <c r="P895" s="22"/>
      <c r="X895" s="22"/>
    </row>
    <row r="896" spans="10:24">
      <c r="J896" s="20" t="e">
        <f>VLOOKUP(G896,MD!M$2:O$93,3,FALSE)</f>
        <v>#N/A</v>
      </c>
      <c r="K896" s="29"/>
      <c r="P896" s="22"/>
      <c r="X896" s="22"/>
    </row>
    <row r="897" spans="10:24">
      <c r="J897" s="20" t="e">
        <f>VLOOKUP(G897,MD!M$2:O$93,3,FALSE)</f>
        <v>#N/A</v>
      </c>
      <c r="K897" s="29"/>
      <c r="P897" s="22"/>
      <c r="X897" s="22"/>
    </row>
    <row r="898" spans="10:24">
      <c r="J898" s="20" t="e">
        <f>VLOOKUP(G898,MD!M$2:O$93,3,FALSE)</f>
        <v>#N/A</v>
      </c>
      <c r="K898" s="29"/>
      <c r="P898" s="22"/>
      <c r="X898" s="22"/>
    </row>
    <row r="899" spans="10:24">
      <c r="J899" s="20" t="e">
        <f>VLOOKUP(G899,MD!M$2:O$93,3,FALSE)</f>
        <v>#N/A</v>
      </c>
      <c r="K899" s="29"/>
      <c r="P899" s="22"/>
      <c r="X899" s="22"/>
    </row>
    <row r="900" spans="10:24">
      <c r="J900" s="20" t="e">
        <f>VLOOKUP(G900,MD!M$2:O$93,3,FALSE)</f>
        <v>#N/A</v>
      </c>
      <c r="K900" s="29"/>
      <c r="P900" s="22"/>
      <c r="X900" s="22"/>
    </row>
    <row r="901" spans="10:24">
      <c r="J901" s="20" t="e">
        <f>VLOOKUP(G901,MD!M$2:O$93,3,FALSE)</f>
        <v>#N/A</v>
      </c>
      <c r="K901" s="29"/>
      <c r="P901" s="22"/>
      <c r="X901" s="22"/>
    </row>
    <row r="902" spans="10:24">
      <c r="J902" s="20" t="e">
        <f>VLOOKUP(G902,MD!M$2:O$93,3,FALSE)</f>
        <v>#N/A</v>
      </c>
      <c r="K902" s="29"/>
      <c r="P902" s="22"/>
      <c r="X902" s="22"/>
    </row>
    <row r="903" spans="10:24">
      <c r="J903" s="20" t="e">
        <f>VLOOKUP(G903,MD!M$2:O$93,3,FALSE)</f>
        <v>#N/A</v>
      </c>
      <c r="K903" s="29"/>
      <c r="P903" s="22"/>
      <c r="X903" s="22"/>
    </row>
    <row r="904" spans="10:24">
      <c r="J904" s="20" t="e">
        <f>VLOOKUP(G904,MD!M$2:O$93,3,FALSE)</f>
        <v>#N/A</v>
      </c>
      <c r="K904" s="29"/>
      <c r="P904" s="22"/>
      <c r="X904" s="22"/>
    </row>
    <row r="905" spans="10:24">
      <c r="J905" s="20" t="e">
        <f>VLOOKUP(G905,MD!M$2:O$93,3,FALSE)</f>
        <v>#N/A</v>
      </c>
      <c r="K905" s="29"/>
      <c r="P905" s="22"/>
      <c r="X905" s="22"/>
    </row>
    <row r="906" spans="10:24">
      <c r="J906" s="20" t="e">
        <f>VLOOKUP(G906,MD!M$2:O$93,3,FALSE)</f>
        <v>#N/A</v>
      </c>
      <c r="K906" s="29"/>
      <c r="P906" s="22"/>
      <c r="X906" s="22"/>
    </row>
    <row r="907" spans="10:24">
      <c r="J907" s="20" t="e">
        <f>VLOOKUP(G907,MD!M$2:O$93,3,FALSE)</f>
        <v>#N/A</v>
      </c>
      <c r="K907" s="29"/>
      <c r="P907" s="22"/>
      <c r="X907" s="22"/>
    </row>
    <row r="908" spans="10:24">
      <c r="J908" s="20" t="e">
        <f>VLOOKUP(G908,MD!M$2:O$93,3,FALSE)</f>
        <v>#N/A</v>
      </c>
      <c r="K908" s="29"/>
      <c r="P908" s="22"/>
      <c r="X908" s="22"/>
    </row>
    <row r="909" spans="10:24">
      <c r="J909" s="20" t="e">
        <f>VLOOKUP(G909,MD!M$2:O$93,3,FALSE)</f>
        <v>#N/A</v>
      </c>
      <c r="K909" s="29"/>
      <c r="P909" s="22"/>
      <c r="X909" s="22"/>
    </row>
    <row r="910" spans="10:24">
      <c r="J910" s="20" t="e">
        <f>VLOOKUP(G910,MD!M$2:O$93,3,FALSE)</f>
        <v>#N/A</v>
      </c>
      <c r="K910" s="29"/>
      <c r="P910" s="22"/>
      <c r="X910" s="22"/>
    </row>
    <row r="911" spans="10:24">
      <c r="J911" s="20" t="e">
        <f>VLOOKUP(G911,MD!M$2:O$93,3,FALSE)</f>
        <v>#N/A</v>
      </c>
      <c r="K911" s="29"/>
      <c r="P911" s="22"/>
      <c r="X911" s="22"/>
    </row>
    <row r="912" spans="10:24">
      <c r="J912" s="20" t="e">
        <f>VLOOKUP(G912,MD!M$2:O$93,3,FALSE)</f>
        <v>#N/A</v>
      </c>
      <c r="K912" s="29"/>
      <c r="P912" s="22"/>
      <c r="X912" s="22"/>
    </row>
    <row r="913" spans="10:24">
      <c r="J913" s="20" t="e">
        <f>VLOOKUP(G913,MD!M$2:O$93,3,FALSE)</f>
        <v>#N/A</v>
      </c>
      <c r="K913" s="29"/>
      <c r="P913" s="22"/>
      <c r="X913" s="22"/>
    </row>
    <row r="914" spans="10:24">
      <c r="J914" s="20" t="e">
        <f>VLOOKUP(G914,MD!M$2:O$93,3,FALSE)</f>
        <v>#N/A</v>
      </c>
      <c r="K914" s="29"/>
      <c r="P914" s="22"/>
      <c r="X914" s="22"/>
    </row>
    <row r="915" spans="10:24">
      <c r="J915" s="20" t="e">
        <f>VLOOKUP(G915,MD!M$2:O$93,3,FALSE)</f>
        <v>#N/A</v>
      </c>
      <c r="K915" s="29"/>
      <c r="P915" s="22"/>
      <c r="X915" s="22"/>
    </row>
    <row r="916" spans="10:24">
      <c r="J916" s="20" t="e">
        <f>VLOOKUP(G916,MD!M$2:O$93,3,FALSE)</f>
        <v>#N/A</v>
      </c>
      <c r="K916" s="29"/>
      <c r="P916" s="22"/>
      <c r="X916" s="22"/>
    </row>
    <row r="917" spans="10:24">
      <c r="J917" s="20" t="e">
        <f>VLOOKUP(G917,MD!M$2:O$93,3,FALSE)</f>
        <v>#N/A</v>
      </c>
      <c r="K917" s="29"/>
      <c r="P917" s="22"/>
      <c r="X917" s="22"/>
    </row>
    <row r="918" spans="10:24">
      <c r="J918" s="20" t="e">
        <f>VLOOKUP(G918,MD!M$2:O$93,3,FALSE)</f>
        <v>#N/A</v>
      </c>
      <c r="K918" s="29"/>
      <c r="P918" s="22"/>
      <c r="X918" s="22"/>
    </row>
    <row r="919" spans="10:24">
      <c r="J919" s="20" t="e">
        <f>VLOOKUP(G919,MD!M$2:O$93,3,FALSE)</f>
        <v>#N/A</v>
      </c>
      <c r="K919" s="29"/>
      <c r="P919" s="22"/>
      <c r="X919" s="22"/>
    </row>
    <row r="920" spans="10:24">
      <c r="J920" s="20" t="e">
        <f>VLOOKUP(G920,MD!M$2:O$93,3,FALSE)</f>
        <v>#N/A</v>
      </c>
      <c r="K920" s="29"/>
      <c r="P920" s="22"/>
      <c r="X920" s="22"/>
    </row>
    <row r="921" spans="10:24">
      <c r="J921" s="20" t="e">
        <f>VLOOKUP(G921,MD!M$2:O$93,3,FALSE)</f>
        <v>#N/A</v>
      </c>
      <c r="K921" s="29"/>
      <c r="P921" s="22"/>
      <c r="X921" s="22"/>
    </row>
    <row r="922" spans="10:24">
      <c r="J922" s="20" t="e">
        <f>VLOOKUP(G922,MD!M$2:O$93,3,FALSE)</f>
        <v>#N/A</v>
      </c>
      <c r="K922" s="29"/>
      <c r="P922" s="22"/>
      <c r="X922" s="22"/>
    </row>
    <row r="923" spans="10:24">
      <c r="J923" s="20" t="e">
        <f>VLOOKUP(G923,MD!M$2:O$93,3,FALSE)</f>
        <v>#N/A</v>
      </c>
      <c r="K923" s="29"/>
      <c r="P923" s="22"/>
      <c r="X923" s="22"/>
    </row>
    <row r="924" spans="10:24">
      <c r="J924" s="20" t="e">
        <f>VLOOKUP(G924,MD!M$2:O$93,3,FALSE)</f>
        <v>#N/A</v>
      </c>
      <c r="K924" s="29"/>
      <c r="P924" s="22"/>
      <c r="X924" s="22"/>
    </row>
    <row r="925" spans="10:24">
      <c r="J925" s="20" t="e">
        <f>VLOOKUP(G925,MD!M$2:O$93,3,FALSE)</f>
        <v>#N/A</v>
      </c>
      <c r="K925" s="29"/>
      <c r="P925" s="22"/>
      <c r="X925" s="22"/>
    </row>
    <row r="926" spans="10:24">
      <c r="J926" s="20" t="e">
        <f>VLOOKUP(G926,MD!M$2:O$93,3,FALSE)</f>
        <v>#N/A</v>
      </c>
      <c r="K926" s="29"/>
      <c r="P926" s="22"/>
      <c r="X926" s="22"/>
    </row>
    <row r="927" spans="10:24">
      <c r="J927" s="20" t="e">
        <f>VLOOKUP(G927,MD!M$2:O$93,3,FALSE)</f>
        <v>#N/A</v>
      </c>
      <c r="K927" s="29"/>
      <c r="P927" s="22"/>
      <c r="X927" s="22"/>
    </row>
    <row r="928" spans="10:24">
      <c r="J928" s="20" t="e">
        <f>VLOOKUP(G928,MD!M$2:O$93,3,FALSE)</f>
        <v>#N/A</v>
      </c>
      <c r="K928" s="29"/>
      <c r="P928" s="22"/>
      <c r="X928" s="22"/>
    </row>
    <row r="929" spans="10:24">
      <c r="J929" s="20" t="e">
        <f>VLOOKUP(G929,MD!M$2:O$93,3,FALSE)</f>
        <v>#N/A</v>
      </c>
      <c r="K929" s="29"/>
      <c r="P929" s="22"/>
      <c r="X929" s="22"/>
    </row>
    <row r="930" spans="10:24">
      <c r="J930" s="20" t="e">
        <f>VLOOKUP(G930,MD!M$2:O$93,3,FALSE)</f>
        <v>#N/A</v>
      </c>
      <c r="K930" s="29"/>
      <c r="P930" s="22"/>
      <c r="X930" s="22"/>
    </row>
    <row r="931" spans="10:24">
      <c r="J931" s="20" t="e">
        <f>VLOOKUP(G931,MD!M$2:O$93,3,FALSE)</f>
        <v>#N/A</v>
      </c>
      <c r="K931" s="29"/>
      <c r="P931" s="22"/>
      <c r="X931" s="22"/>
    </row>
    <row r="932" spans="10:24">
      <c r="J932" s="20" t="e">
        <f>VLOOKUP(G932,MD!M$2:O$93,3,FALSE)</f>
        <v>#N/A</v>
      </c>
      <c r="K932" s="29"/>
      <c r="P932" s="22"/>
      <c r="X932" s="22"/>
    </row>
    <row r="933" spans="10:24">
      <c r="J933" s="20" t="e">
        <f>VLOOKUP(G933,MD!M$2:O$93,3,FALSE)</f>
        <v>#N/A</v>
      </c>
      <c r="K933" s="29"/>
      <c r="P933" s="22"/>
      <c r="X933" s="22"/>
    </row>
    <row r="934" spans="10:24">
      <c r="J934" s="20" t="e">
        <f>VLOOKUP(G934,MD!M$2:O$93,3,FALSE)</f>
        <v>#N/A</v>
      </c>
      <c r="K934" s="29"/>
      <c r="P934" s="22"/>
      <c r="X934" s="22"/>
    </row>
    <row r="935" spans="10:24">
      <c r="J935" s="20" t="e">
        <f>VLOOKUP(G935,MD!M$2:O$93,3,FALSE)</f>
        <v>#N/A</v>
      </c>
      <c r="K935" s="29"/>
      <c r="P935" s="22"/>
      <c r="X935" s="22"/>
    </row>
    <row r="936" spans="10:24">
      <c r="J936" s="20" t="e">
        <f>VLOOKUP(G936,MD!M$2:O$93,3,FALSE)</f>
        <v>#N/A</v>
      </c>
      <c r="K936" s="29"/>
      <c r="P936" s="22"/>
      <c r="X936" s="22"/>
    </row>
    <row r="937" spans="10:24">
      <c r="J937" s="20" t="e">
        <f>VLOOKUP(G937,MD!M$2:O$93,3,FALSE)</f>
        <v>#N/A</v>
      </c>
      <c r="K937" s="29"/>
      <c r="P937" s="22"/>
      <c r="X937" s="22"/>
    </row>
    <row r="938" spans="10:24">
      <c r="J938" s="20" t="e">
        <f>VLOOKUP(G938,MD!M$2:O$93,3,FALSE)</f>
        <v>#N/A</v>
      </c>
      <c r="K938" s="29"/>
      <c r="P938" s="22"/>
      <c r="X938" s="22"/>
    </row>
    <row r="939" spans="10:24">
      <c r="J939" s="20" t="e">
        <f>VLOOKUP(G939,MD!M$2:O$93,3,FALSE)</f>
        <v>#N/A</v>
      </c>
      <c r="K939" s="29"/>
      <c r="P939" s="22"/>
      <c r="X939" s="22"/>
    </row>
    <row r="940" spans="10:24">
      <c r="J940" s="20" t="e">
        <f>VLOOKUP(G940,MD!M$2:O$93,3,FALSE)</f>
        <v>#N/A</v>
      </c>
      <c r="K940" s="29"/>
      <c r="P940" s="22"/>
      <c r="X940" s="22"/>
    </row>
    <row r="941" spans="10:24">
      <c r="J941" s="20" t="e">
        <f>VLOOKUP(G941,MD!M$2:O$93,3,FALSE)</f>
        <v>#N/A</v>
      </c>
      <c r="K941" s="29"/>
      <c r="P941" s="22"/>
      <c r="X941" s="22"/>
    </row>
    <row r="942" spans="10:24">
      <c r="J942" s="20" t="e">
        <f>VLOOKUP(G942,MD!M$2:O$93,3,FALSE)</f>
        <v>#N/A</v>
      </c>
      <c r="K942" s="29"/>
      <c r="P942" s="22"/>
      <c r="X942" s="22"/>
    </row>
    <row r="943" spans="10:24">
      <c r="J943" s="20" t="e">
        <f>VLOOKUP(G943,MD!M$2:O$93,3,FALSE)</f>
        <v>#N/A</v>
      </c>
      <c r="K943" s="29"/>
      <c r="P943" s="22"/>
      <c r="X943" s="22"/>
    </row>
    <row r="944" spans="10:24">
      <c r="J944" s="20" t="e">
        <f>VLOOKUP(G944,MD!M$2:O$93,3,FALSE)</f>
        <v>#N/A</v>
      </c>
      <c r="K944" s="29"/>
      <c r="P944" s="22"/>
      <c r="X944" s="22"/>
    </row>
    <row r="945" spans="10:24">
      <c r="J945" s="20" t="e">
        <f>VLOOKUP(G945,MD!M$2:O$93,3,FALSE)</f>
        <v>#N/A</v>
      </c>
      <c r="K945" s="29"/>
      <c r="P945" s="22"/>
      <c r="X945" s="22"/>
    </row>
    <row r="946" spans="10:24">
      <c r="J946" s="20" t="e">
        <f>VLOOKUP(G946,MD!M$2:O$93,3,FALSE)</f>
        <v>#N/A</v>
      </c>
      <c r="K946" s="29"/>
      <c r="P946" s="22"/>
      <c r="X946" s="22"/>
    </row>
    <row r="947" spans="10:24">
      <c r="J947" s="20" t="e">
        <f>VLOOKUP(G947,MD!M$2:O$93,3,FALSE)</f>
        <v>#N/A</v>
      </c>
      <c r="K947" s="29"/>
      <c r="P947" s="22"/>
      <c r="X947" s="22"/>
    </row>
    <row r="948" spans="10:24">
      <c r="J948" s="20" t="e">
        <f>VLOOKUP(G948,MD!M$2:O$93,3,FALSE)</f>
        <v>#N/A</v>
      </c>
      <c r="K948" s="29"/>
      <c r="P948" s="22"/>
      <c r="X948" s="22"/>
    </row>
    <row r="949" spans="10:24">
      <c r="J949" s="20" t="e">
        <f>VLOOKUP(G949,MD!M$2:O$93,3,FALSE)</f>
        <v>#N/A</v>
      </c>
      <c r="K949" s="29"/>
      <c r="P949" s="22"/>
      <c r="X949" s="22"/>
    </row>
    <row r="950" spans="10:24">
      <c r="J950" s="20" t="e">
        <f>VLOOKUP(G950,MD!M$2:O$93,3,FALSE)</f>
        <v>#N/A</v>
      </c>
      <c r="K950" s="29"/>
      <c r="P950" s="22"/>
      <c r="X950" s="22"/>
    </row>
    <row r="951" spans="10:24">
      <c r="J951" s="20" t="e">
        <f>VLOOKUP(G951,MD!M$2:O$93,3,FALSE)</f>
        <v>#N/A</v>
      </c>
      <c r="K951" s="29"/>
      <c r="P951" s="22"/>
      <c r="X951" s="22"/>
    </row>
    <row r="952" spans="10:24">
      <c r="J952" s="20" t="e">
        <f>VLOOKUP(G952,MD!M$2:O$93,3,FALSE)</f>
        <v>#N/A</v>
      </c>
      <c r="K952" s="29"/>
      <c r="P952" s="22"/>
      <c r="X952" s="22"/>
    </row>
    <row r="953" spans="10:24">
      <c r="J953" s="20" t="e">
        <f>VLOOKUP(G953,MD!M$2:O$93,3,FALSE)</f>
        <v>#N/A</v>
      </c>
      <c r="K953" s="29"/>
      <c r="P953" s="22"/>
      <c r="X953" s="22"/>
    </row>
    <row r="954" spans="10:24">
      <c r="J954" s="20" t="e">
        <f>VLOOKUP(G954,MD!M$2:O$93,3,FALSE)</f>
        <v>#N/A</v>
      </c>
      <c r="K954" s="29"/>
      <c r="P954" s="22"/>
      <c r="X954" s="22"/>
    </row>
    <row r="955" spans="10:24">
      <c r="J955" s="20" t="e">
        <f>VLOOKUP(G955,MD!M$2:O$93,3,FALSE)</f>
        <v>#N/A</v>
      </c>
      <c r="K955" s="29"/>
      <c r="P955" s="22"/>
      <c r="X955" s="22"/>
    </row>
    <row r="956" spans="10:24">
      <c r="J956" s="20" t="e">
        <f>VLOOKUP(G956,MD!M$2:O$93,3,FALSE)</f>
        <v>#N/A</v>
      </c>
      <c r="K956" s="29"/>
      <c r="P956" s="22"/>
      <c r="X956" s="22"/>
    </row>
    <row r="957" spans="10:24">
      <c r="J957" s="20" t="e">
        <f>VLOOKUP(G957,MD!M$2:O$93,3,FALSE)</f>
        <v>#N/A</v>
      </c>
      <c r="K957" s="29"/>
      <c r="P957" s="22"/>
      <c r="X957" s="22"/>
    </row>
    <row r="958" spans="10:24">
      <c r="J958" s="20" t="e">
        <f>VLOOKUP(G958,MD!M$2:O$93,3,FALSE)</f>
        <v>#N/A</v>
      </c>
      <c r="K958" s="29"/>
      <c r="P958" s="22"/>
      <c r="X958" s="22"/>
    </row>
    <row r="959" spans="10:24">
      <c r="J959" s="20" t="e">
        <f>VLOOKUP(G959,MD!M$2:O$93,3,FALSE)</f>
        <v>#N/A</v>
      </c>
      <c r="K959" s="29"/>
      <c r="P959" s="22"/>
      <c r="X959" s="22"/>
    </row>
    <row r="960" spans="10:24">
      <c r="J960" s="20" t="e">
        <f>VLOOKUP(G960,MD!M$2:O$93,3,FALSE)</f>
        <v>#N/A</v>
      </c>
      <c r="K960" s="29"/>
      <c r="P960" s="22"/>
      <c r="X960" s="22"/>
    </row>
    <row r="961" spans="10:24">
      <c r="J961" s="20" t="e">
        <f>VLOOKUP(G961,MD!M$2:O$93,3,FALSE)</f>
        <v>#N/A</v>
      </c>
      <c r="K961" s="29"/>
      <c r="P961" s="22"/>
      <c r="X961" s="22"/>
    </row>
    <row r="962" spans="10:24">
      <c r="J962" s="20" t="e">
        <f>VLOOKUP(G962,MD!M$2:O$93,3,FALSE)</f>
        <v>#N/A</v>
      </c>
      <c r="K962" s="29"/>
      <c r="P962" s="22"/>
      <c r="X962" s="22"/>
    </row>
    <row r="963" spans="10:24">
      <c r="J963" s="20" t="e">
        <f>VLOOKUP(G963,MD!M$2:O$93,3,FALSE)</f>
        <v>#N/A</v>
      </c>
      <c r="K963" s="29"/>
      <c r="P963" s="22"/>
      <c r="X963" s="22"/>
    </row>
    <row r="964" spans="10:24">
      <c r="J964" s="20" t="e">
        <f>VLOOKUP(G964,MD!M$2:O$93,3,FALSE)</f>
        <v>#N/A</v>
      </c>
      <c r="K964" s="29"/>
      <c r="P964" s="22"/>
      <c r="X964" s="22"/>
    </row>
    <row r="965" spans="10:24">
      <c r="J965" s="20" t="e">
        <f>VLOOKUP(G965,MD!M$2:O$93,3,FALSE)</f>
        <v>#N/A</v>
      </c>
      <c r="K965" s="29"/>
      <c r="P965" s="22"/>
      <c r="X965" s="22"/>
    </row>
    <row r="966" spans="10:24">
      <c r="J966" s="20" t="e">
        <f>VLOOKUP(G966,MD!M$2:O$93,3,FALSE)</f>
        <v>#N/A</v>
      </c>
      <c r="K966" s="29"/>
      <c r="P966" s="22"/>
      <c r="X966" s="22"/>
    </row>
    <row r="967" spans="10:24">
      <c r="J967" s="20" t="e">
        <f>VLOOKUP(G967,MD!M$2:O$93,3,FALSE)</f>
        <v>#N/A</v>
      </c>
      <c r="K967" s="29"/>
      <c r="P967" s="22"/>
      <c r="X967" s="22"/>
    </row>
    <row r="968" spans="10:24">
      <c r="J968" s="20" t="e">
        <f>VLOOKUP(G968,MD!M$2:O$93,3,FALSE)</f>
        <v>#N/A</v>
      </c>
      <c r="K968" s="29"/>
      <c r="P968" s="22"/>
      <c r="X968" s="22"/>
    </row>
    <row r="969" spans="10:24">
      <c r="J969" s="20" t="e">
        <f>VLOOKUP(G969,MD!M$2:O$93,3,FALSE)</f>
        <v>#N/A</v>
      </c>
      <c r="K969" s="29"/>
      <c r="P969" s="22"/>
      <c r="X969" s="22"/>
    </row>
    <row r="970" spans="10:24">
      <c r="J970" s="20" t="e">
        <f>VLOOKUP(G970,MD!M$2:O$93,3,FALSE)</f>
        <v>#N/A</v>
      </c>
      <c r="K970" s="29"/>
      <c r="P970" s="22"/>
      <c r="X970" s="22"/>
    </row>
    <row r="971" spans="10:24">
      <c r="J971" s="20" t="e">
        <f>VLOOKUP(G971,MD!M$2:O$93,3,FALSE)</f>
        <v>#N/A</v>
      </c>
      <c r="K971" s="29"/>
      <c r="P971" s="22"/>
      <c r="X971" s="22"/>
    </row>
    <row r="972" spans="10:24">
      <c r="J972" s="20" t="e">
        <f>VLOOKUP(G972,MD!M$2:O$93,3,FALSE)</f>
        <v>#N/A</v>
      </c>
      <c r="K972" s="29"/>
      <c r="P972" s="22"/>
      <c r="X972" s="22"/>
    </row>
    <row r="973" spans="10:24">
      <c r="J973" s="20" t="e">
        <f>VLOOKUP(G973,MD!M$2:O$93,3,FALSE)</f>
        <v>#N/A</v>
      </c>
      <c r="K973" s="29"/>
      <c r="P973" s="22"/>
      <c r="X973" s="22"/>
    </row>
    <row r="974" spans="10:24">
      <c r="J974" s="20" t="e">
        <f>VLOOKUP(G974,MD!M$2:O$93,3,FALSE)</f>
        <v>#N/A</v>
      </c>
      <c r="K974" s="29"/>
      <c r="P974" s="22"/>
      <c r="X974" s="22"/>
    </row>
    <row r="975" spans="10:24">
      <c r="J975" s="20" t="e">
        <f>VLOOKUP(G975,MD!M$2:O$93,3,FALSE)</f>
        <v>#N/A</v>
      </c>
      <c r="K975" s="29"/>
      <c r="P975" s="22"/>
      <c r="X975" s="22"/>
    </row>
    <row r="976" spans="10:24">
      <c r="J976" s="20" t="e">
        <f>VLOOKUP(G976,MD!M$2:O$93,3,FALSE)</f>
        <v>#N/A</v>
      </c>
      <c r="K976" s="29"/>
      <c r="P976" s="22"/>
      <c r="X976" s="22"/>
    </row>
    <row r="977" spans="10:24">
      <c r="J977" s="20" t="e">
        <f>VLOOKUP(G977,MD!M$2:O$93,3,FALSE)</f>
        <v>#N/A</v>
      </c>
      <c r="K977" s="29"/>
      <c r="P977" s="22"/>
      <c r="X977" s="22"/>
    </row>
    <row r="978" spans="10:24">
      <c r="J978" s="20" t="e">
        <f>VLOOKUP(G978,MD!M$2:O$93,3,FALSE)</f>
        <v>#N/A</v>
      </c>
      <c r="K978" s="29"/>
      <c r="P978" s="22"/>
      <c r="X978" s="22"/>
    </row>
    <row r="979" spans="10:24">
      <c r="J979" s="20" t="e">
        <f>VLOOKUP(G979,MD!M$2:O$93,3,FALSE)</f>
        <v>#N/A</v>
      </c>
      <c r="K979" s="29"/>
      <c r="P979" s="22"/>
      <c r="X979" s="22"/>
    </row>
    <row r="980" spans="10:24">
      <c r="J980" s="20" t="e">
        <f>VLOOKUP(G980,MD!M$2:O$93,3,FALSE)</f>
        <v>#N/A</v>
      </c>
      <c r="K980" s="29"/>
      <c r="P980" s="22"/>
      <c r="X980" s="22"/>
    </row>
    <row r="981" spans="10:24">
      <c r="J981" s="20" t="e">
        <f>VLOOKUP(G981,MD!M$2:O$93,3,FALSE)</f>
        <v>#N/A</v>
      </c>
      <c r="K981" s="29"/>
      <c r="P981" s="22"/>
      <c r="X981" s="22"/>
    </row>
    <row r="982" spans="10:24">
      <c r="J982" s="20" t="e">
        <f>VLOOKUP(G982,MD!M$2:O$93,3,FALSE)</f>
        <v>#N/A</v>
      </c>
      <c r="K982" s="29"/>
      <c r="P982" s="22"/>
      <c r="X982" s="22"/>
    </row>
    <row r="983" spans="10:24">
      <c r="J983" s="20" t="e">
        <f>VLOOKUP(G983,MD!M$2:O$93,3,FALSE)</f>
        <v>#N/A</v>
      </c>
      <c r="K983" s="29"/>
      <c r="P983" s="22"/>
      <c r="X983" s="22"/>
    </row>
    <row r="984" spans="10:24">
      <c r="J984" s="20" t="e">
        <f>VLOOKUP(G984,MD!M$2:O$93,3,FALSE)</f>
        <v>#N/A</v>
      </c>
      <c r="K984" s="29"/>
      <c r="P984" s="22"/>
      <c r="X984" s="22"/>
    </row>
    <row r="985" spans="10:24">
      <c r="J985" s="20" t="e">
        <f>VLOOKUP(G985,MD!M$2:O$93,3,FALSE)</f>
        <v>#N/A</v>
      </c>
      <c r="K985" s="29"/>
      <c r="P985" s="22"/>
      <c r="X985" s="22"/>
    </row>
    <row r="986" spans="10:24">
      <c r="J986" s="20" t="e">
        <f>VLOOKUP(G986,MD!M$2:O$93,3,FALSE)</f>
        <v>#N/A</v>
      </c>
      <c r="K986" s="29"/>
      <c r="P986" s="22"/>
      <c r="X986" s="22"/>
    </row>
    <row r="987" spans="10:24">
      <c r="J987" s="20" t="e">
        <f>VLOOKUP(G987,MD!M$2:O$93,3,FALSE)</f>
        <v>#N/A</v>
      </c>
      <c r="K987" s="29"/>
      <c r="P987" s="22"/>
      <c r="X987" s="22"/>
    </row>
    <row r="988" spans="10:24">
      <c r="J988" s="20" t="e">
        <f>VLOOKUP(G988,MD!M$2:O$93,3,FALSE)</f>
        <v>#N/A</v>
      </c>
      <c r="K988" s="29"/>
      <c r="P988" s="22"/>
      <c r="X988" s="22"/>
    </row>
    <row r="989" spans="10:24">
      <c r="J989" s="20" t="e">
        <f>VLOOKUP(G989,MD!M$2:O$93,3,FALSE)</f>
        <v>#N/A</v>
      </c>
      <c r="K989" s="29"/>
      <c r="P989" s="22"/>
      <c r="X989" s="22"/>
    </row>
    <row r="990" spans="10:24">
      <c r="J990" s="20" t="e">
        <f>VLOOKUP(G990,MD!M$2:O$93,3,FALSE)</f>
        <v>#N/A</v>
      </c>
      <c r="K990" s="29"/>
      <c r="P990" s="22"/>
      <c r="X990" s="22"/>
    </row>
    <row r="991" spans="10:24">
      <c r="J991" s="20" t="e">
        <f>VLOOKUP(G991,MD!M$2:O$93,3,FALSE)</f>
        <v>#N/A</v>
      </c>
      <c r="K991" s="29"/>
      <c r="P991" s="22"/>
      <c r="X991" s="22"/>
    </row>
    <row r="992" spans="10:24">
      <c r="J992" s="20" t="e">
        <f>VLOOKUP(G992,MD!M$2:O$93,3,FALSE)</f>
        <v>#N/A</v>
      </c>
      <c r="K992" s="29"/>
      <c r="P992" s="22"/>
      <c r="X992" s="22"/>
    </row>
    <row r="993" spans="10:24">
      <c r="J993" s="20" t="e">
        <f>VLOOKUP(G993,MD!M$2:O$93,3,FALSE)</f>
        <v>#N/A</v>
      </c>
      <c r="K993" s="29"/>
      <c r="P993" s="22"/>
      <c r="X993" s="22"/>
    </row>
    <row r="994" spans="10:24">
      <c r="J994" s="20" t="e">
        <f>VLOOKUP(G994,MD!M$2:O$93,3,FALSE)</f>
        <v>#N/A</v>
      </c>
      <c r="K994" s="29"/>
      <c r="P994" s="22"/>
      <c r="X994" s="22"/>
    </row>
    <row r="995" spans="10:24">
      <c r="J995" s="20" t="e">
        <f>VLOOKUP(G995,MD!M$2:O$93,3,FALSE)</f>
        <v>#N/A</v>
      </c>
      <c r="K995" s="29"/>
      <c r="P995" s="22"/>
      <c r="X995" s="22"/>
    </row>
    <row r="996" spans="10:24">
      <c r="J996" s="20" t="e">
        <f>VLOOKUP(G996,MD!M$2:O$93,3,FALSE)</f>
        <v>#N/A</v>
      </c>
      <c r="K996" s="29"/>
      <c r="P996" s="22"/>
      <c r="X996" s="22"/>
    </row>
    <row r="997" spans="10:24">
      <c r="J997" s="20" t="e">
        <f>VLOOKUP(G997,MD!M$2:O$93,3,FALSE)</f>
        <v>#N/A</v>
      </c>
      <c r="K997" s="29"/>
      <c r="P997" s="22"/>
      <c r="X997" s="22"/>
    </row>
    <row r="998" spans="10:24">
      <c r="J998" s="20" t="e">
        <f>VLOOKUP(G998,MD!M$2:O$93,3,FALSE)</f>
        <v>#N/A</v>
      </c>
      <c r="K998" s="29"/>
      <c r="P998" s="22"/>
      <c r="X998" s="22"/>
    </row>
    <row r="999" spans="10:24">
      <c r="J999" s="20" t="e">
        <f>VLOOKUP(G999,MD!M$2:O$93,3,FALSE)</f>
        <v>#N/A</v>
      </c>
      <c r="K999" s="29"/>
      <c r="P999" s="22"/>
      <c r="X999" s="22"/>
    </row>
    <row r="1000" spans="10:24">
      <c r="J1000" s="20" t="e">
        <f>VLOOKUP(G1000,MD!M$2:O$93,3,FALSE)</f>
        <v>#N/A</v>
      </c>
      <c r="K1000" s="29"/>
      <c r="P1000" s="22"/>
      <c r="X1000" s="22"/>
    </row>
    <row r="1001" spans="10:24">
      <c r="J1001" s="20" t="e">
        <f>VLOOKUP(G1001,MD!M$2:O$93,3,FALSE)</f>
        <v>#N/A</v>
      </c>
      <c r="K1001" s="29"/>
      <c r="P1001" s="22"/>
      <c r="X1001" s="22"/>
    </row>
    <row r="1002" spans="10:24">
      <c r="J1002" s="20" t="e">
        <f>VLOOKUP(G1002,MD!M$2:O$93,3,FALSE)</f>
        <v>#N/A</v>
      </c>
      <c r="K1002" s="29"/>
      <c r="P1002" s="22"/>
      <c r="X1002" s="22"/>
    </row>
    <row r="1003" spans="10:24">
      <c r="J1003" s="20" t="e">
        <f>VLOOKUP(G1003,MD!M$2:O$93,3,FALSE)</f>
        <v>#N/A</v>
      </c>
      <c r="K1003" s="29"/>
      <c r="P1003" s="22"/>
      <c r="X1003" s="22"/>
    </row>
    <row r="1004" spans="10:24">
      <c r="J1004" s="20" t="e">
        <f>VLOOKUP(G1004,MD!M$2:O$93,3,FALSE)</f>
        <v>#N/A</v>
      </c>
      <c r="K1004" s="29"/>
      <c r="P1004" s="22"/>
      <c r="X1004" s="22"/>
    </row>
    <row r="1005" spans="10:24">
      <c r="J1005" s="20" t="e">
        <f>VLOOKUP(G1005,MD!M$2:O$93,3,FALSE)</f>
        <v>#N/A</v>
      </c>
      <c r="K1005" s="29"/>
      <c r="P1005" s="22"/>
      <c r="X1005" s="22"/>
    </row>
    <row r="1006" spans="10:24">
      <c r="J1006" s="20" t="e">
        <f>VLOOKUP(G1006,MD!M$2:O$93,3,FALSE)</f>
        <v>#N/A</v>
      </c>
      <c r="K1006" s="29"/>
      <c r="P1006" s="22"/>
      <c r="X1006" s="22"/>
    </row>
    <row r="1007" spans="10:24">
      <c r="J1007" s="20" t="e">
        <f>VLOOKUP(G1007,MD!M$2:O$93,3,FALSE)</f>
        <v>#N/A</v>
      </c>
      <c r="K1007" s="29"/>
      <c r="P1007" s="22"/>
      <c r="X1007" s="22"/>
    </row>
    <row r="1008" spans="10:24">
      <c r="J1008" s="20" t="e">
        <f>VLOOKUP(G1008,MD!M$2:O$93,3,FALSE)</f>
        <v>#N/A</v>
      </c>
      <c r="K1008" s="29"/>
      <c r="P1008" s="22"/>
      <c r="X1008" s="22"/>
    </row>
    <row r="1009" spans="10:24">
      <c r="J1009" s="20" t="e">
        <f>VLOOKUP(G1009,MD!M$2:O$93,3,FALSE)</f>
        <v>#N/A</v>
      </c>
      <c r="K1009" s="29"/>
      <c r="P1009" s="22"/>
      <c r="X1009" s="22"/>
    </row>
    <row r="1010" spans="10:24">
      <c r="J1010" s="20" t="e">
        <f>VLOOKUP(G1010,MD!M$2:O$93,3,FALSE)</f>
        <v>#N/A</v>
      </c>
      <c r="K1010" s="29"/>
      <c r="P1010" s="22"/>
      <c r="X1010" s="22"/>
    </row>
    <row r="1011" spans="10:24">
      <c r="J1011" s="20" t="e">
        <f>VLOOKUP(G1011,MD!M$2:O$93,3,FALSE)</f>
        <v>#N/A</v>
      </c>
      <c r="K1011" s="29"/>
      <c r="P1011" s="22"/>
      <c r="X1011" s="22"/>
    </row>
    <row r="1012" spans="10:24">
      <c r="J1012" s="20" t="e">
        <f>VLOOKUP(G1012,MD!M$2:O$93,3,FALSE)</f>
        <v>#N/A</v>
      </c>
      <c r="K1012" s="29"/>
      <c r="P1012" s="22"/>
      <c r="X1012" s="22"/>
    </row>
    <row r="1013" spans="10:24">
      <c r="J1013" s="20" t="e">
        <f>VLOOKUP(G1013,MD!M$2:O$93,3,FALSE)</f>
        <v>#N/A</v>
      </c>
      <c r="K1013" s="29"/>
      <c r="P1013" s="22"/>
      <c r="X1013" s="22"/>
    </row>
    <row r="1014" spans="10:24">
      <c r="J1014" s="20" t="e">
        <f>VLOOKUP(G1014,MD!M$2:O$93,3,FALSE)</f>
        <v>#N/A</v>
      </c>
      <c r="K1014" s="29"/>
      <c r="P1014" s="22"/>
      <c r="X1014" s="22"/>
    </row>
    <row r="1015" spans="10:24">
      <c r="J1015" s="20" t="e">
        <f>VLOOKUP(G1015,MD!M$2:O$93,3,FALSE)</f>
        <v>#N/A</v>
      </c>
      <c r="K1015" s="29"/>
      <c r="P1015" s="22"/>
      <c r="X1015" s="22"/>
    </row>
    <row r="1016" spans="10:24">
      <c r="J1016" s="20" t="e">
        <f>VLOOKUP(G1016,MD!M$2:O$93,3,FALSE)</f>
        <v>#N/A</v>
      </c>
      <c r="K1016" s="29"/>
      <c r="P1016" s="22"/>
      <c r="X1016" s="22"/>
    </row>
    <row r="1017" spans="10:24">
      <c r="J1017" s="20" t="e">
        <f>VLOOKUP(G1017,MD!M$2:O$93,3,FALSE)</f>
        <v>#N/A</v>
      </c>
      <c r="K1017" s="29"/>
      <c r="P1017" s="22"/>
      <c r="X1017" s="22"/>
    </row>
    <row r="1018" spans="10:24">
      <c r="J1018" s="20" t="e">
        <f>VLOOKUP(G1018,MD!M$2:O$93,3,FALSE)</f>
        <v>#N/A</v>
      </c>
      <c r="K1018" s="29"/>
      <c r="P1018" s="22"/>
      <c r="X1018" s="22"/>
    </row>
    <row r="1019" spans="10:24">
      <c r="J1019" s="20" t="e">
        <f>VLOOKUP(G1019,MD!M$2:O$93,3,FALSE)</f>
        <v>#N/A</v>
      </c>
      <c r="K1019" s="29"/>
      <c r="P1019" s="22"/>
      <c r="X1019" s="22"/>
    </row>
    <row r="1020" spans="10:24">
      <c r="J1020" s="20" t="e">
        <f>VLOOKUP(G1020,MD!M$2:O$93,3,FALSE)</f>
        <v>#N/A</v>
      </c>
      <c r="K1020" s="29"/>
      <c r="P1020" s="22"/>
      <c r="X1020" s="22"/>
    </row>
    <row r="1021" spans="10:24">
      <c r="J1021" s="20" t="e">
        <f>VLOOKUP(G1021,MD!M$2:O$93,3,FALSE)</f>
        <v>#N/A</v>
      </c>
      <c r="K1021" s="29"/>
      <c r="P1021" s="22"/>
      <c r="X1021" s="22"/>
    </row>
    <row r="1022" spans="10:24">
      <c r="J1022" s="20" t="e">
        <f>VLOOKUP(G1022,MD!M$2:O$93,3,FALSE)</f>
        <v>#N/A</v>
      </c>
      <c r="K1022" s="29"/>
      <c r="P1022" s="22"/>
      <c r="X1022" s="22"/>
    </row>
    <row r="1023" spans="10:24">
      <c r="J1023" s="20" t="e">
        <f>VLOOKUP(G1023,MD!M$2:O$93,3,FALSE)</f>
        <v>#N/A</v>
      </c>
      <c r="K1023" s="29"/>
      <c r="P1023" s="22"/>
      <c r="X1023" s="22"/>
    </row>
    <row r="1024" spans="10:24">
      <c r="J1024" s="20" t="e">
        <f>VLOOKUP(G1024,MD!M$2:O$93,3,FALSE)</f>
        <v>#N/A</v>
      </c>
      <c r="K1024" s="29"/>
      <c r="P1024" s="22"/>
      <c r="X1024" s="22"/>
    </row>
    <row r="1025" spans="10:24">
      <c r="J1025" s="20" t="e">
        <f>VLOOKUP(G1025,MD!M$2:O$93,3,FALSE)</f>
        <v>#N/A</v>
      </c>
      <c r="K1025" s="29"/>
      <c r="P1025" s="22"/>
      <c r="X1025" s="22"/>
    </row>
    <row r="1026" spans="10:24">
      <c r="J1026" s="20" t="e">
        <f>VLOOKUP(G1026,MD!M$2:O$93,3,FALSE)</f>
        <v>#N/A</v>
      </c>
      <c r="K1026" s="29"/>
      <c r="P1026" s="22"/>
      <c r="X1026" s="22"/>
    </row>
    <row r="1027" spans="10:24">
      <c r="J1027" s="20" t="e">
        <f>VLOOKUP(G1027,MD!M$2:O$93,3,FALSE)</f>
        <v>#N/A</v>
      </c>
      <c r="K1027" s="29"/>
      <c r="P1027" s="22"/>
      <c r="X1027" s="22"/>
    </row>
    <row r="1028" spans="10:24">
      <c r="J1028" s="20" t="e">
        <f>VLOOKUP(G1028,MD!M$2:O$93,3,FALSE)</f>
        <v>#N/A</v>
      </c>
      <c r="K1028" s="29"/>
      <c r="P1028" s="22"/>
      <c r="X1028" s="22"/>
    </row>
    <row r="1029" spans="10:24">
      <c r="J1029" s="20" t="e">
        <f>VLOOKUP(G1029,MD!M$2:O$93,3,FALSE)</f>
        <v>#N/A</v>
      </c>
      <c r="K1029" s="29"/>
      <c r="P1029" s="22"/>
      <c r="X1029" s="22"/>
    </row>
    <row r="1030" spans="10:24">
      <c r="J1030" s="20" t="e">
        <f>VLOOKUP(G1030,MD!M$2:O$93,3,FALSE)</f>
        <v>#N/A</v>
      </c>
      <c r="K1030" s="29"/>
      <c r="P1030" s="22"/>
      <c r="X1030" s="22"/>
    </row>
    <row r="1031" spans="10:24">
      <c r="J1031" s="20" t="e">
        <f>VLOOKUP(G1031,MD!M$2:O$93,3,FALSE)</f>
        <v>#N/A</v>
      </c>
      <c r="K1031" s="29"/>
      <c r="P1031" s="22"/>
      <c r="X1031" s="22"/>
    </row>
    <row r="1032" spans="10:24">
      <c r="J1032" s="20" t="e">
        <f>VLOOKUP(G1032,MD!M$2:O$93,3,FALSE)</f>
        <v>#N/A</v>
      </c>
      <c r="K1032" s="29"/>
      <c r="P1032" s="22"/>
      <c r="X1032" s="22"/>
    </row>
    <row r="1033" spans="10:24">
      <c r="J1033" s="20" t="e">
        <f>VLOOKUP(G1033,MD!M$2:O$93,3,FALSE)</f>
        <v>#N/A</v>
      </c>
      <c r="K1033" s="29"/>
      <c r="P1033" s="22"/>
      <c r="X1033" s="22"/>
    </row>
    <row r="1034" spans="10:24">
      <c r="J1034" s="20" t="e">
        <f>VLOOKUP(G1034,MD!M$2:O$93,3,FALSE)</f>
        <v>#N/A</v>
      </c>
      <c r="K1034" s="29"/>
      <c r="P1034" s="22"/>
      <c r="X1034" s="22"/>
    </row>
    <row r="1035" spans="10:24">
      <c r="J1035" s="20" t="e">
        <f>VLOOKUP(G1035,MD!M$2:O$93,3,FALSE)</f>
        <v>#N/A</v>
      </c>
      <c r="K1035" s="29"/>
      <c r="P1035" s="22"/>
      <c r="X1035" s="22"/>
    </row>
    <row r="1036" spans="10:24">
      <c r="J1036" s="20" t="e">
        <f>VLOOKUP(G1036,MD!M$2:O$93,3,FALSE)</f>
        <v>#N/A</v>
      </c>
      <c r="K1036" s="29"/>
      <c r="P1036" s="22"/>
      <c r="X1036" s="22"/>
    </row>
    <row r="1037" spans="10:24">
      <c r="J1037" s="20" t="e">
        <f>VLOOKUP(G1037,MD!M$2:O$93,3,FALSE)</f>
        <v>#N/A</v>
      </c>
      <c r="K1037" s="29"/>
      <c r="P1037" s="22"/>
      <c r="X1037" s="22"/>
    </row>
  </sheetData>
  <autoFilter ref="A1:G1037"/>
  <dataValidations count="2">
    <dataValidation type="list" allowBlank="1" showInputMessage="1" showErrorMessage="1" sqref="F2:F1037">
      <formula1>Listes_des_grandes_opérations</formula1>
    </dataValidation>
    <dataValidation type="list" allowBlank="1" showInputMessage="1" showErrorMessage="1" sqref="G2:G1037">
      <formula1>INDIRECT($F2)</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sheetPr codeName="Feuil3"/>
  <dimension ref="A1:AE1014"/>
  <sheetViews>
    <sheetView tabSelected="1" zoomScale="85" zoomScaleNormal="85" workbookViewId="0">
      <pane xSplit="5" ySplit="1" topLeftCell="F139" activePane="bottomRight" state="frozenSplit"/>
      <selection pane="topRight" activeCell="E1" sqref="E1"/>
      <selection pane="bottomLeft"/>
      <selection pane="bottomRight" activeCell="G152" sqref="G152"/>
    </sheetView>
  </sheetViews>
  <sheetFormatPr baseColWidth="10" defaultRowHeight="15"/>
  <cols>
    <col min="1" max="1" width="12.7109375" style="50" bestFit="1" customWidth="1"/>
    <col min="2" max="2" width="8.42578125" style="50" bestFit="1" customWidth="1"/>
    <col min="3" max="3" width="7.42578125" style="49" bestFit="1" customWidth="1"/>
    <col min="4" max="4" width="7.42578125" style="70" customWidth="1"/>
    <col min="5" max="5" width="11.5703125" style="47" bestFit="1" customWidth="1"/>
    <col min="6" max="6" width="16.42578125" style="18" bestFit="1" customWidth="1"/>
    <col min="7" max="7" width="46" style="18" customWidth="1"/>
    <col min="8" max="8" width="33.7109375" style="27" bestFit="1" customWidth="1"/>
    <col min="9" max="9" width="11.42578125" style="24"/>
    <col min="10" max="10" width="11.42578125" style="21"/>
    <col min="11" max="11" width="13.28515625" style="30" bestFit="1" customWidth="1"/>
    <col min="12" max="12" width="80.5703125" style="27" bestFit="1" customWidth="1"/>
    <col min="13" max="13" width="28.7109375" style="25" customWidth="1"/>
    <col min="14" max="14" width="12.5703125" style="25" bestFit="1" customWidth="1"/>
    <col min="15" max="15" width="13.28515625" style="25" bestFit="1" customWidth="1"/>
    <col min="16" max="18" width="11.42578125" style="44"/>
    <col min="19" max="19" width="13.28515625" style="44" bestFit="1" customWidth="1"/>
    <col min="20" max="23" width="11.42578125" style="25"/>
    <col min="24" max="26" width="11.42578125" style="44"/>
    <col min="27" max="27" width="13.28515625" style="44" bestFit="1" customWidth="1"/>
    <col min="28" max="31" width="11.42578125" style="25"/>
  </cols>
  <sheetData>
    <row r="1" spans="1:31" s="1" customFormat="1">
      <c r="A1" s="45" t="s">
        <v>126</v>
      </c>
      <c r="B1" s="45" t="s">
        <v>0</v>
      </c>
      <c r="C1" s="46" t="s">
        <v>3</v>
      </c>
      <c r="D1" s="69" t="s">
        <v>198</v>
      </c>
      <c r="E1" s="45" t="s">
        <v>125</v>
      </c>
      <c r="F1" s="17" t="s">
        <v>1</v>
      </c>
      <c r="G1" s="17" t="s">
        <v>4</v>
      </c>
      <c r="H1" s="26" t="s">
        <v>96</v>
      </c>
      <c r="I1" s="23" t="s">
        <v>5</v>
      </c>
      <c r="J1" s="19" t="s">
        <v>6</v>
      </c>
      <c r="K1" s="28" t="s">
        <v>7</v>
      </c>
      <c r="L1" s="26" t="s">
        <v>127</v>
      </c>
      <c r="M1" s="79" t="s">
        <v>260</v>
      </c>
      <c r="N1" s="79" t="s">
        <v>381</v>
      </c>
      <c r="O1" s="79" t="s">
        <v>365</v>
      </c>
      <c r="P1" s="16" t="s">
        <v>9</v>
      </c>
      <c r="Q1" s="16" t="s">
        <v>10</v>
      </c>
      <c r="R1" s="16" t="s">
        <v>11</v>
      </c>
      <c r="S1" s="16" t="s">
        <v>8</v>
      </c>
      <c r="T1" s="23" t="s">
        <v>14</v>
      </c>
      <c r="U1" s="23" t="s">
        <v>15</v>
      </c>
      <c r="V1" s="23" t="s">
        <v>16</v>
      </c>
      <c r="W1" s="23" t="s">
        <v>12</v>
      </c>
      <c r="X1" s="16" t="s">
        <v>18</v>
      </c>
      <c r="Y1" s="16" t="s">
        <v>19</v>
      </c>
      <c r="Z1" s="16" t="s">
        <v>20</v>
      </c>
      <c r="AA1" s="16" t="s">
        <v>13</v>
      </c>
      <c r="AB1" s="23" t="s">
        <v>21</v>
      </c>
      <c r="AC1" s="23" t="s">
        <v>22</v>
      </c>
      <c r="AD1" s="23" t="s">
        <v>23</v>
      </c>
      <c r="AE1" s="23" t="s">
        <v>17</v>
      </c>
    </row>
    <row r="2" spans="1:31" s="5" customFormat="1">
      <c r="A2" s="47" t="s">
        <v>121</v>
      </c>
      <c r="B2" s="47" t="s">
        <v>122</v>
      </c>
      <c r="C2" s="48">
        <v>43013</v>
      </c>
      <c r="D2" s="64">
        <v>40</v>
      </c>
      <c r="E2" s="47" t="s">
        <v>123</v>
      </c>
      <c r="F2" s="18" t="s">
        <v>83</v>
      </c>
      <c r="G2" s="18" t="s">
        <v>63</v>
      </c>
      <c r="H2" s="27"/>
      <c r="I2" s="24">
        <v>1</v>
      </c>
      <c r="J2" s="20" t="str">
        <f>VLOOKUP(G2,MD!M$2:O$93,3,FALSE)</f>
        <v>ha</v>
      </c>
      <c r="K2" s="29">
        <v>1</v>
      </c>
      <c r="L2" s="27"/>
      <c r="M2" s="25"/>
      <c r="N2" s="25"/>
      <c r="O2" s="25"/>
      <c r="P2" s="22"/>
      <c r="Q2" s="22"/>
      <c r="R2" s="22"/>
      <c r="S2" s="22"/>
      <c r="T2" s="24"/>
      <c r="U2" s="24"/>
      <c r="V2" s="24"/>
      <c r="W2" s="24"/>
      <c r="X2" s="22"/>
      <c r="Y2" s="22"/>
      <c r="Z2" s="22"/>
      <c r="AA2" s="22"/>
      <c r="AB2" s="24"/>
      <c r="AC2" s="24"/>
      <c r="AD2" s="24"/>
      <c r="AE2" s="24"/>
    </row>
    <row r="3" spans="1:31">
      <c r="A3" s="47" t="s">
        <v>121</v>
      </c>
      <c r="B3" s="47" t="s">
        <v>122</v>
      </c>
      <c r="C3" s="48">
        <v>43013</v>
      </c>
      <c r="D3" s="64">
        <v>40</v>
      </c>
      <c r="E3" s="47" t="s">
        <v>123</v>
      </c>
      <c r="F3" s="18" t="s">
        <v>84</v>
      </c>
      <c r="G3" s="18" t="s">
        <v>76</v>
      </c>
      <c r="H3" s="27" t="s">
        <v>129</v>
      </c>
      <c r="I3" s="24">
        <v>1</v>
      </c>
      <c r="J3" s="20" t="str">
        <f>VLOOKUP(G3,MD!M$2:O$93,3,FALSE)</f>
        <v>ha</v>
      </c>
      <c r="K3" s="29">
        <v>1</v>
      </c>
      <c r="P3" s="22"/>
      <c r="X3" s="22"/>
    </row>
    <row r="4" spans="1:31">
      <c r="A4" s="47" t="s">
        <v>121</v>
      </c>
      <c r="B4" s="47" t="s">
        <v>122</v>
      </c>
      <c r="C4" s="48">
        <v>43013</v>
      </c>
      <c r="D4" s="64">
        <v>40</v>
      </c>
      <c r="E4" s="47" t="s">
        <v>123</v>
      </c>
      <c r="F4" s="18" t="s">
        <v>87</v>
      </c>
      <c r="G4" s="18" t="s">
        <v>93</v>
      </c>
      <c r="H4" s="27" t="s">
        <v>130</v>
      </c>
      <c r="I4" s="24">
        <v>220</v>
      </c>
      <c r="J4" s="20" t="str">
        <f>VLOOKUP(G4,MD!M$2:O$93,3,FALSE)</f>
        <v>gr./m2</v>
      </c>
      <c r="K4" s="29">
        <v>1</v>
      </c>
      <c r="L4" s="27" t="s">
        <v>163</v>
      </c>
      <c r="P4" s="22"/>
      <c r="X4" s="22"/>
    </row>
    <row r="5" spans="1:31">
      <c r="A5" s="47" t="s">
        <v>121</v>
      </c>
      <c r="B5" s="47" t="s">
        <v>122</v>
      </c>
      <c r="C5" s="48">
        <v>43013</v>
      </c>
      <c r="D5" s="64">
        <v>40</v>
      </c>
      <c r="E5" s="47" t="s">
        <v>123</v>
      </c>
      <c r="F5" s="18" t="s">
        <v>89</v>
      </c>
      <c r="G5" s="18" t="s">
        <v>133</v>
      </c>
      <c r="H5" s="27" t="s">
        <v>97</v>
      </c>
      <c r="J5" s="20" t="str">
        <f>VLOOKUP(G5,MD!M$2:O$93,3,FALSE)</f>
        <v>Dose hom.</v>
      </c>
      <c r="K5" s="29">
        <v>1</v>
      </c>
      <c r="L5" s="27" t="s">
        <v>675</v>
      </c>
      <c r="M5" s="25" t="s">
        <v>263</v>
      </c>
      <c r="N5" s="25">
        <v>86</v>
      </c>
      <c r="O5" s="25" t="s">
        <v>358</v>
      </c>
      <c r="P5" s="22"/>
      <c r="X5" s="22"/>
    </row>
    <row r="6" spans="1:31">
      <c r="A6" s="47" t="s">
        <v>121</v>
      </c>
      <c r="B6" s="47" t="s">
        <v>122</v>
      </c>
      <c r="C6" s="48">
        <v>43039</v>
      </c>
      <c r="D6" s="64">
        <v>44</v>
      </c>
      <c r="E6" s="47" t="s">
        <v>121</v>
      </c>
      <c r="F6" s="18" t="s">
        <v>86</v>
      </c>
      <c r="G6" s="18" t="s">
        <v>64</v>
      </c>
      <c r="I6" s="57">
        <v>1</v>
      </c>
      <c r="J6" s="20" t="str">
        <f>VLOOKUP(G6,MD!M$2:O$93,3,FALSE)</f>
        <v>ha</v>
      </c>
      <c r="K6" s="29">
        <v>1</v>
      </c>
      <c r="P6" s="22"/>
      <c r="X6" s="22"/>
    </row>
    <row r="7" spans="1:31" s="59" customFormat="1">
      <c r="A7" s="47" t="s">
        <v>121</v>
      </c>
      <c r="B7" s="47" t="s">
        <v>122</v>
      </c>
      <c r="C7" s="48">
        <v>43039</v>
      </c>
      <c r="D7" s="64">
        <v>44</v>
      </c>
      <c r="E7" s="47" t="s">
        <v>121</v>
      </c>
      <c r="F7" s="18" t="s">
        <v>89</v>
      </c>
      <c r="G7" s="18" t="s">
        <v>113</v>
      </c>
      <c r="H7" s="27" t="s">
        <v>746</v>
      </c>
      <c r="I7" s="57">
        <f>4/4.5</f>
        <v>0.88888888888888884</v>
      </c>
      <c r="J7" s="20" t="str">
        <f>VLOOKUP(G7,MD!M$2:O$93,3,FALSE)</f>
        <v>Dose hom.</v>
      </c>
      <c r="K7" s="29">
        <v>1</v>
      </c>
      <c r="L7" s="27" t="s">
        <v>161</v>
      </c>
      <c r="M7" s="25" t="s">
        <v>402</v>
      </c>
      <c r="N7" s="25">
        <f>4*400</f>
        <v>1600</v>
      </c>
      <c r="O7" s="25" t="s">
        <v>358</v>
      </c>
      <c r="P7" s="22"/>
      <c r="Q7" s="44"/>
      <c r="R7" s="44"/>
      <c r="S7" s="44"/>
      <c r="T7" s="25"/>
      <c r="U7" s="25"/>
      <c r="V7" s="25"/>
      <c r="W7" s="25"/>
      <c r="X7" s="22"/>
      <c r="Y7" s="44"/>
      <c r="Z7" s="44"/>
      <c r="AA7" s="44"/>
      <c r="AB7" s="25"/>
      <c r="AC7" s="25"/>
      <c r="AD7" s="25"/>
      <c r="AE7" s="25"/>
    </row>
    <row r="8" spans="1:31" s="59" customFormat="1">
      <c r="A8" s="47" t="s">
        <v>121</v>
      </c>
      <c r="B8" s="47" t="s">
        <v>122</v>
      </c>
      <c r="C8" s="48">
        <v>43039</v>
      </c>
      <c r="D8" s="64">
        <v>44</v>
      </c>
      <c r="E8" s="47" t="s">
        <v>121</v>
      </c>
      <c r="F8" s="18" t="s">
        <v>89</v>
      </c>
      <c r="G8" s="18" t="s">
        <v>113</v>
      </c>
      <c r="H8" s="27" t="s">
        <v>747</v>
      </c>
      <c r="I8" s="57">
        <f>4/4.5</f>
        <v>0.88888888888888884</v>
      </c>
      <c r="J8" s="20" t="str">
        <f>VLOOKUP(G8,MD!M$2:O$93,3,FALSE)</f>
        <v>Dose hom.</v>
      </c>
      <c r="K8" s="29">
        <v>1</v>
      </c>
      <c r="L8" s="27" t="s">
        <v>161</v>
      </c>
      <c r="M8" s="25" t="s">
        <v>751</v>
      </c>
      <c r="N8" s="25">
        <f>4*25</f>
        <v>100</v>
      </c>
      <c r="O8" s="25" t="s">
        <v>358</v>
      </c>
      <c r="P8" s="22"/>
      <c r="Q8" s="44"/>
      <c r="R8" s="44"/>
      <c r="S8" s="44"/>
      <c r="T8" s="25"/>
      <c r="U8" s="25"/>
      <c r="V8" s="25"/>
      <c r="W8" s="25"/>
      <c r="X8" s="22"/>
      <c r="Y8" s="44"/>
      <c r="Z8" s="44"/>
      <c r="AA8" s="44"/>
      <c r="AB8" s="25"/>
      <c r="AC8" s="25"/>
      <c r="AD8" s="25"/>
      <c r="AE8" s="25"/>
    </row>
    <row r="9" spans="1:31">
      <c r="A9" s="47" t="s">
        <v>121</v>
      </c>
      <c r="B9" s="47" t="s">
        <v>122</v>
      </c>
      <c r="C9" s="48">
        <v>43173</v>
      </c>
      <c r="D9" s="64">
        <v>11</v>
      </c>
      <c r="E9" s="47" t="s">
        <v>121</v>
      </c>
      <c r="F9" s="18" t="s">
        <v>85</v>
      </c>
      <c r="G9" s="18" t="s">
        <v>67</v>
      </c>
      <c r="I9" s="24">
        <v>1</v>
      </c>
      <c r="J9" s="20" t="str">
        <f>VLOOKUP(G9,MD!M$2:O$93,3,FALSE)</f>
        <v>ha</v>
      </c>
      <c r="K9" s="29">
        <v>0.96</v>
      </c>
      <c r="P9" s="22"/>
      <c r="X9" s="22"/>
    </row>
    <row r="10" spans="1:31">
      <c r="A10" s="47" t="s">
        <v>121</v>
      </c>
      <c r="B10" s="47" t="s">
        <v>122</v>
      </c>
      <c r="C10" s="48">
        <v>43173</v>
      </c>
      <c r="D10" s="64">
        <v>11</v>
      </c>
      <c r="E10" s="47" t="s">
        <v>121</v>
      </c>
      <c r="F10" s="18" t="s">
        <v>88</v>
      </c>
      <c r="G10" s="18" t="s">
        <v>190</v>
      </c>
      <c r="H10" s="27" t="s">
        <v>197</v>
      </c>
      <c r="I10" s="24">
        <v>100</v>
      </c>
      <c r="J10" s="20" t="str">
        <f>VLOOKUP(G10,MD!M$2:O$93,3,FALSE)</f>
        <v>l/ha</v>
      </c>
      <c r="K10" s="29">
        <v>0.96</v>
      </c>
      <c r="L10" s="27" t="s">
        <v>196</v>
      </c>
      <c r="P10" s="22"/>
      <c r="X10" s="22"/>
    </row>
    <row r="11" spans="1:31">
      <c r="A11" s="47" t="s">
        <v>121</v>
      </c>
      <c r="B11" s="47" t="s">
        <v>122</v>
      </c>
      <c r="C11" s="48">
        <v>43186</v>
      </c>
      <c r="D11" s="64">
        <v>13</v>
      </c>
      <c r="E11" s="47" t="s">
        <v>121</v>
      </c>
      <c r="F11" s="18" t="s">
        <v>85</v>
      </c>
      <c r="G11" s="18" t="s">
        <v>67</v>
      </c>
      <c r="I11" s="24">
        <v>1</v>
      </c>
      <c r="J11" s="20" t="str">
        <f>VLOOKUP(G11,MD!M$2:O$93,3,FALSE)</f>
        <v>ha</v>
      </c>
      <c r="K11" s="29">
        <v>0.96</v>
      </c>
      <c r="P11" s="22"/>
      <c r="X11" s="22"/>
    </row>
    <row r="12" spans="1:31">
      <c r="A12" s="47" t="s">
        <v>121</v>
      </c>
      <c r="B12" s="47" t="s">
        <v>122</v>
      </c>
      <c r="C12" s="48">
        <v>43186</v>
      </c>
      <c r="D12" s="64">
        <v>13</v>
      </c>
      <c r="E12" s="47" t="s">
        <v>121</v>
      </c>
      <c r="F12" s="18" t="s">
        <v>88</v>
      </c>
      <c r="G12" s="18" t="s">
        <v>192</v>
      </c>
      <c r="H12" s="27" t="s">
        <v>209</v>
      </c>
      <c r="I12" s="24">
        <v>150</v>
      </c>
      <c r="J12" s="20" t="str">
        <f>VLOOKUP(G12,MD!M$2:O$93,3,FALSE)</f>
        <v>l/ha</v>
      </c>
      <c r="K12" s="29">
        <v>0.96</v>
      </c>
      <c r="L12" s="27" t="s">
        <v>210</v>
      </c>
      <c r="P12" s="22"/>
      <c r="X12" s="22"/>
    </row>
    <row r="13" spans="1:31" s="59" customFormat="1">
      <c r="A13" s="47" t="s">
        <v>121</v>
      </c>
      <c r="B13" s="47" t="s">
        <v>122</v>
      </c>
      <c r="C13" s="48">
        <v>43202</v>
      </c>
      <c r="D13" s="64">
        <v>15</v>
      </c>
      <c r="E13" s="47" t="s">
        <v>121</v>
      </c>
      <c r="F13" s="18" t="s">
        <v>85</v>
      </c>
      <c r="G13" s="18" t="s">
        <v>67</v>
      </c>
      <c r="H13" s="27"/>
      <c r="I13" s="24">
        <v>1</v>
      </c>
      <c r="J13" s="20" t="str">
        <f>VLOOKUP(G13,MD!M$2:O$93,3,FALSE)</f>
        <v>ha</v>
      </c>
      <c r="K13" s="29">
        <v>0.96</v>
      </c>
      <c r="L13" s="27"/>
      <c r="M13" s="25"/>
      <c r="N13" s="25"/>
      <c r="O13" s="25"/>
      <c r="P13" s="22"/>
      <c r="Q13" s="44"/>
      <c r="R13" s="44"/>
      <c r="S13" s="44"/>
      <c r="T13" s="25"/>
      <c r="U13" s="25"/>
      <c r="V13" s="25"/>
      <c r="W13" s="25"/>
      <c r="X13" s="22"/>
      <c r="Y13" s="44"/>
      <c r="Z13" s="44"/>
      <c r="AA13" s="44"/>
      <c r="AB13" s="25"/>
      <c r="AC13" s="25"/>
      <c r="AD13" s="25"/>
      <c r="AE13" s="25"/>
    </row>
    <row r="14" spans="1:31" s="59" customFormat="1">
      <c r="A14" s="47" t="s">
        <v>121</v>
      </c>
      <c r="B14" s="47" t="s">
        <v>122</v>
      </c>
      <c r="C14" s="48">
        <v>43202</v>
      </c>
      <c r="D14" s="64">
        <v>15</v>
      </c>
      <c r="E14" s="47" t="s">
        <v>121</v>
      </c>
      <c r="F14" s="18" t="s">
        <v>88</v>
      </c>
      <c r="G14" s="18" t="s">
        <v>191</v>
      </c>
      <c r="H14" s="27" t="s">
        <v>277</v>
      </c>
      <c r="I14" s="24">
        <v>150</v>
      </c>
      <c r="J14" s="20" t="str">
        <f>VLOOKUP(G14,MD!M$2:O$93,3,FALSE)</f>
        <v>l/ha</v>
      </c>
      <c r="K14" s="29">
        <v>0.96</v>
      </c>
      <c r="L14" s="27"/>
      <c r="M14" s="25"/>
      <c r="N14" s="25"/>
      <c r="O14" s="25"/>
      <c r="P14" s="22"/>
      <c r="Q14" s="44"/>
      <c r="R14" s="44"/>
      <c r="S14" s="44"/>
      <c r="T14" s="25"/>
      <c r="U14" s="25"/>
      <c r="V14" s="25"/>
      <c r="W14" s="25"/>
      <c r="X14" s="22"/>
      <c r="Y14" s="44"/>
      <c r="Z14" s="44"/>
      <c r="AA14" s="44"/>
      <c r="AB14" s="25"/>
      <c r="AC14" s="25"/>
      <c r="AD14" s="25"/>
      <c r="AE14" s="25"/>
    </row>
    <row r="15" spans="1:31">
      <c r="A15" s="47" t="s">
        <v>121</v>
      </c>
      <c r="B15" s="47" t="s">
        <v>122</v>
      </c>
      <c r="C15" s="48">
        <v>43207</v>
      </c>
      <c r="D15" s="64">
        <v>16</v>
      </c>
      <c r="E15" s="47" t="s">
        <v>121</v>
      </c>
      <c r="F15" s="18" t="s">
        <v>86</v>
      </c>
      <c r="G15" s="18" t="s">
        <v>64</v>
      </c>
      <c r="I15" s="24">
        <v>1</v>
      </c>
      <c r="J15" s="20" t="str">
        <f>VLOOKUP(G15,MD!M$2:O$93,3,FALSE)</f>
        <v>ha</v>
      </c>
      <c r="K15" s="29">
        <v>1</v>
      </c>
      <c r="P15" s="22"/>
      <c r="X15" s="22"/>
    </row>
    <row r="16" spans="1:31" s="59" customFormat="1">
      <c r="A16" s="47" t="s">
        <v>121</v>
      </c>
      <c r="B16" s="47" t="s">
        <v>122</v>
      </c>
      <c r="C16" s="48">
        <v>43207</v>
      </c>
      <c r="D16" s="64">
        <v>16</v>
      </c>
      <c r="E16" s="47" t="s">
        <v>121</v>
      </c>
      <c r="F16" s="18" t="s">
        <v>89</v>
      </c>
      <c r="G16" s="18" t="s">
        <v>112</v>
      </c>
      <c r="H16" s="27" t="s">
        <v>752</v>
      </c>
      <c r="I16" s="24">
        <f>1.33/2</f>
        <v>0.66500000000000004</v>
      </c>
      <c r="J16" s="20" t="str">
        <f>VLOOKUP(G16,MD!M$2:O$93,3,FALSE)</f>
        <v>Dose hom.</v>
      </c>
      <c r="K16" s="29">
        <v>1</v>
      </c>
      <c r="L16" s="27" t="s">
        <v>756</v>
      </c>
      <c r="M16" s="25" t="s">
        <v>754</v>
      </c>
      <c r="N16" s="103">
        <f>1.33*62.5</f>
        <v>83.125</v>
      </c>
      <c r="O16" s="25" t="s">
        <v>358</v>
      </c>
      <c r="P16" s="22"/>
      <c r="Q16" s="44"/>
      <c r="R16" s="44"/>
      <c r="S16" s="44"/>
      <c r="T16" s="25"/>
      <c r="U16" s="25"/>
      <c r="V16" s="25"/>
      <c r="W16" s="25"/>
      <c r="X16" s="22"/>
      <c r="Y16" s="44"/>
      <c r="Z16" s="44"/>
      <c r="AA16" s="44"/>
      <c r="AB16" s="25"/>
      <c r="AC16" s="25"/>
      <c r="AD16" s="25"/>
      <c r="AE16" s="25"/>
    </row>
    <row r="17" spans="1:31" s="59" customFormat="1">
      <c r="A17" s="47" t="s">
        <v>121</v>
      </c>
      <c r="B17" s="47" t="s">
        <v>122</v>
      </c>
      <c r="C17" s="48">
        <v>43207</v>
      </c>
      <c r="D17" s="64">
        <v>16</v>
      </c>
      <c r="E17" s="47" t="s">
        <v>121</v>
      </c>
      <c r="F17" s="18" t="s">
        <v>89</v>
      </c>
      <c r="G17" s="18" t="s">
        <v>112</v>
      </c>
      <c r="H17" s="27" t="s">
        <v>752</v>
      </c>
      <c r="I17" s="24">
        <f>1.33/2</f>
        <v>0.66500000000000004</v>
      </c>
      <c r="J17" s="20" t="str">
        <f>VLOOKUP(G17,MD!M$2:O$93,3,FALSE)</f>
        <v>Dose hom.</v>
      </c>
      <c r="K17" s="29">
        <v>1</v>
      </c>
      <c r="L17" s="27" t="s">
        <v>757</v>
      </c>
      <c r="M17" s="25" t="s">
        <v>755</v>
      </c>
      <c r="N17" s="103">
        <f>1.33*50</f>
        <v>66.5</v>
      </c>
      <c r="O17" s="25" t="s">
        <v>358</v>
      </c>
      <c r="P17" s="22"/>
      <c r="Q17" s="44"/>
      <c r="R17" s="44"/>
      <c r="S17" s="44"/>
      <c r="T17" s="25"/>
      <c r="U17" s="25"/>
      <c r="V17" s="25"/>
      <c r="W17" s="25"/>
      <c r="X17" s="22"/>
      <c r="Y17" s="44"/>
      <c r="Z17" s="44"/>
      <c r="AA17" s="44"/>
      <c r="AB17" s="25"/>
      <c r="AC17" s="25"/>
      <c r="AD17" s="25"/>
      <c r="AE17" s="25"/>
    </row>
    <row r="18" spans="1:31" s="59" customFormat="1">
      <c r="A18" s="47" t="s">
        <v>121</v>
      </c>
      <c r="B18" s="47" t="s">
        <v>122</v>
      </c>
      <c r="C18" s="48">
        <v>43207</v>
      </c>
      <c r="D18" s="64">
        <v>16</v>
      </c>
      <c r="E18" s="47" t="s">
        <v>121</v>
      </c>
      <c r="F18" s="18" t="s">
        <v>89</v>
      </c>
      <c r="G18" s="18" t="s">
        <v>112</v>
      </c>
      <c r="H18" s="27" t="s">
        <v>752</v>
      </c>
      <c r="I18" s="24">
        <f>1.33/2</f>
        <v>0.66500000000000004</v>
      </c>
      <c r="J18" s="20" t="str">
        <f>VLOOKUP(G18,MD!M$2:O$93,3,FALSE)</f>
        <v>Dose hom.</v>
      </c>
      <c r="K18" s="29">
        <v>1</v>
      </c>
      <c r="L18" s="27" t="s">
        <v>758</v>
      </c>
      <c r="M18" s="25" t="s">
        <v>474</v>
      </c>
      <c r="N18" s="103">
        <f>1.33*375</f>
        <v>498.75</v>
      </c>
      <c r="O18" s="25" t="s">
        <v>358</v>
      </c>
      <c r="P18" s="22"/>
      <c r="Q18" s="44"/>
      <c r="R18" s="44"/>
      <c r="S18" s="44"/>
      <c r="T18" s="25"/>
      <c r="U18" s="25"/>
      <c r="V18" s="25"/>
      <c r="W18" s="25"/>
      <c r="X18" s="22"/>
      <c r="Y18" s="44"/>
      <c r="Z18" s="44"/>
      <c r="AA18" s="44"/>
      <c r="AB18" s="25"/>
      <c r="AC18" s="25"/>
      <c r="AD18" s="25"/>
      <c r="AE18" s="25"/>
    </row>
    <row r="19" spans="1:31" s="59" customFormat="1">
      <c r="A19" s="47" t="s">
        <v>121</v>
      </c>
      <c r="B19" s="47" t="s">
        <v>122</v>
      </c>
      <c r="C19" s="48">
        <v>43207</v>
      </c>
      <c r="D19" s="64">
        <v>16</v>
      </c>
      <c r="E19" s="47" t="s">
        <v>121</v>
      </c>
      <c r="F19" s="18" t="s">
        <v>89</v>
      </c>
      <c r="G19" s="18" t="s">
        <v>112</v>
      </c>
      <c r="H19" s="27" t="s">
        <v>753</v>
      </c>
      <c r="I19" s="24"/>
      <c r="J19" s="20" t="str">
        <f>VLOOKUP(G19,MD!M$2:O$93,3,FALSE)</f>
        <v>Dose hom.</v>
      </c>
      <c r="K19" s="29">
        <v>1</v>
      </c>
      <c r="L19" s="27" t="s">
        <v>760</v>
      </c>
      <c r="M19" s="25" t="s">
        <v>759</v>
      </c>
      <c r="N19" s="103">
        <f>0.35*50</f>
        <v>17.5</v>
      </c>
      <c r="O19" s="25" t="s">
        <v>358</v>
      </c>
      <c r="P19" s="22"/>
      <c r="Q19" s="44"/>
      <c r="R19" s="44"/>
      <c r="S19" s="44"/>
      <c r="T19" s="25"/>
      <c r="U19" s="25"/>
      <c r="V19" s="25"/>
      <c r="W19" s="25"/>
      <c r="X19" s="22"/>
      <c r="Y19" s="44"/>
      <c r="Z19" s="44"/>
      <c r="AA19" s="44"/>
      <c r="AB19" s="25"/>
      <c r="AC19" s="25"/>
      <c r="AD19" s="25"/>
      <c r="AE19" s="25"/>
    </row>
    <row r="20" spans="1:31" s="59" customFormat="1">
      <c r="A20" s="47" t="s">
        <v>121</v>
      </c>
      <c r="B20" s="47" t="s">
        <v>122</v>
      </c>
      <c r="C20" s="48">
        <v>43207</v>
      </c>
      <c r="D20" s="64">
        <v>16</v>
      </c>
      <c r="E20" s="47" t="s">
        <v>121</v>
      </c>
      <c r="F20" s="18" t="s">
        <v>89</v>
      </c>
      <c r="G20" s="18" t="s">
        <v>112</v>
      </c>
      <c r="H20" s="27" t="s">
        <v>753</v>
      </c>
      <c r="I20" s="24"/>
      <c r="J20" s="20" t="str">
        <f>VLOOKUP(G20,MD!M$2:O$93,3,FALSE)</f>
        <v>Dose hom.</v>
      </c>
      <c r="K20" s="29">
        <v>1</v>
      </c>
      <c r="L20" s="27" t="s">
        <v>761</v>
      </c>
      <c r="M20" s="25" t="s">
        <v>469</v>
      </c>
      <c r="N20" s="103">
        <f>0.35*75</f>
        <v>26.25</v>
      </c>
      <c r="O20" s="25" t="s">
        <v>358</v>
      </c>
      <c r="P20" s="22"/>
      <c r="Q20" s="44"/>
      <c r="R20" s="44"/>
      <c r="S20" s="44"/>
      <c r="T20" s="25"/>
      <c r="U20" s="25"/>
      <c r="V20" s="25"/>
      <c r="W20" s="25"/>
      <c r="X20" s="22"/>
      <c r="Y20" s="44"/>
      <c r="Z20" s="44"/>
      <c r="AA20" s="44"/>
      <c r="AB20" s="25"/>
      <c r="AC20" s="25"/>
      <c r="AD20" s="25"/>
      <c r="AE20" s="25"/>
    </row>
    <row r="21" spans="1:31" s="59" customFormat="1">
      <c r="A21" s="47" t="s">
        <v>121</v>
      </c>
      <c r="B21" s="47" t="s">
        <v>122</v>
      </c>
      <c r="C21" s="48">
        <v>43219</v>
      </c>
      <c r="D21" s="64">
        <v>17</v>
      </c>
      <c r="E21" s="47" t="s">
        <v>121</v>
      </c>
      <c r="F21" s="18" t="s">
        <v>85</v>
      </c>
      <c r="G21" s="18" t="s">
        <v>67</v>
      </c>
      <c r="H21" s="27"/>
      <c r="I21" s="24">
        <v>1</v>
      </c>
      <c r="J21" s="20" t="str">
        <f>VLOOKUP(G21,MD!M$2:O$93,3,FALSE)</f>
        <v>ha</v>
      </c>
      <c r="K21" s="29">
        <v>0.96</v>
      </c>
      <c r="L21" s="27"/>
      <c r="M21" s="25"/>
      <c r="N21" s="25"/>
      <c r="O21" s="25"/>
      <c r="P21" s="22"/>
      <c r="Q21" s="44"/>
      <c r="R21" s="44"/>
      <c r="S21" s="44"/>
      <c r="T21" s="25"/>
      <c r="U21" s="25"/>
      <c r="V21" s="25"/>
      <c r="W21" s="25"/>
      <c r="X21" s="22"/>
      <c r="Y21" s="44"/>
      <c r="Z21" s="44"/>
      <c r="AA21" s="44"/>
      <c r="AB21" s="25"/>
      <c r="AC21" s="25"/>
      <c r="AD21" s="25"/>
      <c r="AE21" s="25"/>
    </row>
    <row r="22" spans="1:31" s="59" customFormat="1">
      <c r="A22" s="47" t="s">
        <v>121</v>
      </c>
      <c r="B22" s="47" t="s">
        <v>122</v>
      </c>
      <c r="C22" s="48">
        <v>43219</v>
      </c>
      <c r="D22" s="64">
        <v>17</v>
      </c>
      <c r="E22" s="47" t="s">
        <v>121</v>
      </c>
      <c r="F22" s="18" t="s">
        <v>88</v>
      </c>
      <c r="G22" s="18" t="s">
        <v>191</v>
      </c>
      <c r="H22" s="27" t="s">
        <v>278</v>
      </c>
      <c r="I22" s="24">
        <v>110</v>
      </c>
      <c r="J22" s="20" t="str">
        <f>VLOOKUP(G22,MD!M$2:O$93,3,FALSE)</f>
        <v>l/ha</v>
      </c>
      <c r="K22" s="29">
        <v>0.96</v>
      </c>
      <c r="L22" s="27" t="s">
        <v>244</v>
      </c>
      <c r="M22" s="25"/>
      <c r="N22" s="25"/>
      <c r="O22" s="25"/>
      <c r="P22" s="22"/>
      <c r="Q22" s="44"/>
      <c r="R22" s="44"/>
      <c r="S22" s="44"/>
      <c r="T22" s="25"/>
      <c r="U22" s="25"/>
      <c r="V22" s="25"/>
      <c r="W22" s="25"/>
      <c r="X22" s="22"/>
      <c r="Y22" s="44"/>
      <c r="Z22" s="44"/>
      <c r="AA22" s="44"/>
      <c r="AB22" s="25"/>
      <c r="AC22" s="25"/>
      <c r="AD22" s="25"/>
      <c r="AE22" s="25"/>
    </row>
    <row r="23" spans="1:31" s="59" customFormat="1">
      <c r="A23" s="47" t="s">
        <v>121</v>
      </c>
      <c r="B23" s="47" t="s">
        <v>122</v>
      </c>
      <c r="C23" s="48">
        <v>43231</v>
      </c>
      <c r="D23" s="64">
        <v>19</v>
      </c>
      <c r="E23" s="47" t="s">
        <v>121</v>
      </c>
      <c r="F23" s="18" t="s">
        <v>86</v>
      </c>
      <c r="G23" s="18" t="s">
        <v>64</v>
      </c>
      <c r="H23" s="27"/>
      <c r="I23" s="24">
        <v>1</v>
      </c>
      <c r="J23" s="20" t="str">
        <f>VLOOKUP(G23,MD!M$2:O$93,3,FALSE)</f>
        <v>ha</v>
      </c>
      <c r="K23" s="29">
        <v>1</v>
      </c>
      <c r="L23" s="27"/>
      <c r="M23" s="25"/>
      <c r="N23" s="25"/>
      <c r="O23" s="25"/>
      <c r="P23" s="22"/>
      <c r="Q23" s="44"/>
      <c r="R23" s="44"/>
      <c r="S23" s="44"/>
      <c r="T23" s="25"/>
      <c r="U23" s="25"/>
      <c r="V23" s="25"/>
      <c r="W23" s="25"/>
      <c r="X23" s="22"/>
      <c r="Y23" s="44"/>
      <c r="Z23" s="44"/>
      <c r="AA23" s="44"/>
      <c r="AB23" s="25"/>
      <c r="AC23" s="25"/>
      <c r="AD23" s="25"/>
      <c r="AE23" s="25"/>
    </row>
    <row r="24" spans="1:31" s="59" customFormat="1">
      <c r="A24" s="47" t="s">
        <v>121</v>
      </c>
      <c r="B24" s="47" t="s">
        <v>122</v>
      </c>
      <c r="C24" s="48">
        <v>43231</v>
      </c>
      <c r="D24" s="64">
        <v>19</v>
      </c>
      <c r="E24" s="47" t="s">
        <v>121</v>
      </c>
      <c r="F24" s="18" t="s">
        <v>89</v>
      </c>
      <c r="G24" s="18" t="s">
        <v>112</v>
      </c>
      <c r="H24" s="27" t="s">
        <v>762</v>
      </c>
      <c r="I24" s="24"/>
      <c r="J24" s="20" t="str">
        <f>VLOOKUP(G24,MD!M$2:O$93,3,FALSE)</f>
        <v>Dose hom.</v>
      </c>
      <c r="K24" s="29">
        <v>1</v>
      </c>
      <c r="L24" s="27" t="s">
        <v>764</v>
      </c>
      <c r="M24" s="25" t="s">
        <v>471</v>
      </c>
      <c r="N24" s="103">
        <f>0.5*75</f>
        <v>37.5</v>
      </c>
      <c r="O24" s="25" t="s">
        <v>358</v>
      </c>
      <c r="P24" s="22"/>
      <c r="Q24" s="44"/>
      <c r="R24" s="44"/>
      <c r="S24" s="44"/>
      <c r="T24" s="25"/>
      <c r="U24" s="25"/>
      <c r="V24" s="25"/>
      <c r="W24" s="25"/>
      <c r="X24" s="22"/>
      <c r="Y24" s="44"/>
      <c r="Z24" s="44"/>
      <c r="AA24" s="44"/>
      <c r="AB24" s="25"/>
      <c r="AC24" s="25"/>
      <c r="AD24" s="25"/>
      <c r="AE24" s="25"/>
    </row>
    <row r="25" spans="1:31" s="59" customFormat="1">
      <c r="A25" s="47" t="s">
        <v>121</v>
      </c>
      <c r="B25" s="47" t="s">
        <v>122</v>
      </c>
      <c r="C25" s="48">
        <v>43231</v>
      </c>
      <c r="D25" s="64">
        <v>19</v>
      </c>
      <c r="E25" s="47" t="s">
        <v>121</v>
      </c>
      <c r="F25" s="18" t="s">
        <v>89</v>
      </c>
      <c r="G25" s="18" t="s">
        <v>112</v>
      </c>
      <c r="H25" s="27" t="s">
        <v>763</v>
      </c>
      <c r="I25" s="24"/>
      <c r="J25" s="20" t="str">
        <f>VLOOKUP(G25,MD!M$2:O$93,3,FALSE)</f>
        <v>Dose hom.</v>
      </c>
      <c r="K25" s="29">
        <v>1</v>
      </c>
      <c r="L25" s="27" t="s">
        <v>765</v>
      </c>
      <c r="M25" s="25" t="s">
        <v>754</v>
      </c>
      <c r="N25" s="25">
        <f>0.5*150</f>
        <v>75</v>
      </c>
      <c r="O25" s="25" t="s">
        <v>358</v>
      </c>
      <c r="P25" s="22"/>
      <c r="Q25" s="44"/>
      <c r="R25" s="44"/>
      <c r="S25" s="44"/>
      <c r="T25" s="25"/>
      <c r="U25" s="25"/>
      <c r="V25" s="25"/>
      <c r="W25" s="25"/>
      <c r="X25" s="22"/>
      <c r="Y25" s="44"/>
      <c r="Z25" s="44"/>
      <c r="AA25" s="44"/>
      <c r="AB25" s="25"/>
      <c r="AC25" s="25"/>
      <c r="AD25" s="25"/>
      <c r="AE25" s="25"/>
    </row>
    <row r="26" spans="1:31" s="59" customFormat="1">
      <c r="A26" s="47" t="s">
        <v>121</v>
      </c>
      <c r="B26" s="47" t="s">
        <v>122</v>
      </c>
      <c r="C26" s="48">
        <v>43231</v>
      </c>
      <c r="D26" s="64">
        <v>19</v>
      </c>
      <c r="E26" s="47" t="s">
        <v>121</v>
      </c>
      <c r="F26" s="18" t="s">
        <v>89</v>
      </c>
      <c r="G26" s="18" t="s">
        <v>112</v>
      </c>
      <c r="H26" s="27" t="s">
        <v>766</v>
      </c>
      <c r="I26" s="24"/>
      <c r="J26" s="20" t="str">
        <f>VLOOKUP(G26,MD!M$2:O$93,3,FALSE)</f>
        <v>Dose hom.</v>
      </c>
      <c r="K26" s="29">
        <v>1</v>
      </c>
      <c r="L26" s="27" t="s">
        <v>767</v>
      </c>
      <c r="M26" s="25" t="s">
        <v>548</v>
      </c>
      <c r="N26" s="25">
        <f>0.5*90</f>
        <v>45</v>
      </c>
      <c r="O26" s="25" t="s">
        <v>358</v>
      </c>
      <c r="P26" s="22"/>
      <c r="Q26" s="44"/>
      <c r="R26" s="44"/>
      <c r="S26" s="44"/>
      <c r="T26" s="25"/>
      <c r="U26" s="25"/>
      <c r="V26" s="25"/>
      <c r="W26" s="25"/>
      <c r="X26" s="22"/>
      <c r="Y26" s="44"/>
      <c r="Z26" s="44"/>
      <c r="AA26" s="44"/>
      <c r="AB26" s="25"/>
      <c r="AC26" s="25"/>
      <c r="AD26" s="25"/>
      <c r="AE26" s="25"/>
    </row>
    <row r="27" spans="1:31" s="59" customFormat="1">
      <c r="A27" s="47" t="s">
        <v>121</v>
      </c>
      <c r="B27" s="47" t="s">
        <v>122</v>
      </c>
      <c r="C27" s="48">
        <v>43231</v>
      </c>
      <c r="D27" s="64">
        <v>19</v>
      </c>
      <c r="E27" s="47" t="s">
        <v>121</v>
      </c>
      <c r="F27" s="18" t="s">
        <v>86</v>
      </c>
      <c r="G27" s="18" t="s">
        <v>64</v>
      </c>
      <c r="H27" s="27"/>
      <c r="I27" s="24">
        <v>0.2</v>
      </c>
      <c r="J27" s="20" t="str">
        <f>VLOOKUP(G27,MD!M$2:O$93,3,FALSE)</f>
        <v>ha</v>
      </c>
      <c r="K27" s="29">
        <v>0.01</v>
      </c>
      <c r="L27" s="27"/>
      <c r="M27" s="25"/>
      <c r="N27" s="25"/>
      <c r="O27" s="25"/>
      <c r="P27" s="22"/>
      <c r="Q27" s="44"/>
      <c r="R27" s="44"/>
      <c r="S27" s="44"/>
      <c r="T27" s="25"/>
      <c r="U27" s="25"/>
      <c r="V27" s="25"/>
      <c r="W27" s="25"/>
      <c r="X27" s="22"/>
      <c r="Y27" s="44"/>
      <c r="Z27" s="44"/>
      <c r="AA27" s="44"/>
      <c r="AB27" s="25"/>
      <c r="AC27" s="25"/>
      <c r="AD27" s="25"/>
      <c r="AE27" s="25"/>
    </row>
    <row r="28" spans="1:31" s="59" customFormat="1">
      <c r="A28" s="47" t="s">
        <v>121</v>
      </c>
      <c r="B28" s="47" t="s">
        <v>122</v>
      </c>
      <c r="C28" s="48">
        <v>43231</v>
      </c>
      <c r="D28" s="64">
        <v>19</v>
      </c>
      <c r="E28" s="47" t="s">
        <v>121</v>
      </c>
      <c r="F28" s="18" t="s">
        <v>89</v>
      </c>
      <c r="G28" s="18" t="s">
        <v>113</v>
      </c>
      <c r="H28" s="27" t="s">
        <v>265</v>
      </c>
      <c r="I28" s="24"/>
      <c r="J28" s="20" t="str">
        <f>VLOOKUP(G28,MD!M$2:O$93,3,FALSE)</f>
        <v>Dose hom.</v>
      </c>
      <c r="K28" s="29">
        <v>0.01</v>
      </c>
      <c r="L28" s="27" t="s">
        <v>253</v>
      </c>
      <c r="M28" s="25" t="s">
        <v>264</v>
      </c>
      <c r="N28" s="25"/>
      <c r="O28" s="25"/>
      <c r="P28" s="22"/>
      <c r="Q28" s="44"/>
      <c r="R28" s="44"/>
      <c r="S28" s="44"/>
      <c r="T28" s="25"/>
      <c r="U28" s="25"/>
      <c r="V28" s="25"/>
      <c r="W28" s="25"/>
      <c r="X28" s="22"/>
      <c r="Y28" s="44"/>
      <c r="Z28" s="44"/>
      <c r="AA28" s="44"/>
      <c r="AB28" s="25"/>
      <c r="AC28" s="25"/>
      <c r="AD28" s="25"/>
      <c r="AE28" s="25"/>
    </row>
    <row r="29" spans="1:31" s="59" customFormat="1">
      <c r="A29" s="47" t="s">
        <v>121</v>
      </c>
      <c r="B29" s="47" t="s">
        <v>122</v>
      </c>
      <c r="C29" s="48">
        <v>43232</v>
      </c>
      <c r="D29" s="64">
        <v>19</v>
      </c>
      <c r="E29" s="47" t="s">
        <v>121</v>
      </c>
      <c r="F29" s="18" t="s">
        <v>85</v>
      </c>
      <c r="G29" s="18" t="s">
        <v>67</v>
      </c>
      <c r="H29" s="27"/>
      <c r="I29" s="24">
        <v>1</v>
      </c>
      <c r="J29" s="20" t="str">
        <f>VLOOKUP(G29,MD!M$2:O$93,3,FALSE)</f>
        <v>ha</v>
      </c>
      <c r="K29" s="29">
        <v>0.96</v>
      </c>
      <c r="L29" s="27"/>
      <c r="M29" s="25"/>
      <c r="N29" s="25"/>
      <c r="O29" s="25"/>
      <c r="P29" s="22"/>
      <c r="Q29" s="44"/>
      <c r="R29" s="44"/>
      <c r="S29" s="44"/>
      <c r="T29" s="25"/>
      <c r="U29" s="25"/>
      <c r="V29" s="25"/>
      <c r="W29" s="25"/>
      <c r="X29" s="22"/>
      <c r="Y29" s="44"/>
      <c r="Z29" s="44"/>
      <c r="AA29" s="44"/>
      <c r="AB29" s="25"/>
      <c r="AC29" s="25"/>
      <c r="AD29" s="25"/>
      <c r="AE29" s="25"/>
    </row>
    <row r="30" spans="1:31" s="59" customFormat="1">
      <c r="A30" s="47" t="s">
        <v>121</v>
      </c>
      <c r="B30" s="47" t="s">
        <v>122</v>
      </c>
      <c r="C30" s="48">
        <v>43232</v>
      </c>
      <c r="D30" s="64">
        <v>19</v>
      </c>
      <c r="E30" s="47" t="s">
        <v>121</v>
      </c>
      <c r="F30" s="18" t="s">
        <v>88</v>
      </c>
      <c r="G30" s="18" t="s">
        <v>191</v>
      </c>
      <c r="H30" s="27" t="s">
        <v>276</v>
      </c>
      <c r="I30" s="24">
        <v>80</v>
      </c>
      <c r="J30" s="20" t="str">
        <f>VLOOKUP(G30,MD!M$2:O$93,3,FALSE)</f>
        <v>l/ha</v>
      </c>
      <c r="K30" s="29">
        <v>0.96</v>
      </c>
      <c r="L30" s="27" t="s">
        <v>254</v>
      </c>
      <c r="M30" s="25"/>
      <c r="N30" s="25"/>
      <c r="O30" s="25"/>
      <c r="P30" s="22"/>
      <c r="Q30" s="44"/>
      <c r="R30" s="44"/>
      <c r="S30" s="44"/>
      <c r="T30" s="25"/>
      <c r="U30" s="25"/>
      <c r="V30" s="25"/>
      <c r="W30" s="25"/>
      <c r="X30" s="22"/>
      <c r="Y30" s="44"/>
      <c r="Z30" s="44"/>
      <c r="AA30" s="44"/>
      <c r="AB30" s="25"/>
      <c r="AC30" s="25"/>
      <c r="AD30" s="25"/>
      <c r="AE30" s="25"/>
    </row>
    <row r="31" spans="1:31">
      <c r="A31" s="47" t="s">
        <v>121</v>
      </c>
      <c r="B31" s="47" t="s">
        <v>122</v>
      </c>
      <c r="C31" s="48">
        <v>43247</v>
      </c>
      <c r="D31" s="64">
        <v>21</v>
      </c>
      <c r="E31" s="47" t="s">
        <v>121</v>
      </c>
      <c r="F31" s="18" t="s">
        <v>86</v>
      </c>
      <c r="G31" s="18" t="s">
        <v>64</v>
      </c>
      <c r="I31" s="24">
        <v>1</v>
      </c>
      <c r="J31" s="20" t="str">
        <f>VLOOKUP(G31,MD!M$2:O$93,3,FALSE)</f>
        <v>ha</v>
      </c>
      <c r="K31" s="29">
        <v>1</v>
      </c>
      <c r="P31" s="22"/>
      <c r="X31" s="22"/>
    </row>
    <row r="32" spans="1:31" s="59" customFormat="1">
      <c r="A32" s="47" t="s">
        <v>121</v>
      </c>
      <c r="B32" s="47" t="s">
        <v>122</v>
      </c>
      <c r="C32" s="48">
        <v>43247</v>
      </c>
      <c r="D32" s="64">
        <v>21</v>
      </c>
      <c r="E32" s="47" t="s">
        <v>121</v>
      </c>
      <c r="F32" s="18" t="s">
        <v>89</v>
      </c>
      <c r="G32" s="18" t="s">
        <v>112</v>
      </c>
      <c r="H32" s="27" t="s">
        <v>773</v>
      </c>
      <c r="I32" s="24">
        <v>115</v>
      </c>
      <c r="J32" s="20" t="str">
        <f>VLOOKUP(G32,MD!M$2:O$93,3,FALSE)</f>
        <v>Dose hom.</v>
      </c>
      <c r="K32" s="29">
        <v>1</v>
      </c>
      <c r="L32" s="27" t="s">
        <v>775</v>
      </c>
      <c r="M32" s="25" t="s">
        <v>367</v>
      </c>
      <c r="N32" s="25">
        <f>0.6*160</f>
        <v>96</v>
      </c>
      <c r="O32" s="25" t="s">
        <v>358</v>
      </c>
      <c r="P32" s="22"/>
      <c r="Q32" s="44"/>
      <c r="R32" s="44"/>
      <c r="S32" s="44"/>
      <c r="T32" s="25"/>
      <c r="U32" s="25"/>
      <c r="V32" s="25"/>
      <c r="W32" s="25"/>
      <c r="X32" s="22"/>
      <c r="Y32" s="44"/>
      <c r="Z32" s="44"/>
      <c r="AA32" s="44"/>
      <c r="AB32" s="25"/>
      <c r="AC32" s="25"/>
      <c r="AD32" s="25"/>
      <c r="AE32" s="25"/>
    </row>
    <row r="33" spans="1:31" s="59" customFormat="1">
      <c r="A33" s="47" t="s">
        <v>121</v>
      </c>
      <c r="B33" s="47" t="s">
        <v>122</v>
      </c>
      <c r="C33" s="48">
        <v>43247</v>
      </c>
      <c r="D33" s="64">
        <v>21</v>
      </c>
      <c r="E33" s="47" t="s">
        <v>121</v>
      </c>
      <c r="F33" s="18" t="s">
        <v>89</v>
      </c>
      <c r="G33" s="18" t="s">
        <v>112</v>
      </c>
      <c r="H33" s="27" t="s">
        <v>773</v>
      </c>
      <c r="I33" s="24">
        <v>115</v>
      </c>
      <c r="J33" s="20" t="str">
        <f>VLOOKUP(G33,MD!M$2:O$93,3,FALSE)</f>
        <v>Dose hom.</v>
      </c>
      <c r="K33" s="29">
        <v>1</v>
      </c>
      <c r="L33" s="27" t="s">
        <v>774</v>
      </c>
      <c r="M33" s="25" t="s">
        <v>371</v>
      </c>
      <c r="N33" s="25">
        <f>0.6*80</f>
        <v>48</v>
      </c>
      <c r="O33" s="25" t="s">
        <v>358</v>
      </c>
      <c r="P33" s="22"/>
      <c r="Q33" s="44"/>
      <c r="R33" s="44"/>
      <c r="S33" s="44"/>
      <c r="T33" s="25"/>
      <c r="U33" s="25"/>
      <c r="V33" s="25"/>
      <c r="W33" s="25"/>
      <c r="X33" s="22"/>
      <c r="Y33" s="44"/>
      <c r="Z33" s="44"/>
      <c r="AA33" s="44"/>
      <c r="AB33" s="25"/>
      <c r="AC33" s="25"/>
      <c r="AD33" s="25"/>
      <c r="AE33" s="25"/>
    </row>
    <row r="34" spans="1:31" s="59" customFormat="1">
      <c r="A34" s="47" t="s">
        <v>121</v>
      </c>
      <c r="B34" s="47" t="s">
        <v>122</v>
      </c>
      <c r="C34" s="48">
        <v>43247</v>
      </c>
      <c r="D34" s="64">
        <v>21</v>
      </c>
      <c r="E34" s="47" t="s">
        <v>121</v>
      </c>
      <c r="F34" s="18" t="s">
        <v>89</v>
      </c>
      <c r="G34" s="18" t="s">
        <v>112</v>
      </c>
      <c r="H34" s="27" t="s">
        <v>772</v>
      </c>
      <c r="I34" s="24">
        <v>115</v>
      </c>
      <c r="J34" s="20" t="str">
        <f>VLOOKUP(G34,MD!M$2:O$93,3,FALSE)</f>
        <v>Dose hom.</v>
      </c>
      <c r="K34" s="29">
        <v>1</v>
      </c>
      <c r="L34" s="27" t="s">
        <v>777</v>
      </c>
      <c r="M34" s="25" t="s">
        <v>776</v>
      </c>
      <c r="N34" s="103">
        <f>0.115*845</f>
        <v>97.174999999999997</v>
      </c>
      <c r="O34" s="25" t="s">
        <v>358</v>
      </c>
      <c r="P34" s="22"/>
      <c r="Q34" s="44"/>
      <c r="R34" s="44"/>
      <c r="S34" s="44"/>
      <c r="T34" s="25"/>
      <c r="U34" s="25"/>
      <c r="V34" s="25"/>
      <c r="W34" s="25"/>
      <c r="X34" s="22"/>
      <c r="Y34" s="44"/>
      <c r="Z34" s="44"/>
      <c r="AA34" s="44"/>
      <c r="AB34" s="25"/>
      <c r="AC34" s="25"/>
      <c r="AD34" s="25"/>
      <c r="AE34" s="25"/>
    </row>
    <row r="35" spans="1:31" s="59" customFormat="1">
      <c r="A35" s="47" t="s">
        <v>121</v>
      </c>
      <c r="B35" s="47" t="s">
        <v>122</v>
      </c>
      <c r="C35" s="48">
        <v>43294</v>
      </c>
      <c r="D35" s="64">
        <v>28</v>
      </c>
      <c r="E35" s="47" t="s">
        <v>121</v>
      </c>
      <c r="F35" s="18" t="s">
        <v>86</v>
      </c>
      <c r="G35" s="18" t="s">
        <v>55</v>
      </c>
      <c r="H35" s="27"/>
      <c r="I35" s="24">
        <v>1</v>
      </c>
      <c r="J35" s="20" t="str">
        <f>VLOOKUP(G35,MD!M$2:O$93,3,FALSE)</f>
        <v>ha</v>
      </c>
      <c r="K35" s="29">
        <v>1</v>
      </c>
      <c r="L35" s="27"/>
      <c r="M35" s="25"/>
      <c r="N35" s="25"/>
      <c r="O35" s="25"/>
      <c r="P35" s="22"/>
      <c r="Q35" s="44"/>
      <c r="R35" s="44"/>
      <c r="S35" s="44"/>
      <c r="T35" s="25"/>
      <c r="U35" s="25"/>
      <c r="V35" s="25"/>
      <c r="W35" s="25"/>
      <c r="X35" s="22"/>
      <c r="Y35" s="44"/>
      <c r="Z35" s="44"/>
      <c r="AA35" s="44"/>
      <c r="AB35" s="25"/>
      <c r="AC35" s="25"/>
      <c r="AD35" s="25"/>
      <c r="AE35" s="25"/>
    </row>
    <row r="36" spans="1:31" s="59" customFormat="1">
      <c r="A36" s="47" t="s">
        <v>121</v>
      </c>
      <c r="B36" s="47" t="s">
        <v>122</v>
      </c>
      <c r="C36" s="48">
        <v>43294</v>
      </c>
      <c r="D36" s="64">
        <v>28</v>
      </c>
      <c r="E36" s="47" t="s">
        <v>121</v>
      </c>
      <c r="F36" s="18" t="s">
        <v>2</v>
      </c>
      <c r="G36" s="18" t="s">
        <v>115</v>
      </c>
      <c r="H36" s="27" t="s">
        <v>285</v>
      </c>
      <c r="I36" s="24">
        <v>113</v>
      </c>
      <c r="J36" s="20" t="str">
        <f>VLOOKUP(G36,MD!M$2:O$93,3,FALSE)</f>
        <v>Qtx/ha</v>
      </c>
      <c r="K36" s="29">
        <v>1</v>
      </c>
      <c r="L36" s="27" t="s">
        <v>287</v>
      </c>
      <c r="M36" s="25"/>
      <c r="N36" s="25"/>
      <c r="O36" s="25"/>
      <c r="P36" s="22"/>
      <c r="Q36" s="44"/>
      <c r="R36" s="44"/>
      <c r="S36" s="44"/>
      <c r="T36" s="25"/>
      <c r="U36" s="25"/>
      <c r="V36" s="25"/>
      <c r="W36" s="25"/>
      <c r="X36" s="22"/>
      <c r="Y36" s="44"/>
      <c r="Z36" s="44"/>
      <c r="AA36" s="44"/>
      <c r="AB36" s="25"/>
      <c r="AC36" s="25"/>
      <c r="AD36" s="25"/>
      <c r="AE36" s="25"/>
    </row>
    <row r="37" spans="1:31">
      <c r="A37" s="47" t="s">
        <v>121</v>
      </c>
      <c r="B37" s="47" t="s">
        <v>270</v>
      </c>
      <c r="C37" s="48">
        <v>43322</v>
      </c>
      <c r="D37" s="64">
        <f t="shared" ref="D37:D64" si="0">WEEKNUM(C37)</f>
        <v>32</v>
      </c>
      <c r="E37" s="47" t="s">
        <v>123</v>
      </c>
      <c r="F37" s="18" t="s">
        <v>83</v>
      </c>
      <c r="G37" s="18" t="s">
        <v>37</v>
      </c>
      <c r="I37" s="24">
        <v>1</v>
      </c>
      <c r="J37" s="20" t="str">
        <f>VLOOKUP(G37,MD!M$2:O$93,3,FALSE)</f>
        <v>ha</v>
      </c>
      <c r="K37" s="29">
        <v>1</v>
      </c>
      <c r="P37" s="22"/>
      <c r="X37" s="22"/>
    </row>
    <row r="38" spans="1:31">
      <c r="A38" s="47" t="s">
        <v>121</v>
      </c>
      <c r="B38" s="47" t="s">
        <v>270</v>
      </c>
      <c r="C38" s="48">
        <v>43389</v>
      </c>
      <c r="D38" s="64">
        <f t="shared" si="0"/>
        <v>42</v>
      </c>
      <c r="E38" s="47" t="s">
        <v>123</v>
      </c>
      <c r="F38" s="18" t="s">
        <v>83</v>
      </c>
      <c r="G38" s="18" t="s">
        <v>63</v>
      </c>
      <c r="I38" s="24">
        <v>1</v>
      </c>
      <c r="J38" s="20" t="str">
        <f>VLOOKUP(G38,MD!M$2:O$93,3,FALSE)</f>
        <v>ha</v>
      </c>
      <c r="K38" s="29">
        <v>1</v>
      </c>
      <c r="P38" s="22"/>
      <c r="X38" s="22"/>
    </row>
    <row r="39" spans="1:31">
      <c r="A39" s="47" t="s">
        <v>121</v>
      </c>
      <c r="B39" s="47" t="s">
        <v>270</v>
      </c>
      <c r="C39" s="48">
        <v>43389</v>
      </c>
      <c r="D39" s="64">
        <f t="shared" si="0"/>
        <v>42</v>
      </c>
      <c r="E39" s="47" t="s">
        <v>123</v>
      </c>
      <c r="F39" s="18" t="s">
        <v>84</v>
      </c>
      <c r="G39" s="18" t="s">
        <v>76</v>
      </c>
      <c r="I39" s="24">
        <v>1</v>
      </c>
      <c r="J39" s="20" t="str">
        <f>VLOOKUP(G39,MD!M$2:O$93,3,FALSE)</f>
        <v>ha</v>
      </c>
      <c r="K39" s="29">
        <v>1</v>
      </c>
      <c r="P39" s="22"/>
      <c r="X39" s="22"/>
    </row>
    <row r="40" spans="1:31">
      <c r="A40" s="47" t="s">
        <v>121</v>
      </c>
      <c r="B40" s="47" t="s">
        <v>270</v>
      </c>
      <c r="C40" s="48">
        <v>43389</v>
      </c>
      <c r="D40" s="64">
        <f t="shared" si="0"/>
        <v>42</v>
      </c>
      <c r="E40" s="47" t="s">
        <v>123</v>
      </c>
      <c r="F40" s="18" t="s">
        <v>87</v>
      </c>
      <c r="G40" s="18" t="s">
        <v>93</v>
      </c>
      <c r="H40" s="27" t="s">
        <v>451</v>
      </c>
      <c r="I40" s="24">
        <v>250</v>
      </c>
      <c r="J40" s="20" t="str">
        <f>VLOOKUP(G40,MD!M$2:O$93,3,FALSE)</f>
        <v>gr./m2</v>
      </c>
      <c r="K40" s="29">
        <v>1</v>
      </c>
      <c r="L40" s="27">
        <f>250/1000*55/1000*10000</f>
        <v>137.5</v>
      </c>
      <c r="P40" s="22"/>
      <c r="X40" s="22"/>
    </row>
    <row r="41" spans="1:31" s="59" customFormat="1">
      <c r="A41" s="47" t="s">
        <v>121</v>
      </c>
      <c r="B41" s="47" t="s">
        <v>270</v>
      </c>
      <c r="C41" s="48">
        <v>43389</v>
      </c>
      <c r="D41" s="64">
        <f t="shared" si="0"/>
        <v>42</v>
      </c>
      <c r="E41" s="47" t="s">
        <v>123</v>
      </c>
      <c r="F41" s="18" t="s">
        <v>89</v>
      </c>
      <c r="G41" s="18" t="s">
        <v>133</v>
      </c>
      <c r="H41" s="27" t="s">
        <v>375</v>
      </c>
      <c r="I41" s="24"/>
      <c r="J41" s="20" t="str">
        <f>VLOOKUP(G41,MD!M$2:O$93,3,FALSE)</f>
        <v>Dose hom.</v>
      </c>
      <c r="K41" s="29">
        <v>1</v>
      </c>
      <c r="L41" s="27" t="s">
        <v>379</v>
      </c>
      <c r="M41" s="25" t="s">
        <v>376</v>
      </c>
      <c r="N41" s="25">
        <f>15*0.1*250*0.056*0.00001*10000</f>
        <v>2.1</v>
      </c>
      <c r="O41" s="25" t="s">
        <v>358</v>
      </c>
      <c r="P41" s="22"/>
      <c r="Q41" s="44"/>
      <c r="R41" s="44"/>
      <c r="S41" s="44"/>
      <c r="T41" s="25"/>
      <c r="U41" s="25"/>
      <c r="V41" s="25"/>
      <c r="W41" s="25"/>
      <c r="X41" s="22"/>
      <c r="Y41" s="44"/>
      <c r="Z41" s="44"/>
      <c r="AA41" s="44"/>
      <c r="AB41" s="25"/>
      <c r="AC41" s="25"/>
      <c r="AD41" s="25"/>
      <c r="AE41" s="25"/>
    </row>
    <row r="42" spans="1:31" s="59" customFormat="1">
      <c r="A42" s="47" t="s">
        <v>121</v>
      </c>
      <c r="B42" s="47" t="s">
        <v>270</v>
      </c>
      <c r="C42" s="48">
        <v>43389</v>
      </c>
      <c r="D42" s="64">
        <f t="shared" si="0"/>
        <v>42</v>
      </c>
      <c r="E42" s="47" t="s">
        <v>123</v>
      </c>
      <c r="F42" s="18" t="s">
        <v>89</v>
      </c>
      <c r="G42" s="18" t="s">
        <v>133</v>
      </c>
      <c r="H42" s="27" t="s">
        <v>377</v>
      </c>
      <c r="I42" s="24"/>
      <c r="J42" s="20" t="str">
        <f>VLOOKUP(G42,MD!M$2:O$93,3,FALSE)</f>
        <v>Dose hom.</v>
      </c>
      <c r="K42" s="29">
        <v>1</v>
      </c>
      <c r="L42" s="27" t="s">
        <v>380</v>
      </c>
      <c r="M42" s="25" t="s">
        <v>378</v>
      </c>
      <c r="N42" s="104">
        <f>125*0.2*250*0.056*0.00001*10000</f>
        <v>35</v>
      </c>
      <c r="O42" s="25" t="s">
        <v>358</v>
      </c>
      <c r="P42" s="22"/>
      <c r="Q42" s="44"/>
      <c r="R42" s="44"/>
      <c r="S42" s="44"/>
      <c r="T42" s="25"/>
      <c r="U42" s="25"/>
      <c r="V42" s="25"/>
      <c r="W42" s="25"/>
      <c r="X42" s="22"/>
      <c r="Y42" s="44"/>
      <c r="Z42" s="44"/>
      <c r="AA42" s="44"/>
      <c r="AB42" s="25"/>
      <c r="AC42" s="25"/>
      <c r="AD42" s="25"/>
      <c r="AE42" s="25"/>
    </row>
    <row r="43" spans="1:31">
      <c r="A43" s="47" t="s">
        <v>121</v>
      </c>
      <c r="B43" s="47" t="s">
        <v>270</v>
      </c>
      <c r="C43" s="48">
        <v>43390</v>
      </c>
      <c r="D43" s="64">
        <f t="shared" si="0"/>
        <v>42</v>
      </c>
      <c r="E43" s="47" t="s">
        <v>121</v>
      </c>
      <c r="F43" s="18" t="s">
        <v>83</v>
      </c>
      <c r="G43" s="18" t="s">
        <v>56</v>
      </c>
      <c r="I43" s="24">
        <v>1</v>
      </c>
      <c r="J43" s="20" t="str">
        <f>VLOOKUP(G43,MD!M$2:O$93,3,FALSE)</f>
        <v>ha</v>
      </c>
      <c r="K43" s="29">
        <v>1</v>
      </c>
      <c r="P43" s="22"/>
      <c r="X43" s="22"/>
    </row>
    <row r="44" spans="1:31" s="59" customFormat="1">
      <c r="A44" s="47" t="s">
        <v>121</v>
      </c>
      <c r="B44" s="47" t="s">
        <v>270</v>
      </c>
      <c r="C44" s="48">
        <v>43427</v>
      </c>
      <c r="D44" s="64">
        <f t="shared" si="0"/>
        <v>47</v>
      </c>
      <c r="E44" s="47" t="s">
        <v>121</v>
      </c>
      <c r="F44" s="18" t="s">
        <v>86</v>
      </c>
      <c r="G44" s="18" t="s">
        <v>64</v>
      </c>
      <c r="H44" s="27"/>
      <c r="I44" s="24">
        <v>1</v>
      </c>
      <c r="J44" s="20" t="str">
        <f>VLOOKUP(G44,MD!M$2:O$93,3,FALSE)</f>
        <v>ha</v>
      </c>
      <c r="K44" s="29">
        <v>1</v>
      </c>
      <c r="L44" s="27"/>
      <c r="M44" s="25"/>
      <c r="N44" s="25"/>
      <c r="O44" s="25"/>
      <c r="P44" s="22"/>
      <c r="Q44" s="44"/>
      <c r="R44" s="44"/>
      <c r="S44" s="44"/>
      <c r="T44" s="25"/>
      <c r="U44" s="25"/>
      <c r="V44" s="25"/>
      <c r="W44" s="25"/>
      <c r="X44" s="22"/>
      <c r="Y44" s="44"/>
      <c r="Z44" s="44"/>
      <c r="AA44" s="44"/>
      <c r="AB44" s="25"/>
      <c r="AC44" s="25"/>
      <c r="AD44" s="25"/>
      <c r="AE44" s="25"/>
    </row>
    <row r="45" spans="1:31" s="59" customFormat="1">
      <c r="A45" s="47" t="s">
        <v>121</v>
      </c>
      <c r="B45" s="47" t="s">
        <v>270</v>
      </c>
      <c r="C45" s="48">
        <v>43427</v>
      </c>
      <c r="D45" s="64">
        <f t="shared" si="0"/>
        <v>47</v>
      </c>
      <c r="E45" s="47" t="s">
        <v>121</v>
      </c>
      <c r="F45" s="18" t="s">
        <v>89</v>
      </c>
      <c r="G45" s="18" t="s">
        <v>113</v>
      </c>
      <c r="H45" s="27" t="s">
        <v>338</v>
      </c>
      <c r="I45" s="102">
        <f>0.4/0.6</f>
        <v>0.66666666666666674</v>
      </c>
      <c r="J45" s="20" t="str">
        <f>VLOOKUP(G45,MD!M$2:O$93,3,FALSE)</f>
        <v>Dose hom.</v>
      </c>
      <c r="K45" s="29">
        <v>1</v>
      </c>
      <c r="L45" s="27" t="s">
        <v>342</v>
      </c>
      <c r="M45" s="25" t="s">
        <v>339</v>
      </c>
      <c r="N45" s="25">
        <v>80</v>
      </c>
      <c r="O45" s="25" t="s">
        <v>358</v>
      </c>
      <c r="P45" s="22"/>
      <c r="Q45" s="44"/>
      <c r="R45" s="44"/>
      <c r="S45" s="44"/>
      <c r="T45" s="25"/>
      <c r="U45" s="25"/>
      <c r="V45" s="25"/>
      <c r="W45" s="25"/>
      <c r="X45" s="22"/>
      <c r="Y45" s="44"/>
      <c r="Z45" s="44"/>
      <c r="AA45" s="44"/>
      <c r="AB45" s="25"/>
      <c r="AC45" s="25"/>
      <c r="AD45" s="25"/>
      <c r="AE45" s="25"/>
    </row>
    <row r="46" spans="1:31" s="59" customFormat="1">
      <c r="A46" s="47" t="s">
        <v>121</v>
      </c>
      <c r="B46" s="47" t="s">
        <v>270</v>
      </c>
      <c r="C46" s="48">
        <v>43427</v>
      </c>
      <c r="D46" s="64">
        <f t="shared" si="0"/>
        <v>47</v>
      </c>
      <c r="E46" s="47" t="s">
        <v>121</v>
      </c>
      <c r="F46" s="18" t="s">
        <v>89</v>
      </c>
      <c r="G46" s="18" t="s">
        <v>113</v>
      </c>
      <c r="H46" s="27" t="s">
        <v>341</v>
      </c>
      <c r="I46" s="102">
        <f>0.4/0.6</f>
        <v>0.66666666666666674</v>
      </c>
      <c r="J46" s="20" t="str">
        <f>VLOOKUP(G46,MD!M$2:O$93,3,FALSE)</f>
        <v>Dose hom.</v>
      </c>
      <c r="K46" s="29">
        <v>1</v>
      </c>
      <c r="L46" s="27" t="s">
        <v>343</v>
      </c>
      <c r="M46" s="25" t="s">
        <v>340</v>
      </c>
      <c r="N46" s="25">
        <v>160</v>
      </c>
      <c r="O46" s="25" t="s">
        <v>358</v>
      </c>
      <c r="P46" s="22"/>
      <c r="Q46" s="44"/>
      <c r="R46" s="44"/>
      <c r="S46" s="44"/>
      <c r="T46" s="25"/>
      <c r="U46" s="25"/>
      <c r="V46" s="25"/>
      <c r="W46" s="25"/>
      <c r="X46" s="22"/>
      <c r="Y46" s="44"/>
      <c r="Z46" s="44"/>
      <c r="AA46" s="44"/>
      <c r="AB46" s="25"/>
      <c r="AC46" s="25"/>
      <c r="AD46" s="25"/>
      <c r="AE46" s="25"/>
    </row>
    <row r="47" spans="1:31" s="59" customFormat="1">
      <c r="A47" s="47" t="s">
        <v>121</v>
      </c>
      <c r="B47" s="47" t="s">
        <v>270</v>
      </c>
      <c r="C47" s="48">
        <v>43512</v>
      </c>
      <c r="D47" s="64">
        <f t="shared" si="0"/>
        <v>7</v>
      </c>
      <c r="E47" s="47" t="s">
        <v>121</v>
      </c>
      <c r="F47" s="18" t="s">
        <v>85</v>
      </c>
      <c r="G47" s="18" t="s">
        <v>67</v>
      </c>
      <c r="H47" s="27"/>
      <c r="I47" s="24">
        <v>1</v>
      </c>
      <c r="J47" s="20" t="str">
        <f>VLOOKUP(G47,MD!M$2:O$93,3,FALSE)</f>
        <v>ha</v>
      </c>
      <c r="K47" s="29">
        <v>1</v>
      </c>
      <c r="L47" s="27"/>
      <c r="M47" s="25"/>
      <c r="N47" s="25"/>
      <c r="O47" s="25"/>
      <c r="P47" s="22"/>
      <c r="Q47" s="44"/>
      <c r="R47" s="44"/>
      <c r="S47" s="44"/>
      <c r="T47" s="25"/>
      <c r="U47" s="25"/>
      <c r="V47" s="25"/>
      <c r="W47" s="25"/>
      <c r="X47" s="22"/>
      <c r="Y47" s="44"/>
      <c r="Z47" s="44"/>
      <c r="AA47" s="44"/>
      <c r="AB47" s="25"/>
      <c r="AC47" s="25"/>
      <c r="AD47" s="25"/>
      <c r="AE47" s="25"/>
    </row>
    <row r="48" spans="1:31" s="59" customFormat="1">
      <c r="A48" s="47" t="s">
        <v>121</v>
      </c>
      <c r="B48" s="47" t="s">
        <v>270</v>
      </c>
      <c r="C48" s="48">
        <v>43512</v>
      </c>
      <c r="D48" s="64">
        <f t="shared" si="0"/>
        <v>7</v>
      </c>
      <c r="E48" s="47" t="s">
        <v>121</v>
      </c>
      <c r="F48" s="18" t="s">
        <v>88</v>
      </c>
      <c r="G48" s="18" t="s">
        <v>406</v>
      </c>
      <c r="H48" s="27" t="s">
        <v>403</v>
      </c>
      <c r="I48" s="24">
        <v>100</v>
      </c>
      <c r="J48" s="20" t="str">
        <f>VLOOKUP(G48,MD!M$2:O$93,3,FALSE)</f>
        <v>l/ha</v>
      </c>
      <c r="K48" s="29">
        <v>1</v>
      </c>
      <c r="L48" s="27"/>
      <c r="M48" s="25"/>
      <c r="N48" s="25"/>
      <c r="O48" s="25"/>
      <c r="P48" s="22"/>
      <c r="Q48" s="44"/>
      <c r="R48" s="44"/>
      <c r="S48" s="44"/>
      <c r="T48" s="25"/>
      <c r="U48" s="25"/>
      <c r="V48" s="25"/>
      <c r="W48" s="25"/>
      <c r="X48" s="22"/>
      <c r="Y48" s="44"/>
      <c r="Z48" s="44"/>
      <c r="AA48" s="44"/>
      <c r="AB48" s="25"/>
      <c r="AC48" s="25"/>
      <c r="AD48" s="25"/>
      <c r="AE48" s="25"/>
    </row>
    <row r="49" spans="1:31" s="59" customFormat="1">
      <c r="A49" s="47" t="s">
        <v>121</v>
      </c>
      <c r="B49" s="47" t="s">
        <v>270</v>
      </c>
      <c r="C49" s="48">
        <v>43541</v>
      </c>
      <c r="D49" s="64">
        <f t="shared" si="0"/>
        <v>12</v>
      </c>
      <c r="E49" s="47" t="s">
        <v>121</v>
      </c>
      <c r="F49" s="18" t="s">
        <v>85</v>
      </c>
      <c r="G49" s="18" t="s">
        <v>67</v>
      </c>
      <c r="H49" s="27"/>
      <c r="I49" s="24">
        <v>1</v>
      </c>
      <c r="J49" s="20" t="str">
        <f>VLOOKUP(G49,MD!M$2:O$93,3,FALSE)</f>
        <v>ha</v>
      </c>
      <c r="K49" s="29">
        <v>1</v>
      </c>
      <c r="L49" s="27"/>
      <c r="M49" s="25"/>
      <c r="N49" s="25"/>
      <c r="O49" s="25"/>
      <c r="P49" s="22"/>
      <c r="Q49" s="44"/>
      <c r="R49" s="44"/>
      <c r="S49" s="44"/>
      <c r="T49" s="25"/>
      <c r="U49" s="25"/>
      <c r="V49" s="25"/>
      <c r="W49" s="25"/>
      <c r="X49" s="22"/>
      <c r="Y49" s="44"/>
      <c r="Z49" s="44"/>
      <c r="AA49" s="44"/>
      <c r="AB49" s="25"/>
      <c r="AC49" s="25"/>
      <c r="AD49" s="25"/>
      <c r="AE49" s="25"/>
    </row>
    <row r="50" spans="1:31" s="59" customFormat="1">
      <c r="A50" s="47" t="s">
        <v>121</v>
      </c>
      <c r="B50" s="47" t="s">
        <v>270</v>
      </c>
      <c r="C50" s="48">
        <v>43541</v>
      </c>
      <c r="D50" s="64">
        <f t="shared" si="0"/>
        <v>12</v>
      </c>
      <c r="E50" s="47" t="s">
        <v>121</v>
      </c>
      <c r="F50" s="18" t="s">
        <v>88</v>
      </c>
      <c r="G50" s="18" t="s">
        <v>191</v>
      </c>
      <c r="H50" s="27" t="s">
        <v>209</v>
      </c>
      <c r="I50" s="24">
        <v>145</v>
      </c>
      <c r="J50" s="20" t="str">
        <f>VLOOKUP(G50,MD!M$2:O$93,3,FALSE)</f>
        <v>l/ha</v>
      </c>
      <c r="K50" s="29">
        <v>1</v>
      </c>
      <c r="L50" s="27"/>
      <c r="M50" s="25"/>
      <c r="N50" s="25"/>
      <c r="O50" s="25"/>
      <c r="P50" s="22"/>
      <c r="Q50" s="44"/>
      <c r="R50" s="44"/>
      <c r="S50" s="44"/>
      <c r="T50" s="25"/>
      <c r="U50" s="25"/>
      <c r="V50" s="25"/>
      <c r="W50" s="25"/>
      <c r="X50" s="22"/>
      <c r="Y50" s="44"/>
      <c r="Z50" s="44"/>
      <c r="AA50" s="44"/>
      <c r="AB50" s="25"/>
      <c r="AC50" s="25"/>
      <c r="AD50" s="25"/>
      <c r="AE50" s="25"/>
    </row>
    <row r="51" spans="1:31" s="59" customFormat="1">
      <c r="A51" s="47" t="s">
        <v>121</v>
      </c>
      <c r="B51" s="47" t="s">
        <v>270</v>
      </c>
      <c r="C51" s="48">
        <v>43574</v>
      </c>
      <c r="D51" s="64">
        <f t="shared" si="0"/>
        <v>16</v>
      </c>
      <c r="E51" s="47" t="s">
        <v>121</v>
      </c>
      <c r="F51" s="18" t="s">
        <v>86</v>
      </c>
      <c r="G51" s="18" t="s">
        <v>64</v>
      </c>
      <c r="H51" s="27"/>
      <c r="I51" s="24">
        <v>1</v>
      </c>
      <c r="J51" s="20" t="str">
        <f>VLOOKUP(G51,MD!M$2:O$93,3,FALSE)</f>
        <v>ha</v>
      </c>
      <c r="K51" s="29">
        <v>1</v>
      </c>
      <c r="L51" s="27"/>
      <c r="M51" s="25"/>
      <c r="N51" s="25"/>
      <c r="O51" s="25"/>
      <c r="P51" s="22"/>
      <c r="Q51" s="44"/>
      <c r="R51" s="44"/>
      <c r="S51" s="44"/>
      <c r="T51" s="25"/>
      <c r="U51" s="25"/>
      <c r="V51" s="25"/>
      <c r="W51" s="25"/>
      <c r="X51" s="22"/>
      <c r="Y51" s="44"/>
      <c r="Z51" s="44"/>
      <c r="AA51" s="44"/>
      <c r="AB51" s="25"/>
      <c r="AC51" s="25"/>
      <c r="AD51" s="25"/>
      <c r="AE51" s="25"/>
    </row>
    <row r="52" spans="1:31">
      <c r="A52" s="47" t="s">
        <v>121</v>
      </c>
      <c r="B52" s="47" t="s">
        <v>270</v>
      </c>
      <c r="C52" s="48">
        <v>43574</v>
      </c>
      <c r="D52" s="64">
        <f t="shared" si="0"/>
        <v>16</v>
      </c>
      <c r="E52" s="47" t="s">
        <v>121</v>
      </c>
      <c r="F52" s="18" t="s">
        <v>89</v>
      </c>
      <c r="G52" s="18" t="s">
        <v>110</v>
      </c>
      <c r="H52" s="27" t="s">
        <v>465</v>
      </c>
      <c r="I52" s="57">
        <f>0.25/0.75</f>
        <v>0.33333333333333331</v>
      </c>
      <c r="J52" s="20" t="str">
        <f>VLOOKUP(G52,MD!M$2:O$93,3,FALSE)</f>
        <v>Dose hom.</v>
      </c>
      <c r="K52" s="29">
        <v>1</v>
      </c>
      <c r="L52" s="27" t="s">
        <v>569</v>
      </c>
      <c r="M52" s="25" t="s">
        <v>467</v>
      </c>
      <c r="N52" s="25">
        <f>50*0.25</f>
        <v>12.5</v>
      </c>
      <c r="O52" s="25" t="s">
        <v>358</v>
      </c>
      <c r="P52" s="22"/>
      <c r="X52" s="22"/>
    </row>
    <row r="53" spans="1:31">
      <c r="A53" s="47" t="s">
        <v>121</v>
      </c>
      <c r="B53" s="47" t="s">
        <v>270</v>
      </c>
      <c r="C53" s="48">
        <v>43574</v>
      </c>
      <c r="D53" s="64">
        <f t="shared" si="0"/>
        <v>16</v>
      </c>
      <c r="E53" s="47" t="s">
        <v>121</v>
      </c>
      <c r="F53" s="18" t="s">
        <v>89</v>
      </c>
      <c r="G53" s="18" t="s">
        <v>110</v>
      </c>
      <c r="H53" s="27" t="s">
        <v>468</v>
      </c>
      <c r="I53" s="57">
        <f>0.25/0.75</f>
        <v>0.33333333333333331</v>
      </c>
      <c r="J53" s="20" t="str">
        <f>VLOOKUP(G53,MD!M$2:O$93,3,FALSE)</f>
        <v>Dose hom.</v>
      </c>
      <c r="K53" s="29">
        <v>1</v>
      </c>
      <c r="L53" s="27" t="s">
        <v>570</v>
      </c>
      <c r="M53" s="25" t="s">
        <v>469</v>
      </c>
      <c r="N53" s="25">
        <f>75*0.25</f>
        <v>18.75</v>
      </c>
      <c r="O53" s="25" t="s">
        <v>358</v>
      </c>
      <c r="P53" s="22"/>
      <c r="X53" s="22"/>
    </row>
    <row r="54" spans="1:31" s="59" customFormat="1">
      <c r="A54" s="47" t="s">
        <v>121</v>
      </c>
      <c r="B54" s="47" t="s">
        <v>270</v>
      </c>
      <c r="C54" s="48">
        <v>43581</v>
      </c>
      <c r="D54" s="64">
        <f t="shared" si="0"/>
        <v>17</v>
      </c>
      <c r="E54" s="47" t="s">
        <v>121</v>
      </c>
      <c r="F54" s="18" t="s">
        <v>85</v>
      </c>
      <c r="G54" s="18" t="s">
        <v>67</v>
      </c>
      <c r="H54" s="27"/>
      <c r="I54" s="24">
        <v>1</v>
      </c>
      <c r="J54" s="20" t="str">
        <f>VLOOKUP(G54,MD!M$2:O$93,3,FALSE)</f>
        <v>ha</v>
      </c>
      <c r="K54" s="29">
        <v>1</v>
      </c>
      <c r="L54" s="27"/>
      <c r="M54" s="25"/>
      <c r="N54" s="25"/>
      <c r="O54" s="25"/>
      <c r="P54" s="22"/>
      <c r="Q54" s="44"/>
      <c r="R54" s="44"/>
      <c r="S54" s="44"/>
      <c r="T54" s="25"/>
      <c r="U54" s="25"/>
      <c r="V54" s="25"/>
      <c r="W54" s="25"/>
      <c r="X54" s="22"/>
      <c r="Y54" s="44"/>
      <c r="Z54" s="44"/>
      <c r="AA54" s="44"/>
      <c r="AB54" s="25"/>
      <c r="AC54" s="25"/>
      <c r="AD54" s="25"/>
      <c r="AE54" s="25"/>
    </row>
    <row r="55" spans="1:31" s="59" customFormat="1">
      <c r="A55" s="47" t="s">
        <v>121</v>
      </c>
      <c r="B55" s="47" t="s">
        <v>270</v>
      </c>
      <c r="C55" s="48">
        <v>43581</v>
      </c>
      <c r="D55" s="64">
        <f t="shared" si="0"/>
        <v>17</v>
      </c>
      <c r="E55" s="47" t="s">
        <v>121</v>
      </c>
      <c r="F55" s="18" t="s">
        <v>88</v>
      </c>
      <c r="G55" s="18" t="s">
        <v>191</v>
      </c>
      <c r="H55" s="27" t="s">
        <v>482</v>
      </c>
      <c r="I55" s="24">
        <v>145</v>
      </c>
      <c r="J55" s="20" t="str">
        <f>VLOOKUP(G55,MD!M$2:O$93,3,FALSE)</f>
        <v>l/ha</v>
      </c>
      <c r="K55" s="29">
        <v>1</v>
      </c>
      <c r="L55" s="27"/>
      <c r="M55" s="25"/>
      <c r="N55" s="25"/>
      <c r="O55" s="25"/>
      <c r="P55" s="22"/>
      <c r="Q55" s="44"/>
      <c r="R55" s="44"/>
      <c r="S55" s="44"/>
      <c r="T55" s="25"/>
      <c r="U55" s="25"/>
      <c r="V55" s="25"/>
      <c r="W55" s="25"/>
      <c r="X55" s="22"/>
      <c r="Y55" s="44"/>
      <c r="Z55" s="44"/>
      <c r="AA55" s="44"/>
      <c r="AB55" s="25"/>
      <c r="AC55" s="25"/>
      <c r="AD55" s="25"/>
      <c r="AE55" s="25"/>
    </row>
    <row r="56" spans="1:31" s="59" customFormat="1">
      <c r="A56" s="47" t="s">
        <v>121</v>
      </c>
      <c r="B56" s="47" t="s">
        <v>270</v>
      </c>
      <c r="C56" s="48">
        <v>43585</v>
      </c>
      <c r="D56" s="64">
        <f t="shared" si="0"/>
        <v>18</v>
      </c>
      <c r="E56" s="47" t="s">
        <v>121</v>
      </c>
      <c r="F56" s="18" t="s">
        <v>86</v>
      </c>
      <c r="G56" s="18" t="s">
        <v>64</v>
      </c>
      <c r="H56" s="27"/>
      <c r="I56" s="24">
        <v>0.15</v>
      </c>
      <c r="J56" s="20" t="str">
        <f>VLOOKUP(G56,MD!M$2:O$93,3,FALSE)</f>
        <v>ha</v>
      </c>
      <c r="K56" s="29">
        <f>0.15/1</f>
        <v>0.15</v>
      </c>
      <c r="L56" s="27"/>
      <c r="M56" s="25"/>
      <c r="N56" s="25"/>
      <c r="O56" s="25"/>
      <c r="P56" s="22"/>
      <c r="Q56" s="44"/>
      <c r="R56" s="44"/>
      <c r="S56" s="44"/>
      <c r="T56" s="25"/>
      <c r="U56" s="25"/>
      <c r="V56" s="25"/>
      <c r="W56" s="25"/>
      <c r="X56" s="22"/>
      <c r="Y56" s="44"/>
      <c r="Z56" s="44"/>
      <c r="AA56" s="44"/>
      <c r="AB56" s="25"/>
      <c r="AC56" s="25"/>
      <c r="AD56" s="25"/>
      <c r="AE56" s="25"/>
    </row>
    <row r="57" spans="1:31">
      <c r="A57" s="47" t="s">
        <v>121</v>
      </c>
      <c r="B57" s="47" t="s">
        <v>270</v>
      </c>
      <c r="C57" s="48">
        <v>43585</v>
      </c>
      <c r="D57" s="64">
        <f t="shared" si="0"/>
        <v>18</v>
      </c>
      <c r="E57" s="47" t="s">
        <v>121</v>
      </c>
      <c r="F57" s="18" t="s">
        <v>89</v>
      </c>
      <c r="G57" s="18" t="s">
        <v>113</v>
      </c>
      <c r="H57" s="27" t="s">
        <v>483</v>
      </c>
      <c r="I57" s="57">
        <f>1/1.3</f>
        <v>0.76923076923076916</v>
      </c>
      <c r="J57" s="20" t="str">
        <f>VLOOKUP(G57,MD!M$2:O$93,3,FALSE)</f>
        <v>Dose hom.</v>
      </c>
      <c r="K57" s="29">
        <f>0.15/1</f>
        <v>0.15</v>
      </c>
      <c r="L57" s="27" t="s">
        <v>489</v>
      </c>
      <c r="M57" s="25" t="s">
        <v>484</v>
      </c>
      <c r="N57" s="25" t="s">
        <v>540</v>
      </c>
      <c r="O57" s="25" t="s">
        <v>358</v>
      </c>
      <c r="P57" s="22">
        <f>8.985*61.25/1000</f>
        <v>0.55033124999999994</v>
      </c>
      <c r="X57" s="22"/>
    </row>
    <row r="58" spans="1:31">
      <c r="A58" s="47" t="s">
        <v>121</v>
      </c>
      <c r="B58" s="47" t="s">
        <v>270</v>
      </c>
      <c r="C58" s="48">
        <v>43585</v>
      </c>
      <c r="D58" s="64">
        <f t="shared" si="0"/>
        <v>18</v>
      </c>
      <c r="E58" s="47" t="s">
        <v>121</v>
      </c>
      <c r="F58" s="18" t="s">
        <v>89</v>
      </c>
      <c r="G58" s="18" t="s">
        <v>113</v>
      </c>
      <c r="H58" s="27" t="s">
        <v>487</v>
      </c>
      <c r="I58" s="57">
        <f>1/1.3</f>
        <v>0.76923076923076916</v>
      </c>
      <c r="J58" s="20" t="str">
        <f>VLOOKUP(G58,MD!M$2:O$93,3,FALSE)</f>
        <v>Dose hom.</v>
      </c>
      <c r="K58" s="29">
        <f>0.15/1</f>
        <v>0.15</v>
      </c>
      <c r="L58" s="27" t="s">
        <v>490</v>
      </c>
      <c r="M58" s="25" t="s">
        <v>486</v>
      </c>
      <c r="N58" s="103" t="s">
        <v>541</v>
      </c>
      <c r="O58" s="25" t="s">
        <v>358</v>
      </c>
      <c r="P58" s="22">
        <f>295*61.25/1000</f>
        <v>18.068750000000001</v>
      </c>
      <c r="X58" s="22"/>
    </row>
    <row r="59" spans="1:31">
      <c r="A59" s="47" t="s">
        <v>121</v>
      </c>
      <c r="B59" s="47" t="s">
        <v>270</v>
      </c>
      <c r="C59" s="48">
        <v>43585</v>
      </c>
      <c r="D59" s="64">
        <f t="shared" si="0"/>
        <v>18</v>
      </c>
      <c r="E59" s="47" t="s">
        <v>121</v>
      </c>
      <c r="F59" s="18" t="s">
        <v>89</v>
      </c>
      <c r="G59" s="18" t="s">
        <v>113</v>
      </c>
      <c r="H59" s="27" t="s">
        <v>488</v>
      </c>
      <c r="I59" s="57">
        <f>1/1.3</f>
        <v>0.76923076923076916</v>
      </c>
      <c r="J59" s="20" t="str">
        <f>VLOOKUP(G59,MD!M$2:O$93,3,FALSE)</f>
        <v>Dose hom.</v>
      </c>
      <c r="K59" s="29">
        <f>0.15/1</f>
        <v>0.15</v>
      </c>
      <c r="L59" s="27" t="s">
        <v>491</v>
      </c>
      <c r="M59" s="25" t="s">
        <v>485</v>
      </c>
      <c r="N59" s="25" t="s">
        <v>542</v>
      </c>
      <c r="O59" s="25" t="s">
        <v>358</v>
      </c>
      <c r="P59" s="22"/>
      <c r="X59" s="22"/>
    </row>
    <row r="60" spans="1:31" s="59" customFormat="1">
      <c r="A60" s="47" t="s">
        <v>121</v>
      </c>
      <c r="B60" s="47" t="s">
        <v>270</v>
      </c>
      <c r="C60" s="48">
        <v>43602</v>
      </c>
      <c r="D60" s="64">
        <f t="shared" si="0"/>
        <v>20</v>
      </c>
      <c r="E60" s="47" t="s">
        <v>121</v>
      </c>
      <c r="F60" s="18" t="s">
        <v>86</v>
      </c>
      <c r="G60" s="18" t="s">
        <v>64</v>
      </c>
      <c r="H60" s="27"/>
      <c r="I60" s="24">
        <v>1</v>
      </c>
      <c r="J60" s="20" t="str">
        <f>VLOOKUP(G60,MD!M$2:O$93,3,FALSE)</f>
        <v>ha</v>
      </c>
      <c r="K60" s="29">
        <v>1</v>
      </c>
      <c r="L60" s="27"/>
      <c r="M60" s="25"/>
      <c r="N60" s="25"/>
      <c r="O60" s="25"/>
      <c r="P60" s="22"/>
      <c r="Q60" s="44"/>
      <c r="R60" s="44"/>
      <c r="S60" s="44"/>
      <c r="T60" s="25"/>
      <c r="U60" s="25"/>
      <c r="V60" s="25"/>
      <c r="W60" s="25"/>
      <c r="X60" s="22"/>
      <c r="Y60" s="44"/>
      <c r="Z60" s="44"/>
      <c r="AA60" s="44"/>
      <c r="AB60" s="25"/>
      <c r="AC60" s="25"/>
      <c r="AD60" s="25"/>
      <c r="AE60" s="25"/>
    </row>
    <row r="61" spans="1:31">
      <c r="A61" s="47" t="s">
        <v>121</v>
      </c>
      <c r="B61" s="47" t="s">
        <v>270</v>
      </c>
      <c r="C61" s="48">
        <v>43602</v>
      </c>
      <c r="D61" s="64">
        <f t="shared" si="0"/>
        <v>20</v>
      </c>
      <c r="E61" s="47" t="s">
        <v>121</v>
      </c>
      <c r="F61" s="18" t="s">
        <v>89</v>
      </c>
      <c r="G61" s="18" t="s">
        <v>112</v>
      </c>
      <c r="H61" s="27" t="s">
        <v>472</v>
      </c>
      <c r="I61" s="57">
        <f>0.1/0.75</f>
        <v>0.13333333333333333</v>
      </c>
      <c r="J61" s="20" t="str">
        <f>VLOOKUP(G61,MD!M$2:O$93,3,FALSE)</f>
        <v>Dose hom.</v>
      </c>
      <c r="K61" s="29">
        <v>1</v>
      </c>
      <c r="L61" s="27" t="s">
        <v>543</v>
      </c>
      <c r="M61" s="25" t="s">
        <v>471</v>
      </c>
      <c r="N61" s="25">
        <v>10</v>
      </c>
      <c r="O61" s="25" t="s">
        <v>358</v>
      </c>
      <c r="P61" s="22"/>
      <c r="X61" s="22"/>
    </row>
    <row r="62" spans="1:31" s="59" customFormat="1">
      <c r="A62" s="47" t="s">
        <v>121</v>
      </c>
      <c r="B62" s="47" t="s">
        <v>270</v>
      </c>
      <c r="C62" s="48">
        <v>43602</v>
      </c>
      <c r="D62" s="64">
        <f t="shared" si="0"/>
        <v>20</v>
      </c>
      <c r="E62" s="47" t="s">
        <v>121</v>
      </c>
      <c r="F62" s="18" t="s">
        <v>89</v>
      </c>
      <c r="G62" s="18" t="s">
        <v>112</v>
      </c>
      <c r="H62" s="27" t="s">
        <v>544</v>
      </c>
      <c r="I62" s="57">
        <f>0.4/1</f>
        <v>0.4</v>
      </c>
      <c r="J62" s="20" t="str">
        <f>VLOOKUP(G62,MD!M$2:O$93,3,FALSE)</f>
        <v>Dose hom.</v>
      </c>
      <c r="K62" s="29">
        <v>1</v>
      </c>
      <c r="L62" s="27" t="s">
        <v>545</v>
      </c>
      <c r="M62" s="25" t="s">
        <v>471</v>
      </c>
      <c r="N62" s="25">
        <v>30</v>
      </c>
      <c r="O62" s="25" t="s">
        <v>358</v>
      </c>
      <c r="P62" s="22"/>
      <c r="Q62" s="44"/>
      <c r="R62" s="44"/>
      <c r="S62" s="44"/>
      <c r="T62" s="25"/>
      <c r="U62" s="25"/>
      <c r="V62" s="25"/>
      <c r="W62" s="25"/>
      <c r="X62" s="22"/>
      <c r="Y62" s="44"/>
      <c r="Z62" s="44"/>
      <c r="AA62" s="44"/>
      <c r="AB62" s="25"/>
      <c r="AC62" s="25"/>
      <c r="AD62" s="25"/>
      <c r="AE62" s="25"/>
    </row>
    <row r="63" spans="1:31" s="59" customFormat="1">
      <c r="A63" s="47" t="s">
        <v>121</v>
      </c>
      <c r="B63" s="47" t="s">
        <v>270</v>
      </c>
      <c r="C63" s="48">
        <v>43602</v>
      </c>
      <c r="D63" s="64">
        <f t="shared" si="0"/>
        <v>20</v>
      </c>
      <c r="E63" s="47" t="s">
        <v>121</v>
      </c>
      <c r="F63" s="18" t="s">
        <v>89</v>
      </c>
      <c r="G63" s="18" t="s">
        <v>112</v>
      </c>
      <c r="H63" s="27" t="s">
        <v>546</v>
      </c>
      <c r="I63" s="57">
        <f>0.4/1</f>
        <v>0.4</v>
      </c>
      <c r="J63" s="20" t="str">
        <f>VLOOKUP(G63,MD!M$2:O$93,3,FALSE)</f>
        <v>Dose hom.</v>
      </c>
      <c r="K63" s="29">
        <v>1</v>
      </c>
      <c r="L63" s="27" t="s">
        <v>547</v>
      </c>
      <c r="M63" s="25" t="s">
        <v>367</v>
      </c>
      <c r="N63" s="25">
        <v>60</v>
      </c>
      <c r="O63" s="25" t="s">
        <v>358</v>
      </c>
      <c r="P63" s="22"/>
      <c r="Q63" s="44"/>
      <c r="R63" s="44"/>
      <c r="S63" s="44"/>
      <c r="T63" s="25"/>
      <c r="U63" s="25"/>
      <c r="V63" s="25"/>
      <c r="W63" s="25"/>
      <c r="X63" s="22"/>
      <c r="Y63" s="44"/>
      <c r="Z63" s="44"/>
      <c r="AA63" s="44"/>
      <c r="AB63" s="25"/>
      <c r="AC63" s="25"/>
      <c r="AD63" s="25"/>
      <c r="AE63" s="25"/>
    </row>
    <row r="64" spans="1:31" s="59" customFormat="1">
      <c r="A64" s="47" t="s">
        <v>121</v>
      </c>
      <c r="B64" s="47" t="s">
        <v>270</v>
      </c>
      <c r="C64" s="48">
        <v>43602</v>
      </c>
      <c r="D64" s="64">
        <f t="shared" si="0"/>
        <v>20</v>
      </c>
      <c r="E64" s="47" t="s">
        <v>121</v>
      </c>
      <c r="F64" s="18" t="s">
        <v>89</v>
      </c>
      <c r="G64" s="18" t="s">
        <v>112</v>
      </c>
      <c r="H64" s="27" t="s">
        <v>549</v>
      </c>
      <c r="I64" s="57">
        <f>0.5/1.5</f>
        <v>0.33333333333333331</v>
      </c>
      <c r="J64" s="20" t="str">
        <f>VLOOKUP(G64,MD!M$2:O$93,3,FALSE)</f>
        <v>Dose hom.</v>
      </c>
      <c r="K64" s="29">
        <v>1</v>
      </c>
      <c r="L64" s="27" t="s">
        <v>550</v>
      </c>
      <c r="M64" s="25" t="s">
        <v>548</v>
      </c>
      <c r="N64" s="25">
        <v>30</v>
      </c>
      <c r="O64" s="25" t="s">
        <v>358</v>
      </c>
      <c r="P64" s="22"/>
      <c r="Q64" s="44"/>
      <c r="R64" s="44"/>
      <c r="S64" s="44"/>
      <c r="T64" s="25"/>
      <c r="U64" s="25"/>
      <c r="V64" s="25"/>
      <c r="W64" s="25"/>
      <c r="X64" s="22"/>
      <c r="Y64" s="44"/>
      <c r="Z64" s="44"/>
      <c r="AA64" s="44"/>
      <c r="AB64" s="25"/>
      <c r="AC64" s="25"/>
      <c r="AD64" s="25"/>
      <c r="AE64" s="25"/>
    </row>
    <row r="65" spans="1:31" s="59" customFormat="1">
      <c r="A65" s="47" t="s">
        <v>121</v>
      </c>
      <c r="B65" s="47" t="s">
        <v>270</v>
      </c>
      <c r="C65" s="48">
        <v>43670</v>
      </c>
      <c r="D65" s="64">
        <f t="shared" ref="D65:D82" si="1">WEEKNUM(C65)</f>
        <v>30</v>
      </c>
      <c r="E65" s="47" t="s">
        <v>121</v>
      </c>
      <c r="F65" s="18" t="s">
        <v>86</v>
      </c>
      <c r="G65" s="18" t="s">
        <v>55</v>
      </c>
      <c r="H65" s="27"/>
      <c r="I65" s="24">
        <v>1</v>
      </c>
      <c r="J65" s="20" t="str">
        <f>VLOOKUP(G65,MD!M$2:O$93,3,FALSE)</f>
        <v>ha</v>
      </c>
      <c r="K65" s="29">
        <v>1</v>
      </c>
      <c r="L65" s="27"/>
      <c r="M65" s="25"/>
      <c r="N65" s="25"/>
      <c r="O65" s="25"/>
      <c r="P65" s="22"/>
      <c r="Q65" s="44"/>
      <c r="R65" s="44"/>
      <c r="S65" s="44"/>
      <c r="T65" s="25"/>
      <c r="U65" s="25"/>
      <c r="V65" s="25"/>
      <c r="W65" s="25"/>
      <c r="X65" s="22"/>
      <c r="Y65" s="44"/>
      <c r="Z65" s="44"/>
      <c r="AA65" s="44"/>
      <c r="AB65" s="25"/>
      <c r="AC65" s="25"/>
      <c r="AD65" s="25"/>
      <c r="AE65" s="25"/>
    </row>
    <row r="66" spans="1:31" s="59" customFormat="1">
      <c r="A66" s="47" t="s">
        <v>121</v>
      </c>
      <c r="B66" s="47" t="s">
        <v>270</v>
      </c>
      <c r="C66" s="48">
        <v>43670</v>
      </c>
      <c r="D66" s="64">
        <f t="shared" si="1"/>
        <v>30</v>
      </c>
      <c r="E66" s="47" t="s">
        <v>121</v>
      </c>
      <c r="F66" s="18" t="s">
        <v>2</v>
      </c>
      <c r="G66" s="18" t="s">
        <v>115</v>
      </c>
      <c r="H66" s="27" t="s">
        <v>285</v>
      </c>
      <c r="I66" s="24">
        <v>100</v>
      </c>
      <c r="J66" s="20" t="str">
        <f>VLOOKUP(G66,MD!M$2:O$93,3,FALSE)</f>
        <v>Qtx/ha</v>
      </c>
      <c r="K66" s="29">
        <v>1</v>
      </c>
      <c r="L66" s="27" t="s">
        <v>562</v>
      </c>
      <c r="M66" s="25"/>
      <c r="N66" s="25"/>
      <c r="O66" s="25"/>
      <c r="P66" s="22"/>
      <c r="Q66" s="44"/>
      <c r="R66" s="44"/>
      <c r="S66" s="44"/>
      <c r="T66" s="25"/>
      <c r="U66" s="25"/>
      <c r="V66" s="25"/>
      <c r="W66" s="25"/>
      <c r="X66" s="22"/>
      <c r="Y66" s="44"/>
      <c r="Z66" s="44"/>
      <c r="AA66" s="44"/>
      <c r="AB66" s="25"/>
      <c r="AC66" s="25"/>
      <c r="AD66" s="25"/>
      <c r="AE66" s="25"/>
    </row>
    <row r="67" spans="1:31" s="59" customFormat="1">
      <c r="A67" s="47" t="s">
        <v>553</v>
      </c>
      <c r="B67" s="47" t="s">
        <v>554</v>
      </c>
      <c r="C67" s="48">
        <v>43672</v>
      </c>
      <c r="D67" s="64">
        <f t="shared" si="1"/>
        <v>30</v>
      </c>
      <c r="E67" s="47" t="s">
        <v>123</v>
      </c>
      <c r="F67" s="18" t="s">
        <v>83</v>
      </c>
      <c r="G67" s="18" t="s">
        <v>77</v>
      </c>
      <c r="H67" s="27"/>
      <c r="I67" s="24">
        <v>1</v>
      </c>
      <c r="J67" s="20" t="str">
        <f>VLOOKUP(G67,MD!M$2:O$93,3,FALSE)</f>
        <v>ha</v>
      </c>
      <c r="K67" s="29">
        <v>1</v>
      </c>
      <c r="L67" s="27"/>
      <c r="M67" s="25"/>
      <c r="N67" s="104"/>
      <c r="O67" s="25"/>
      <c r="P67" s="22"/>
      <c r="Q67" s="44"/>
      <c r="R67" s="44"/>
      <c r="S67" s="44"/>
      <c r="T67" s="25"/>
      <c r="U67" s="25"/>
      <c r="V67" s="25"/>
      <c r="W67" s="25"/>
      <c r="X67" s="22"/>
      <c r="Y67" s="44"/>
      <c r="Z67" s="44"/>
      <c r="AA67" s="44"/>
      <c r="AB67" s="25"/>
      <c r="AC67" s="25"/>
      <c r="AD67" s="25"/>
      <c r="AE67" s="25"/>
    </row>
    <row r="68" spans="1:31" s="59" customFormat="1">
      <c r="A68" s="47" t="s">
        <v>553</v>
      </c>
      <c r="B68" s="47" t="s">
        <v>554</v>
      </c>
      <c r="C68" s="48">
        <v>43696</v>
      </c>
      <c r="D68" s="64">
        <f t="shared" si="1"/>
        <v>34</v>
      </c>
      <c r="E68" s="47" t="s">
        <v>123</v>
      </c>
      <c r="F68" s="18" t="s">
        <v>83</v>
      </c>
      <c r="G68" s="18" t="s">
        <v>26</v>
      </c>
      <c r="H68" s="27"/>
      <c r="I68" s="24">
        <v>1</v>
      </c>
      <c r="J68" s="20" t="str">
        <f>VLOOKUP(G68,MD!M$2:O$93,3,FALSE)</f>
        <v>ha</v>
      </c>
      <c r="K68" s="29">
        <v>1</v>
      </c>
      <c r="L68" s="27"/>
      <c r="M68" s="25"/>
      <c r="N68" s="104"/>
      <c r="O68" s="25"/>
      <c r="P68" s="22"/>
      <c r="Q68" s="44"/>
      <c r="R68" s="44"/>
      <c r="S68" s="44"/>
      <c r="T68" s="25"/>
      <c r="U68" s="25"/>
      <c r="V68" s="25"/>
      <c r="W68" s="25"/>
      <c r="X68" s="22"/>
      <c r="Y68" s="44"/>
      <c r="Z68" s="44"/>
      <c r="AA68" s="44"/>
      <c r="AB68" s="25"/>
      <c r="AC68" s="25"/>
      <c r="AD68" s="25"/>
      <c r="AE68" s="25"/>
    </row>
    <row r="69" spans="1:31" s="59" customFormat="1">
      <c r="A69" s="47" t="s">
        <v>553</v>
      </c>
      <c r="B69" s="47" t="s">
        <v>554</v>
      </c>
      <c r="C69" s="48">
        <v>43696</v>
      </c>
      <c r="D69" s="64">
        <f t="shared" si="1"/>
        <v>34</v>
      </c>
      <c r="E69" s="47" t="s">
        <v>553</v>
      </c>
      <c r="F69" s="18" t="s">
        <v>84</v>
      </c>
      <c r="G69" s="18" t="s">
        <v>76</v>
      </c>
      <c r="H69" s="27"/>
      <c r="I69" s="24">
        <v>1</v>
      </c>
      <c r="J69" s="20" t="str">
        <f>VLOOKUP(G69,MD!M$2:O$93,3,FALSE)</f>
        <v>ha</v>
      </c>
      <c r="K69" s="29">
        <v>1</v>
      </c>
      <c r="L69" s="27"/>
      <c r="M69" s="25"/>
      <c r="N69" s="104"/>
      <c r="O69" s="25"/>
      <c r="P69" s="22"/>
      <c r="Q69" s="44"/>
      <c r="R69" s="44"/>
      <c r="S69" s="44"/>
      <c r="T69" s="25"/>
      <c r="U69" s="25"/>
      <c r="V69" s="25"/>
      <c r="W69" s="25"/>
      <c r="X69" s="22"/>
      <c r="Y69" s="44"/>
      <c r="Z69" s="44"/>
      <c r="AA69" s="44"/>
      <c r="AB69" s="25"/>
      <c r="AC69" s="25"/>
      <c r="AD69" s="25"/>
      <c r="AE69" s="25"/>
    </row>
    <row r="70" spans="1:31" s="59" customFormat="1">
      <c r="A70" s="47" t="s">
        <v>553</v>
      </c>
      <c r="B70" s="47" t="s">
        <v>554</v>
      </c>
      <c r="C70" s="48">
        <v>43696</v>
      </c>
      <c r="D70" s="64">
        <f t="shared" si="1"/>
        <v>34</v>
      </c>
      <c r="E70" s="47" t="s">
        <v>553</v>
      </c>
      <c r="F70" s="18" t="s">
        <v>87</v>
      </c>
      <c r="G70" s="18" t="s">
        <v>93</v>
      </c>
      <c r="H70" s="27" t="s">
        <v>603</v>
      </c>
      <c r="I70" s="24">
        <v>30</v>
      </c>
      <c r="J70" s="20" t="str">
        <f>VLOOKUP(G70,MD!M$2:O$93,3,FALSE)</f>
        <v>gr./m2</v>
      </c>
      <c r="K70" s="29">
        <v>1</v>
      </c>
      <c r="L70" s="27">
        <f>30/1000*0.00465*10000</f>
        <v>1.3949999999999998</v>
      </c>
      <c r="M70" s="25"/>
      <c r="N70" s="104"/>
      <c r="O70" s="25"/>
      <c r="P70" s="22"/>
      <c r="Q70" s="44"/>
      <c r="R70" s="44"/>
      <c r="S70" s="44"/>
      <c r="T70" s="25"/>
      <c r="U70" s="25"/>
      <c r="V70" s="25"/>
      <c r="W70" s="25"/>
      <c r="X70" s="22"/>
      <c r="Y70" s="44"/>
      <c r="Z70" s="44"/>
      <c r="AA70" s="44"/>
      <c r="AB70" s="25"/>
      <c r="AC70" s="25"/>
      <c r="AD70" s="25"/>
      <c r="AE70" s="25"/>
    </row>
    <row r="71" spans="1:31" s="59" customFormat="1">
      <c r="A71" s="47" t="s">
        <v>553</v>
      </c>
      <c r="B71" s="47" t="s">
        <v>554</v>
      </c>
      <c r="C71" s="48">
        <v>43696</v>
      </c>
      <c r="D71" s="64">
        <f t="shared" si="1"/>
        <v>34</v>
      </c>
      <c r="E71" s="47" t="s">
        <v>553</v>
      </c>
      <c r="F71" s="18" t="s">
        <v>89</v>
      </c>
      <c r="G71" s="18" t="s">
        <v>133</v>
      </c>
      <c r="H71" s="27" t="s">
        <v>606</v>
      </c>
      <c r="I71" s="57"/>
      <c r="J71" s="20" t="str">
        <f>VLOOKUP(G71,MD!M$2:O$93,3,FALSE)</f>
        <v>Dose hom.</v>
      </c>
      <c r="K71" s="29">
        <v>1</v>
      </c>
      <c r="L71" s="27" t="s">
        <v>643</v>
      </c>
      <c r="M71" s="25" t="s">
        <v>607</v>
      </c>
      <c r="N71" s="103">
        <f>22000000000*160*0.00465*30*0.00001*10000/1000000000</f>
        <v>49.103999999999999</v>
      </c>
      <c r="O71" s="25" t="s">
        <v>608</v>
      </c>
      <c r="P71" s="22"/>
      <c r="Q71" s="44"/>
      <c r="R71" s="44"/>
      <c r="S71" s="44"/>
      <c r="T71" s="25"/>
      <c r="U71" s="25"/>
      <c r="V71" s="25"/>
      <c r="W71" s="25"/>
      <c r="X71" s="22"/>
      <c r="Y71" s="44"/>
      <c r="Z71" s="44"/>
      <c r="AA71" s="44"/>
      <c r="AB71" s="25"/>
      <c r="AC71" s="25"/>
      <c r="AD71" s="25"/>
      <c r="AE71" s="25"/>
    </row>
    <row r="72" spans="1:31" s="59" customFormat="1">
      <c r="A72" s="47" t="s">
        <v>553</v>
      </c>
      <c r="B72" s="47" t="s">
        <v>554</v>
      </c>
      <c r="C72" s="48">
        <v>43696</v>
      </c>
      <c r="D72" s="64">
        <f t="shared" si="1"/>
        <v>34</v>
      </c>
      <c r="E72" s="47" t="s">
        <v>553</v>
      </c>
      <c r="F72" s="18" t="s">
        <v>87</v>
      </c>
      <c r="G72" s="18" t="s">
        <v>93</v>
      </c>
      <c r="H72" s="27" t="s">
        <v>604</v>
      </c>
      <c r="I72" s="57">
        <f>0.01/0.00465</f>
        <v>2.1505376344086025</v>
      </c>
      <c r="J72" s="20" t="str">
        <f>VLOOKUP(G72,MD!M$2:O$93,3,FALSE)</f>
        <v>gr./m2</v>
      </c>
      <c r="K72" s="29">
        <v>1</v>
      </c>
      <c r="L72" s="27" t="s">
        <v>635</v>
      </c>
      <c r="M72" s="25"/>
      <c r="N72" s="104"/>
      <c r="O72" s="25"/>
      <c r="P72" s="22"/>
      <c r="Q72" s="44"/>
      <c r="R72" s="44"/>
      <c r="S72" s="44"/>
      <c r="T72" s="25"/>
      <c r="U72" s="25"/>
      <c r="V72" s="25"/>
      <c r="W72" s="25"/>
      <c r="X72" s="22"/>
      <c r="Y72" s="44"/>
      <c r="Z72" s="44"/>
      <c r="AA72" s="44"/>
      <c r="AB72" s="25"/>
      <c r="AC72" s="25"/>
      <c r="AD72" s="25"/>
      <c r="AE72" s="25"/>
    </row>
    <row r="73" spans="1:31" s="59" customFormat="1">
      <c r="A73" s="47" t="s">
        <v>553</v>
      </c>
      <c r="B73" s="47" t="s">
        <v>554</v>
      </c>
      <c r="C73" s="48">
        <v>43696</v>
      </c>
      <c r="D73" s="64">
        <f t="shared" si="1"/>
        <v>34</v>
      </c>
      <c r="E73" s="47" t="s">
        <v>553</v>
      </c>
      <c r="F73" s="18" t="s">
        <v>89</v>
      </c>
      <c r="G73" s="18" t="s">
        <v>133</v>
      </c>
      <c r="H73" s="27" t="s">
        <v>606</v>
      </c>
      <c r="I73" s="24"/>
      <c r="J73" s="20" t="str">
        <f>VLOOKUP(G73,MD!M$2:O$93,3,FALSE)</f>
        <v>Dose hom.</v>
      </c>
      <c r="K73" s="29">
        <v>1</v>
      </c>
      <c r="L73" s="27" t="s">
        <v>636</v>
      </c>
      <c r="M73" s="25" t="s">
        <v>607</v>
      </c>
      <c r="N73" s="103">
        <f>22000000000*160*0.00465*2.15*0.00001*10000/1000000000</f>
        <v>3.5191199999999996</v>
      </c>
      <c r="O73" s="25" t="s">
        <v>608</v>
      </c>
      <c r="P73" s="22"/>
      <c r="Q73" s="44"/>
      <c r="R73" s="44"/>
      <c r="S73" s="44"/>
      <c r="T73" s="25"/>
      <c r="U73" s="25"/>
      <c r="V73" s="25"/>
      <c r="W73" s="25"/>
      <c r="X73" s="22"/>
      <c r="Y73" s="44"/>
      <c r="Z73" s="44"/>
      <c r="AA73" s="44"/>
      <c r="AB73" s="25"/>
      <c r="AC73" s="25"/>
      <c r="AD73" s="25"/>
      <c r="AE73" s="25"/>
    </row>
    <row r="74" spans="1:31" s="59" customFormat="1">
      <c r="A74" s="47" t="s">
        <v>553</v>
      </c>
      <c r="B74" s="47" t="s">
        <v>554</v>
      </c>
      <c r="C74" s="48">
        <v>43698</v>
      </c>
      <c r="D74" s="64">
        <f t="shared" si="1"/>
        <v>34</v>
      </c>
      <c r="E74" s="47" t="s">
        <v>553</v>
      </c>
      <c r="F74" s="18" t="s">
        <v>83</v>
      </c>
      <c r="G74" s="18" t="s">
        <v>60</v>
      </c>
      <c r="H74" s="27"/>
      <c r="I74" s="24">
        <v>1</v>
      </c>
      <c r="J74" s="20" t="str">
        <f>VLOOKUP(G74,MD!M$2:O$93,3,FALSE)</f>
        <v>ha</v>
      </c>
      <c r="K74" s="29">
        <v>1</v>
      </c>
      <c r="L74" s="27"/>
      <c r="M74" s="25"/>
      <c r="N74" s="104"/>
      <c r="O74" s="25"/>
      <c r="P74" s="22"/>
      <c r="Q74" s="44"/>
      <c r="R74" s="44"/>
      <c r="S74" s="44"/>
      <c r="T74" s="25"/>
      <c r="U74" s="25"/>
      <c r="V74" s="25"/>
      <c r="W74" s="25"/>
      <c r="X74" s="22"/>
      <c r="Y74" s="44"/>
      <c r="Z74" s="44"/>
      <c r="AA74" s="44"/>
      <c r="AB74" s="25"/>
      <c r="AC74" s="25"/>
      <c r="AD74" s="25"/>
      <c r="AE74" s="25"/>
    </row>
    <row r="75" spans="1:31">
      <c r="A75" s="47" t="s">
        <v>553</v>
      </c>
      <c r="B75" s="47" t="s">
        <v>554</v>
      </c>
      <c r="C75" s="48">
        <v>43712</v>
      </c>
      <c r="D75" s="64">
        <f t="shared" si="1"/>
        <v>36</v>
      </c>
      <c r="E75" s="47" t="s">
        <v>553</v>
      </c>
      <c r="F75" s="18" t="s">
        <v>84</v>
      </c>
      <c r="G75" s="18" t="s">
        <v>644</v>
      </c>
      <c r="I75" s="24">
        <v>1</v>
      </c>
      <c r="J75" s="20" t="str">
        <f>VLOOKUP(G75,MD!M$2:O$93,3,FALSE)</f>
        <v>ha</v>
      </c>
      <c r="K75" s="29">
        <v>1</v>
      </c>
      <c r="P75" s="22"/>
      <c r="X75" s="22"/>
    </row>
    <row r="76" spans="1:31" s="59" customFormat="1">
      <c r="A76" s="47" t="s">
        <v>553</v>
      </c>
      <c r="B76" s="47" t="s">
        <v>554</v>
      </c>
      <c r="C76" s="48">
        <v>43712</v>
      </c>
      <c r="D76" s="64">
        <f t="shared" si="1"/>
        <v>36</v>
      </c>
      <c r="E76" s="47" t="s">
        <v>553</v>
      </c>
      <c r="F76" s="18" t="s">
        <v>87</v>
      </c>
      <c r="G76" s="18" t="s">
        <v>93</v>
      </c>
      <c r="H76" s="27" t="s">
        <v>603</v>
      </c>
      <c r="I76" s="24">
        <v>30</v>
      </c>
      <c r="J76" s="20" t="str">
        <f>VLOOKUP(G76,MD!M$2:O$93,3,FALSE)</f>
        <v>gr./m2</v>
      </c>
      <c r="K76" s="29">
        <v>1</v>
      </c>
      <c r="L76" s="27"/>
      <c r="M76" s="25"/>
      <c r="N76" s="104"/>
      <c r="O76" s="25"/>
      <c r="P76" s="22"/>
      <c r="Q76" s="44"/>
      <c r="R76" s="44"/>
      <c r="S76" s="44"/>
      <c r="T76" s="25"/>
      <c r="U76" s="25"/>
      <c r="V76" s="25"/>
      <c r="W76" s="25"/>
      <c r="X76" s="22"/>
      <c r="Y76" s="44"/>
      <c r="Z76" s="44"/>
      <c r="AA76" s="44"/>
      <c r="AB76" s="25"/>
      <c r="AC76" s="25"/>
      <c r="AD76" s="25"/>
      <c r="AE76" s="25"/>
    </row>
    <row r="77" spans="1:31" s="59" customFormat="1">
      <c r="A77" s="47" t="s">
        <v>553</v>
      </c>
      <c r="B77" s="47" t="s">
        <v>554</v>
      </c>
      <c r="C77" s="48">
        <v>43712</v>
      </c>
      <c r="D77" s="64">
        <f t="shared" si="1"/>
        <v>36</v>
      </c>
      <c r="E77" s="47" t="s">
        <v>553</v>
      </c>
      <c r="F77" s="18" t="s">
        <v>89</v>
      </c>
      <c r="G77" s="18" t="s">
        <v>133</v>
      </c>
      <c r="H77" s="27" t="s">
        <v>606</v>
      </c>
      <c r="I77" s="57"/>
      <c r="J77" s="20" t="str">
        <f>VLOOKUP(G77,MD!M$2:O$93,3,FALSE)</f>
        <v>Dose hom.</v>
      </c>
      <c r="K77" s="29">
        <v>1</v>
      </c>
      <c r="L77" s="27" t="s">
        <v>643</v>
      </c>
      <c r="M77" s="25" t="s">
        <v>607</v>
      </c>
      <c r="N77" s="103">
        <f>22000000000*160*0.00465*30*0.00001*10000/1000000000</f>
        <v>49.103999999999999</v>
      </c>
      <c r="O77" s="25" t="s">
        <v>608</v>
      </c>
      <c r="P77" s="22"/>
      <c r="Q77" s="44"/>
      <c r="R77" s="44"/>
      <c r="S77" s="44"/>
      <c r="T77" s="25"/>
      <c r="U77" s="25"/>
      <c r="V77" s="25"/>
      <c r="W77" s="25"/>
      <c r="X77" s="22"/>
      <c r="Y77" s="44"/>
      <c r="Z77" s="44"/>
      <c r="AA77" s="44"/>
      <c r="AB77" s="25"/>
      <c r="AC77" s="25"/>
      <c r="AD77" s="25"/>
      <c r="AE77" s="25"/>
    </row>
    <row r="78" spans="1:31" s="59" customFormat="1">
      <c r="A78" s="47" t="s">
        <v>553</v>
      </c>
      <c r="B78" s="47" t="s">
        <v>554</v>
      </c>
      <c r="C78" s="48">
        <v>43712</v>
      </c>
      <c r="D78" s="64">
        <f t="shared" si="1"/>
        <v>36</v>
      </c>
      <c r="E78" s="47" t="s">
        <v>553</v>
      </c>
      <c r="F78" s="18" t="s">
        <v>87</v>
      </c>
      <c r="G78" s="18" t="s">
        <v>93</v>
      </c>
      <c r="H78" s="27" t="s">
        <v>604</v>
      </c>
      <c r="I78" s="57">
        <f>0.01/0.00465</f>
        <v>2.1505376344086025</v>
      </c>
      <c r="J78" s="20" t="str">
        <f>VLOOKUP(G78,MD!M$2:O$93,3,FALSE)</f>
        <v>gr./m2</v>
      </c>
      <c r="K78" s="29">
        <v>1</v>
      </c>
      <c r="L78" s="27" t="s">
        <v>635</v>
      </c>
      <c r="M78" s="25"/>
      <c r="N78" s="104"/>
      <c r="O78" s="25"/>
      <c r="P78" s="22"/>
      <c r="Q78" s="44"/>
      <c r="R78" s="44"/>
      <c r="S78" s="44"/>
      <c r="T78" s="25"/>
      <c r="U78" s="25"/>
      <c r="V78" s="25"/>
      <c r="W78" s="25"/>
      <c r="X78" s="22"/>
      <c r="Y78" s="44"/>
      <c r="Z78" s="44"/>
      <c r="AA78" s="44"/>
      <c r="AB78" s="25"/>
      <c r="AC78" s="25"/>
      <c r="AD78" s="25"/>
      <c r="AE78" s="25"/>
    </row>
    <row r="79" spans="1:31" s="59" customFormat="1">
      <c r="A79" s="47" t="s">
        <v>553</v>
      </c>
      <c r="B79" s="47" t="s">
        <v>554</v>
      </c>
      <c r="C79" s="48">
        <v>43712</v>
      </c>
      <c r="D79" s="64">
        <f t="shared" si="1"/>
        <v>36</v>
      </c>
      <c r="E79" s="47" t="s">
        <v>553</v>
      </c>
      <c r="F79" s="18" t="s">
        <v>89</v>
      </c>
      <c r="G79" s="18" t="s">
        <v>133</v>
      </c>
      <c r="H79" s="27" t="s">
        <v>606</v>
      </c>
      <c r="I79" s="24"/>
      <c r="J79" s="20" t="str">
        <f>VLOOKUP(G79,MD!M$2:O$93,3,FALSE)</f>
        <v>Dose hom.</v>
      </c>
      <c r="K79" s="29">
        <v>1</v>
      </c>
      <c r="L79" s="27" t="s">
        <v>636</v>
      </c>
      <c r="M79" s="25" t="s">
        <v>607</v>
      </c>
      <c r="N79" s="103">
        <f>22000000000*160*0.00465*2.15*0.00001*10000/1000000000</f>
        <v>3.5191199999999996</v>
      </c>
      <c r="O79" s="25" t="s">
        <v>608</v>
      </c>
      <c r="P79" s="22"/>
      <c r="Q79" s="44"/>
      <c r="R79" s="44"/>
      <c r="S79" s="44"/>
      <c r="T79" s="25"/>
      <c r="U79" s="25"/>
      <c r="V79" s="25"/>
      <c r="W79" s="25"/>
      <c r="X79" s="22"/>
      <c r="Y79" s="44"/>
      <c r="Z79" s="44"/>
      <c r="AA79" s="44"/>
      <c r="AB79" s="25"/>
      <c r="AC79" s="25"/>
      <c r="AD79" s="25"/>
      <c r="AE79" s="25"/>
    </row>
    <row r="80" spans="1:31" s="59" customFormat="1">
      <c r="A80" s="47" t="s">
        <v>553</v>
      </c>
      <c r="B80" s="47" t="s">
        <v>554</v>
      </c>
      <c r="C80" s="48">
        <v>43837</v>
      </c>
      <c r="D80" s="64">
        <f t="shared" si="1"/>
        <v>2</v>
      </c>
      <c r="E80" s="47" t="s">
        <v>553</v>
      </c>
      <c r="F80" s="18" t="s">
        <v>86</v>
      </c>
      <c r="G80" s="18" t="s">
        <v>64</v>
      </c>
      <c r="H80" s="27"/>
      <c r="I80" s="24">
        <v>1</v>
      </c>
      <c r="J80" s="20" t="str">
        <f>VLOOKUP(G80,MD!M$2:O$93,3,FALSE)</f>
        <v>ha</v>
      </c>
      <c r="K80" s="29">
        <v>1</v>
      </c>
      <c r="L80" s="27"/>
      <c r="M80" s="25"/>
      <c r="N80" s="25"/>
      <c r="O80" s="25"/>
      <c r="P80" s="22"/>
      <c r="Q80" s="44"/>
      <c r="R80" s="44"/>
      <c r="S80" s="44"/>
      <c r="T80" s="25"/>
      <c r="U80" s="25"/>
      <c r="V80" s="25"/>
      <c r="W80" s="25"/>
      <c r="X80" s="22"/>
      <c r="Y80" s="44"/>
      <c r="Z80" s="44"/>
      <c r="AA80" s="44"/>
      <c r="AB80" s="25"/>
      <c r="AC80" s="25"/>
      <c r="AD80" s="25"/>
      <c r="AE80" s="25"/>
    </row>
    <row r="81" spans="1:31" s="59" customFormat="1">
      <c r="A81" s="47" t="s">
        <v>553</v>
      </c>
      <c r="B81" s="47" t="s">
        <v>554</v>
      </c>
      <c r="C81" s="48">
        <v>43837</v>
      </c>
      <c r="D81" s="64">
        <f t="shared" si="1"/>
        <v>2</v>
      </c>
      <c r="E81" s="47" t="s">
        <v>553</v>
      </c>
      <c r="F81" s="18" t="s">
        <v>89</v>
      </c>
      <c r="G81" s="18" t="s">
        <v>113</v>
      </c>
      <c r="H81" s="27" t="s">
        <v>709</v>
      </c>
      <c r="I81" s="58">
        <f>1.5/1.5</f>
        <v>1</v>
      </c>
      <c r="J81" s="20" t="str">
        <f>VLOOKUP(G81,MD!M$2:O$93,3,FALSE)</f>
        <v>Dose hom.</v>
      </c>
      <c r="K81" s="29">
        <v>1</v>
      </c>
      <c r="L81" s="27" t="s">
        <v>722</v>
      </c>
      <c r="M81" s="25" t="s">
        <v>711</v>
      </c>
      <c r="N81" s="103">
        <f>1.5*500</f>
        <v>750</v>
      </c>
      <c r="O81" s="25" t="s">
        <v>358</v>
      </c>
      <c r="P81" s="22"/>
      <c r="Q81" s="44"/>
      <c r="R81" s="44"/>
      <c r="S81" s="44"/>
      <c r="T81" s="25"/>
      <c r="U81" s="25"/>
      <c r="V81" s="25"/>
      <c r="W81" s="25"/>
      <c r="X81" s="22"/>
      <c r="Y81" s="44"/>
      <c r="Z81" s="44"/>
      <c r="AA81" s="44"/>
      <c r="AB81" s="25"/>
      <c r="AC81" s="25"/>
      <c r="AD81" s="25"/>
      <c r="AE81" s="25"/>
    </row>
    <row r="82" spans="1:31" s="59" customFormat="1">
      <c r="A82" s="47" t="s">
        <v>553</v>
      </c>
      <c r="B82" s="47" t="s">
        <v>554</v>
      </c>
      <c r="C82" s="48">
        <v>43837</v>
      </c>
      <c r="D82" s="64">
        <f t="shared" si="1"/>
        <v>2</v>
      </c>
      <c r="E82" s="47" t="s">
        <v>553</v>
      </c>
      <c r="F82" s="18" t="s">
        <v>89</v>
      </c>
      <c r="G82" s="18" t="s">
        <v>113</v>
      </c>
      <c r="H82" s="27" t="s">
        <v>712</v>
      </c>
      <c r="I82" s="58">
        <f>1.5/1.5</f>
        <v>1</v>
      </c>
      <c r="J82" s="20" t="str">
        <f>VLOOKUP(G82,MD!M$2:O$93,3,FALSE)</f>
        <v>Dose hom.</v>
      </c>
      <c r="K82" s="29">
        <v>1</v>
      </c>
      <c r="L82" s="27" t="s">
        <v>721</v>
      </c>
      <c r="M82" s="25" t="s">
        <v>714</v>
      </c>
      <c r="N82" s="103">
        <f>1.5*6.272</f>
        <v>9.4080000000000013</v>
      </c>
      <c r="O82" s="25" t="s">
        <v>358</v>
      </c>
      <c r="P82" s="22"/>
      <c r="Q82" s="44"/>
      <c r="R82" s="44"/>
      <c r="S82" s="44"/>
      <c r="T82" s="25"/>
      <c r="U82" s="25"/>
      <c r="V82" s="25"/>
      <c r="W82" s="25"/>
      <c r="X82" s="22"/>
      <c r="Y82" s="44"/>
      <c r="Z82" s="44"/>
      <c r="AA82" s="44"/>
      <c r="AB82" s="25"/>
      <c r="AC82" s="25"/>
      <c r="AD82" s="25"/>
      <c r="AE82" s="25"/>
    </row>
    <row r="83" spans="1:31">
      <c r="A83" s="47" t="s">
        <v>553</v>
      </c>
      <c r="B83" s="47" t="s">
        <v>554</v>
      </c>
      <c r="C83" s="48">
        <v>43837</v>
      </c>
      <c r="D83" s="64">
        <f t="shared" ref="D83:D101" si="2">WEEKNUM(C83)</f>
        <v>2</v>
      </c>
      <c r="E83" s="47" t="s">
        <v>553</v>
      </c>
      <c r="F83" s="18" t="s">
        <v>89</v>
      </c>
      <c r="G83" s="18" t="s">
        <v>111</v>
      </c>
      <c r="H83" s="27" t="s">
        <v>723</v>
      </c>
      <c r="I83" s="24">
        <f>0.05/0.05</f>
        <v>1</v>
      </c>
      <c r="J83" s="20" t="str">
        <f>VLOOKUP(G83,MD!M$2:O$93,3,FALSE)</f>
        <v>Dose hom.</v>
      </c>
      <c r="K83" s="29">
        <v>1</v>
      </c>
      <c r="L83" s="27" t="s">
        <v>724</v>
      </c>
      <c r="M83" s="25" t="s">
        <v>810</v>
      </c>
      <c r="N83" s="103">
        <f>0.05*100</f>
        <v>5</v>
      </c>
      <c r="O83" s="25" t="s">
        <v>358</v>
      </c>
      <c r="P83" s="22"/>
      <c r="X83" s="22"/>
    </row>
    <row r="84" spans="1:31" s="59" customFormat="1">
      <c r="A84" s="47" t="s">
        <v>553</v>
      </c>
      <c r="B84" s="47" t="s">
        <v>554</v>
      </c>
      <c r="C84" s="48">
        <v>43867</v>
      </c>
      <c r="D84" s="64">
        <f t="shared" si="2"/>
        <v>6</v>
      </c>
      <c r="E84" s="47" t="s">
        <v>553</v>
      </c>
      <c r="F84" s="18" t="s">
        <v>85</v>
      </c>
      <c r="G84" s="18" t="s">
        <v>67</v>
      </c>
      <c r="H84" s="27"/>
      <c r="I84" s="24">
        <v>1</v>
      </c>
      <c r="J84" s="20" t="str">
        <f>VLOOKUP(G84,MD!M$2:O$93,3,FALSE)</f>
        <v>ha</v>
      </c>
      <c r="K84" s="29">
        <v>1</v>
      </c>
      <c r="L84" s="27"/>
      <c r="M84" s="25"/>
      <c r="N84" s="25"/>
      <c r="O84" s="25"/>
      <c r="P84" s="22"/>
      <c r="Q84" s="44"/>
      <c r="R84" s="44"/>
      <c r="S84" s="44"/>
      <c r="T84" s="25"/>
      <c r="U84" s="25"/>
      <c r="V84" s="25"/>
      <c r="W84" s="25"/>
      <c r="X84" s="22"/>
      <c r="Y84" s="44"/>
      <c r="Z84" s="44"/>
      <c r="AA84" s="44"/>
      <c r="AB84" s="25"/>
      <c r="AC84" s="25"/>
      <c r="AD84" s="25"/>
      <c r="AE84" s="25"/>
    </row>
    <row r="85" spans="1:31" s="59" customFormat="1">
      <c r="A85" s="47" t="s">
        <v>553</v>
      </c>
      <c r="B85" s="47" t="s">
        <v>554</v>
      </c>
      <c r="C85" s="48">
        <v>43867</v>
      </c>
      <c r="D85" s="64">
        <f t="shared" si="2"/>
        <v>6</v>
      </c>
      <c r="E85" s="47" t="s">
        <v>553</v>
      </c>
      <c r="F85" s="18" t="s">
        <v>88</v>
      </c>
      <c r="G85" s="18" t="s">
        <v>715</v>
      </c>
      <c r="H85" s="27" t="s">
        <v>719</v>
      </c>
      <c r="I85" s="24">
        <v>150</v>
      </c>
      <c r="J85" s="20" t="str">
        <f>VLOOKUP(G85,MD!M$2:O$93,3,FALSE)</f>
        <v>l/ha</v>
      </c>
      <c r="K85" s="29">
        <v>1</v>
      </c>
      <c r="L85" s="27"/>
      <c r="M85" s="25"/>
      <c r="N85" s="25"/>
      <c r="O85" s="25"/>
      <c r="P85" s="22"/>
      <c r="Q85" s="44"/>
      <c r="R85" s="44"/>
      <c r="S85" s="44"/>
      <c r="T85" s="25"/>
      <c r="U85" s="25"/>
      <c r="V85" s="25"/>
      <c r="W85" s="25"/>
      <c r="X85" s="22"/>
      <c r="Y85" s="44"/>
      <c r="Z85" s="44"/>
      <c r="AA85" s="44"/>
      <c r="AB85" s="25"/>
      <c r="AC85" s="25"/>
      <c r="AD85" s="25"/>
      <c r="AE85" s="25"/>
    </row>
    <row r="86" spans="1:31" s="59" customFormat="1">
      <c r="A86" s="47" t="s">
        <v>553</v>
      </c>
      <c r="B86" s="47" t="s">
        <v>554</v>
      </c>
      <c r="C86" s="48">
        <v>43879</v>
      </c>
      <c r="D86" s="64">
        <f t="shared" si="2"/>
        <v>8</v>
      </c>
      <c r="E86" s="47" t="s">
        <v>553</v>
      </c>
      <c r="F86" s="18" t="s">
        <v>85</v>
      </c>
      <c r="G86" s="18" t="s">
        <v>67</v>
      </c>
      <c r="H86" s="27"/>
      <c r="I86" s="24">
        <v>1</v>
      </c>
      <c r="J86" s="20" t="str">
        <f>VLOOKUP(G86,MD!M$2:O$93,3,FALSE)</f>
        <v>ha</v>
      </c>
      <c r="K86" s="29">
        <v>1</v>
      </c>
      <c r="L86" s="27"/>
      <c r="M86" s="25"/>
      <c r="N86" s="25"/>
      <c r="O86" s="25"/>
      <c r="P86" s="22"/>
      <c r="Q86" s="44"/>
      <c r="R86" s="44"/>
      <c r="S86" s="44"/>
      <c r="T86" s="25"/>
      <c r="U86" s="25"/>
      <c r="V86" s="25"/>
      <c r="W86" s="25"/>
      <c r="X86" s="22"/>
      <c r="Y86" s="44"/>
      <c r="Z86" s="44"/>
      <c r="AA86" s="44"/>
      <c r="AB86" s="25"/>
      <c r="AC86" s="25"/>
      <c r="AD86" s="25"/>
      <c r="AE86" s="25"/>
    </row>
    <row r="87" spans="1:31" s="59" customFormat="1">
      <c r="A87" s="47" t="s">
        <v>553</v>
      </c>
      <c r="B87" s="47" t="s">
        <v>554</v>
      </c>
      <c r="C87" s="48">
        <v>43879</v>
      </c>
      <c r="D87" s="64">
        <f t="shared" si="2"/>
        <v>8</v>
      </c>
      <c r="E87" s="47" t="s">
        <v>553</v>
      </c>
      <c r="F87" s="18" t="s">
        <v>88</v>
      </c>
      <c r="G87" s="18" t="s">
        <v>718</v>
      </c>
      <c r="H87" s="27" t="s">
        <v>717</v>
      </c>
      <c r="I87" s="24">
        <v>330</v>
      </c>
      <c r="J87" s="20" t="str">
        <f>VLOOKUP(G87,MD!M$2:O$93,3,FALSE)</f>
        <v>l/ha</v>
      </c>
      <c r="K87" s="29">
        <v>1</v>
      </c>
      <c r="L87" s="27"/>
      <c r="M87" s="25"/>
      <c r="N87" s="25"/>
      <c r="O87" s="25"/>
      <c r="P87" s="22"/>
      <c r="Q87" s="44"/>
      <c r="R87" s="44"/>
      <c r="S87" s="44"/>
      <c r="T87" s="25"/>
      <c r="U87" s="25"/>
      <c r="V87" s="25"/>
      <c r="W87" s="25"/>
      <c r="X87" s="22"/>
      <c r="Y87" s="44"/>
      <c r="Z87" s="44"/>
      <c r="AA87" s="44"/>
      <c r="AB87" s="25"/>
      <c r="AC87" s="25"/>
      <c r="AD87" s="25"/>
      <c r="AE87" s="25"/>
    </row>
    <row r="88" spans="1:31" s="59" customFormat="1">
      <c r="A88" s="47" t="s">
        <v>553</v>
      </c>
      <c r="B88" s="47" t="s">
        <v>554</v>
      </c>
      <c r="C88" s="48">
        <v>43898</v>
      </c>
      <c r="D88" s="64">
        <f t="shared" si="2"/>
        <v>11</v>
      </c>
      <c r="E88" s="47" t="s">
        <v>553</v>
      </c>
      <c r="F88" s="18" t="s">
        <v>85</v>
      </c>
      <c r="G88" s="18" t="s">
        <v>67</v>
      </c>
      <c r="H88" s="27"/>
      <c r="I88" s="24">
        <v>1</v>
      </c>
      <c r="J88" s="20" t="str">
        <f>VLOOKUP(G88,MD!M$2:O$93,3,FALSE)</f>
        <v>ha</v>
      </c>
      <c r="K88" s="29">
        <v>1</v>
      </c>
      <c r="L88" s="27"/>
      <c r="M88" s="25"/>
      <c r="N88" s="25"/>
      <c r="O88" s="25"/>
      <c r="P88" s="22"/>
      <c r="Q88" s="44"/>
      <c r="R88" s="44"/>
      <c r="S88" s="44"/>
      <c r="T88" s="25"/>
      <c r="U88" s="25"/>
      <c r="V88" s="25"/>
      <c r="W88" s="25"/>
      <c r="X88" s="22"/>
      <c r="Y88" s="44"/>
      <c r="Z88" s="44"/>
      <c r="AA88" s="44"/>
      <c r="AB88" s="25"/>
      <c r="AC88" s="25"/>
      <c r="AD88" s="25"/>
      <c r="AE88" s="25"/>
    </row>
    <row r="89" spans="1:31" s="59" customFormat="1">
      <c r="A89" s="47" t="s">
        <v>553</v>
      </c>
      <c r="B89" s="47" t="s">
        <v>554</v>
      </c>
      <c r="C89" s="48">
        <v>43898</v>
      </c>
      <c r="D89" s="64">
        <f t="shared" si="2"/>
        <v>11</v>
      </c>
      <c r="E89" s="47" t="s">
        <v>553</v>
      </c>
      <c r="F89" s="18" t="s">
        <v>88</v>
      </c>
      <c r="G89" s="18" t="s">
        <v>720</v>
      </c>
      <c r="H89" s="27"/>
      <c r="I89" s="24">
        <v>3</v>
      </c>
      <c r="J89" s="20" t="str">
        <f>VLOOKUP(G89,MD!M$2:O$93,3,FALSE)</f>
        <v>l/ha</v>
      </c>
      <c r="K89" s="29">
        <v>1</v>
      </c>
      <c r="L89" s="27"/>
      <c r="M89" s="25"/>
      <c r="N89" s="25"/>
      <c r="O89" s="25"/>
      <c r="P89" s="22"/>
      <c r="Q89" s="44"/>
      <c r="R89" s="44"/>
      <c r="S89" s="44"/>
      <c r="T89" s="25"/>
      <c r="U89" s="25"/>
      <c r="V89" s="25"/>
      <c r="W89" s="25"/>
      <c r="X89" s="22"/>
      <c r="Y89" s="44"/>
      <c r="Z89" s="44"/>
      <c r="AA89" s="44"/>
      <c r="AB89" s="25"/>
      <c r="AC89" s="25"/>
      <c r="AD89" s="25"/>
      <c r="AE89" s="25"/>
    </row>
    <row r="90" spans="1:31" s="59" customFormat="1">
      <c r="A90" s="47" t="s">
        <v>553</v>
      </c>
      <c r="B90" s="47" t="s">
        <v>554</v>
      </c>
      <c r="C90" s="48">
        <v>43899</v>
      </c>
      <c r="D90" s="64">
        <f t="shared" si="2"/>
        <v>11</v>
      </c>
      <c r="E90" s="47" t="s">
        <v>553</v>
      </c>
      <c r="F90" s="18" t="s">
        <v>85</v>
      </c>
      <c r="G90" s="18" t="s">
        <v>67</v>
      </c>
      <c r="H90" s="27"/>
      <c r="I90" s="24">
        <v>1</v>
      </c>
      <c r="J90" s="20" t="str">
        <f>VLOOKUP(G90,MD!M$2:O$93,3,FALSE)</f>
        <v>ha</v>
      </c>
      <c r="K90" s="29">
        <v>1</v>
      </c>
      <c r="L90" s="27"/>
      <c r="M90" s="25"/>
      <c r="N90" s="25"/>
      <c r="O90" s="25"/>
      <c r="P90" s="22"/>
      <c r="Q90" s="44"/>
      <c r="R90" s="44"/>
      <c r="S90" s="44"/>
      <c r="T90" s="25"/>
      <c r="U90" s="25"/>
      <c r="V90" s="25"/>
      <c r="W90" s="25"/>
      <c r="X90" s="22"/>
      <c r="Y90" s="44"/>
      <c r="Z90" s="44"/>
      <c r="AA90" s="44"/>
      <c r="AB90" s="25"/>
      <c r="AC90" s="25"/>
      <c r="AD90" s="25"/>
      <c r="AE90" s="25"/>
    </row>
    <row r="91" spans="1:31" s="59" customFormat="1">
      <c r="A91" s="47" t="s">
        <v>553</v>
      </c>
      <c r="B91" s="47" t="s">
        <v>554</v>
      </c>
      <c r="C91" s="48">
        <v>43899</v>
      </c>
      <c r="D91" s="64">
        <f t="shared" si="2"/>
        <v>11</v>
      </c>
      <c r="E91" s="47" t="s">
        <v>553</v>
      </c>
      <c r="F91" s="18" t="s">
        <v>88</v>
      </c>
      <c r="G91" s="18" t="s">
        <v>715</v>
      </c>
      <c r="H91" s="27" t="s">
        <v>725</v>
      </c>
      <c r="I91" s="24">
        <v>170</v>
      </c>
      <c r="J91" s="20" t="str">
        <f>VLOOKUP(G91,MD!M$2:O$93,3,FALSE)</f>
        <v>l/ha</v>
      </c>
      <c r="K91" s="29">
        <v>1</v>
      </c>
      <c r="L91" s="27"/>
      <c r="M91" s="25"/>
      <c r="N91" s="25"/>
      <c r="O91" s="25"/>
      <c r="P91" s="22"/>
      <c r="Q91" s="44"/>
      <c r="R91" s="44"/>
      <c r="S91" s="44"/>
      <c r="T91" s="25"/>
      <c r="U91" s="25"/>
      <c r="V91" s="25"/>
      <c r="W91" s="25"/>
      <c r="X91" s="22"/>
      <c r="Y91" s="44"/>
      <c r="Z91" s="44"/>
      <c r="AA91" s="44"/>
      <c r="AB91" s="25"/>
      <c r="AC91" s="25"/>
      <c r="AD91" s="25"/>
      <c r="AE91" s="25"/>
    </row>
    <row r="92" spans="1:31" s="59" customFormat="1">
      <c r="A92" s="47" t="s">
        <v>553</v>
      </c>
      <c r="B92" s="47" t="s">
        <v>554</v>
      </c>
      <c r="C92" s="48">
        <v>43909</v>
      </c>
      <c r="D92" s="64">
        <f t="shared" si="2"/>
        <v>12</v>
      </c>
      <c r="E92" s="47" t="s">
        <v>553</v>
      </c>
      <c r="F92" s="18" t="s">
        <v>86</v>
      </c>
      <c r="G92" s="18" t="s">
        <v>64</v>
      </c>
      <c r="H92" s="27"/>
      <c r="I92" s="24">
        <v>1</v>
      </c>
      <c r="J92" s="20" t="str">
        <f>VLOOKUP(G92,MD!M$2:O$93,3,FALSE)</f>
        <v>ha</v>
      </c>
      <c r="K92" s="29">
        <v>1</v>
      </c>
      <c r="L92" s="27"/>
      <c r="M92" s="25"/>
      <c r="N92" s="25"/>
      <c r="O92" s="25"/>
      <c r="P92" s="22"/>
      <c r="Q92" s="44"/>
      <c r="R92" s="44"/>
      <c r="S92" s="44"/>
      <c r="T92" s="25"/>
      <c r="U92" s="25"/>
      <c r="V92" s="25"/>
      <c r="W92" s="25"/>
      <c r="X92" s="22"/>
      <c r="Y92" s="44"/>
      <c r="Z92" s="44"/>
      <c r="AA92" s="44"/>
      <c r="AB92" s="25"/>
      <c r="AC92" s="25"/>
      <c r="AD92" s="25"/>
      <c r="AE92" s="25"/>
    </row>
    <row r="93" spans="1:31" s="59" customFormat="1">
      <c r="A93" s="47" t="s">
        <v>553</v>
      </c>
      <c r="B93" s="47" t="s">
        <v>554</v>
      </c>
      <c r="C93" s="48">
        <v>43909</v>
      </c>
      <c r="D93" s="64">
        <f t="shared" si="2"/>
        <v>12</v>
      </c>
      <c r="E93" s="47" t="s">
        <v>553</v>
      </c>
      <c r="F93" s="18" t="s">
        <v>89</v>
      </c>
      <c r="G93" s="18" t="s">
        <v>111</v>
      </c>
      <c r="H93" s="27" t="s">
        <v>797</v>
      </c>
      <c r="I93" s="24">
        <f>0.2/0.2</f>
        <v>1</v>
      </c>
      <c r="J93" s="20" t="str">
        <f>VLOOKUP(G93,MD!M$2:O$93,3,FALSE)</f>
        <v>Dose hom.</v>
      </c>
      <c r="K93" s="29">
        <v>1</v>
      </c>
      <c r="L93" s="27" t="s">
        <v>799</v>
      </c>
      <c r="M93" s="25" t="s">
        <v>798</v>
      </c>
      <c r="N93" s="25">
        <f>0.2*240</f>
        <v>48</v>
      </c>
      <c r="O93" s="25" t="s">
        <v>358</v>
      </c>
      <c r="P93" s="22"/>
      <c r="Q93" s="44"/>
      <c r="R93" s="44"/>
      <c r="S93" s="44"/>
      <c r="T93" s="25"/>
      <c r="U93" s="25"/>
      <c r="V93" s="25"/>
      <c r="W93" s="25"/>
      <c r="X93" s="22"/>
      <c r="Y93" s="44"/>
      <c r="Z93" s="44"/>
      <c r="AA93" s="44"/>
      <c r="AB93" s="25"/>
      <c r="AC93" s="25"/>
      <c r="AD93" s="25"/>
      <c r="AE93" s="25"/>
    </row>
    <row r="94" spans="1:31" s="59" customFormat="1">
      <c r="A94" s="47" t="s">
        <v>553</v>
      </c>
      <c r="B94" s="47" t="s">
        <v>554</v>
      </c>
      <c r="C94" s="48">
        <v>43926</v>
      </c>
      <c r="D94" s="64">
        <f t="shared" si="2"/>
        <v>15</v>
      </c>
      <c r="E94" s="47" t="s">
        <v>553</v>
      </c>
      <c r="F94" s="18" t="s">
        <v>86</v>
      </c>
      <c r="G94" s="18" t="s">
        <v>64</v>
      </c>
      <c r="H94" s="27"/>
      <c r="I94" s="24">
        <v>1</v>
      </c>
      <c r="J94" s="20" t="str">
        <f>VLOOKUP(G94,MD!M$2:O$93,3,FALSE)</f>
        <v>ha</v>
      </c>
      <c r="K94" s="29">
        <v>1</v>
      </c>
      <c r="L94" s="27"/>
      <c r="M94" s="25"/>
      <c r="N94" s="25"/>
      <c r="O94" s="25"/>
      <c r="P94" s="22"/>
      <c r="Q94" s="44"/>
      <c r="R94" s="44"/>
      <c r="S94" s="44"/>
      <c r="T94" s="25"/>
      <c r="U94" s="25"/>
      <c r="V94" s="25"/>
      <c r="W94" s="25"/>
      <c r="X94" s="22"/>
      <c r="Y94" s="44"/>
      <c r="Z94" s="44"/>
      <c r="AA94" s="44"/>
      <c r="AB94" s="25"/>
      <c r="AC94" s="25"/>
      <c r="AD94" s="25"/>
      <c r="AE94" s="25"/>
    </row>
    <row r="95" spans="1:31" s="59" customFormat="1">
      <c r="A95" s="47" t="s">
        <v>553</v>
      </c>
      <c r="B95" s="47" t="s">
        <v>554</v>
      </c>
      <c r="C95" s="48">
        <v>43926</v>
      </c>
      <c r="D95" s="64">
        <f t="shared" si="2"/>
        <v>15</v>
      </c>
      <c r="E95" s="47" t="s">
        <v>553</v>
      </c>
      <c r="F95" s="18" t="s">
        <v>89</v>
      </c>
      <c r="G95" s="18" t="s">
        <v>111</v>
      </c>
      <c r="H95" s="27" t="s">
        <v>797</v>
      </c>
      <c r="I95" s="24">
        <f>0.2/0.2</f>
        <v>1</v>
      </c>
      <c r="J95" s="20" t="str">
        <f>VLOOKUP(G95,MD!M$2:O$93,3,FALSE)</f>
        <v>Dose hom.</v>
      </c>
      <c r="K95" s="29">
        <v>1</v>
      </c>
      <c r="L95" s="27" t="s">
        <v>799</v>
      </c>
      <c r="M95" s="25" t="s">
        <v>798</v>
      </c>
      <c r="N95" s="25">
        <f>0.2*240</f>
        <v>48</v>
      </c>
      <c r="O95" s="25" t="s">
        <v>358</v>
      </c>
      <c r="P95" s="22"/>
      <c r="Q95" s="44"/>
      <c r="R95" s="44"/>
      <c r="S95" s="44"/>
      <c r="T95" s="25"/>
      <c r="U95" s="25"/>
      <c r="V95" s="25"/>
      <c r="W95" s="25"/>
      <c r="X95" s="22"/>
      <c r="Y95" s="44"/>
      <c r="Z95" s="44"/>
      <c r="AA95" s="44"/>
      <c r="AB95" s="25"/>
      <c r="AC95" s="25"/>
      <c r="AD95" s="25"/>
      <c r="AE95" s="25"/>
    </row>
    <row r="96" spans="1:31" s="59" customFormat="1">
      <c r="A96" s="47" t="s">
        <v>553</v>
      </c>
      <c r="B96" s="47" t="s">
        <v>554</v>
      </c>
      <c r="C96" s="48">
        <v>43929</v>
      </c>
      <c r="D96" s="64">
        <f t="shared" si="2"/>
        <v>15</v>
      </c>
      <c r="E96" s="47" t="s">
        <v>553</v>
      </c>
      <c r="F96" s="18" t="s">
        <v>86</v>
      </c>
      <c r="G96" s="18" t="s">
        <v>64</v>
      </c>
      <c r="H96" s="27"/>
      <c r="I96" s="24">
        <v>1</v>
      </c>
      <c r="J96" s="20" t="str">
        <f>VLOOKUP(G96,MD!M$2:O$93,3,FALSE)</f>
        <v>ha</v>
      </c>
      <c r="K96" s="29">
        <v>1</v>
      </c>
      <c r="L96" s="27"/>
      <c r="M96" s="25"/>
      <c r="N96" s="25"/>
      <c r="O96" s="25"/>
      <c r="P96" s="22"/>
      <c r="Q96" s="44"/>
      <c r="R96" s="44"/>
      <c r="S96" s="44"/>
      <c r="T96" s="25"/>
      <c r="U96" s="25"/>
      <c r="V96" s="25"/>
      <c r="W96" s="25"/>
      <c r="X96" s="22"/>
      <c r="Y96" s="44"/>
      <c r="Z96" s="44"/>
      <c r="AA96" s="44"/>
      <c r="AB96" s="25"/>
      <c r="AC96" s="25"/>
      <c r="AD96" s="25"/>
      <c r="AE96" s="25"/>
    </row>
    <row r="97" spans="1:31" s="59" customFormat="1">
      <c r="A97" s="47" t="s">
        <v>553</v>
      </c>
      <c r="B97" s="47" t="s">
        <v>554</v>
      </c>
      <c r="C97" s="48">
        <v>43929</v>
      </c>
      <c r="D97" s="64">
        <f t="shared" si="2"/>
        <v>15</v>
      </c>
      <c r="E97" s="47" t="s">
        <v>553</v>
      </c>
      <c r="F97" s="18" t="s">
        <v>89</v>
      </c>
      <c r="G97" s="18" t="s">
        <v>112</v>
      </c>
      <c r="H97" s="27" t="s">
        <v>800</v>
      </c>
      <c r="I97" s="24">
        <f>0.8/1</f>
        <v>0.8</v>
      </c>
      <c r="J97" s="20" t="str">
        <f>VLOOKUP(G97,MD!M$2:O$93,3,FALSE)</f>
        <v>Dose hom.</v>
      </c>
      <c r="K97" s="29">
        <v>1</v>
      </c>
      <c r="L97" s="27" t="s">
        <v>815</v>
      </c>
      <c r="M97" s="25" t="s">
        <v>369</v>
      </c>
      <c r="N97" s="25">
        <f>0.8*125</f>
        <v>100</v>
      </c>
      <c r="O97" s="25" t="s">
        <v>358</v>
      </c>
      <c r="P97" s="22"/>
      <c r="Q97" s="44"/>
      <c r="R97" s="44"/>
      <c r="S97" s="44"/>
      <c r="T97" s="25"/>
      <c r="U97" s="25"/>
      <c r="V97" s="25"/>
      <c r="W97" s="25"/>
      <c r="X97" s="22"/>
      <c r="Y97" s="44"/>
      <c r="Z97" s="44"/>
      <c r="AA97" s="44"/>
      <c r="AB97" s="25"/>
      <c r="AC97" s="25"/>
      <c r="AD97" s="25"/>
      <c r="AE97" s="25"/>
    </row>
    <row r="98" spans="1:31" s="59" customFormat="1">
      <c r="A98" s="47" t="s">
        <v>553</v>
      </c>
      <c r="B98" s="47" t="s">
        <v>554</v>
      </c>
      <c r="C98" s="48">
        <v>43929</v>
      </c>
      <c r="D98" s="64">
        <f t="shared" si="2"/>
        <v>15</v>
      </c>
      <c r="E98" s="47" t="s">
        <v>553</v>
      </c>
      <c r="F98" s="18" t="s">
        <v>89</v>
      </c>
      <c r="G98" s="18" t="s">
        <v>112</v>
      </c>
      <c r="H98" s="27" t="s">
        <v>802</v>
      </c>
      <c r="I98" s="24">
        <f>0.8/1</f>
        <v>0.8</v>
      </c>
      <c r="J98" s="20" t="str">
        <f>VLOOKUP(G98,MD!M$2:O$93,3,FALSE)</f>
        <v>Dose hom.</v>
      </c>
      <c r="K98" s="29">
        <v>1</v>
      </c>
      <c r="L98" s="27" t="s">
        <v>815</v>
      </c>
      <c r="M98" s="25" t="s">
        <v>367</v>
      </c>
      <c r="N98" s="25">
        <f>0.8*125</f>
        <v>100</v>
      </c>
      <c r="O98" s="25" t="s">
        <v>358</v>
      </c>
      <c r="P98" s="22"/>
      <c r="Q98" s="44"/>
      <c r="R98" s="44"/>
      <c r="S98" s="44"/>
      <c r="T98" s="25"/>
      <c r="U98" s="25"/>
      <c r="V98" s="25"/>
      <c r="W98" s="25"/>
      <c r="X98" s="22"/>
      <c r="Y98" s="44"/>
      <c r="Z98" s="44"/>
      <c r="AA98" s="44"/>
      <c r="AB98" s="25"/>
      <c r="AC98" s="25"/>
      <c r="AD98" s="25"/>
      <c r="AE98" s="25"/>
    </row>
    <row r="99" spans="1:31" s="59" customFormat="1">
      <c r="A99" s="47" t="s">
        <v>553</v>
      </c>
      <c r="B99" s="47" t="s">
        <v>554</v>
      </c>
      <c r="C99" s="48">
        <v>43958</v>
      </c>
      <c r="D99" s="64">
        <f t="shared" si="2"/>
        <v>19</v>
      </c>
      <c r="E99" s="47" t="s">
        <v>553</v>
      </c>
      <c r="F99" s="18" t="s">
        <v>86</v>
      </c>
      <c r="G99" s="18" t="s">
        <v>64</v>
      </c>
      <c r="H99" s="27"/>
      <c r="I99" s="24">
        <v>1</v>
      </c>
      <c r="J99" s="20" t="str">
        <f>VLOOKUP(G99,MD!M$2:O$93,3,FALSE)</f>
        <v>ha</v>
      </c>
      <c r="K99" s="29">
        <v>1</v>
      </c>
      <c r="L99" s="27"/>
      <c r="M99" s="25"/>
      <c r="N99" s="25"/>
      <c r="O99" s="25"/>
      <c r="P99" s="22"/>
      <c r="Q99" s="44"/>
      <c r="R99" s="44"/>
      <c r="S99" s="44"/>
      <c r="T99" s="25"/>
      <c r="U99" s="25"/>
      <c r="V99" s="25"/>
      <c r="W99" s="25"/>
      <c r="X99" s="22"/>
      <c r="Y99" s="44"/>
      <c r="Z99" s="44"/>
      <c r="AA99" s="44"/>
      <c r="AB99" s="25"/>
      <c r="AC99" s="25"/>
      <c r="AD99" s="25"/>
      <c r="AE99" s="25"/>
    </row>
    <row r="100" spans="1:31" s="59" customFormat="1">
      <c r="A100" s="47" t="s">
        <v>553</v>
      </c>
      <c r="B100" s="47" t="s">
        <v>554</v>
      </c>
      <c r="C100" s="48">
        <v>43958</v>
      </c>
      <c r="D100" s="64">
        <f t="shared" si="2"/>
        <v>19</v>
      </c>
      <c r="E100" s="47" t="s">
        <v>553</v>
      </c>
      <c r="F100" s="18" t="s">
        <v>89</v>
      </c>
      <c r="G100" s="18" t="s">
        <v>111</v>
      </c>
      <c r="H100" s="27" t="s">
        <v>809</v>
      </c>
      <c r="I100" s="24">
        <f>1/1</f>
        <v>1</v>
      </c>
      <c r="J100" s="20" t="str">
        <f>VLOOKUP(G100,MD!M$2:O$93,3,FALSE)</f>
        <v>Dose hom.</v>
      </c>
      <c r="K100" s="29">
        <v>1</v>
      </c>
      <c r="L100" s="27" t="s">
        <v>811</v>
      </c>
      <c r="M100" s="25" t="s">
        <v>810</v>
      </c>
      <c r="N100" s="25">
        <f>1*5</f>
        <v>5</v>
      </c>
      <c r="O100" s="25" t="s">
        <v>358</v>
      </c>
      <c r="P100" s="22"/>
      <c r="Q100" s="44"/>
      <c r="R100" s="44"/>
      <c r="S100" s="44"/>
      <c r="T100" s="25"/>
      <c r="U100" s="25"/>
      <c r="V100" s="25"/>
      <c r="W100" s="25"/>
      <c r="X100" s="22"/>
      <c r="Y100" s="44"/>
      <c r="Z100" s="44"/>
      <c r="AA100" s="44"/>
      <c r="AB100" s="25"/>
      <c r="AC100" s="25"/>
      <c r="AD100" s="25"/>
      <c r="AE100" s="25"/>
    </row>
    <row r="101" spans="1:31" s="59" customFormat="1">
      <c r="A101" s="47" t="s">
        <v>553</v>
      </c>
      <c r="B101" s="47" t="s">
        <v>554</v>
      </c>
      <c r="C101" s="48">
        <v>43958</v>
      </c>
      <c r="D101" s="64">
        <f t="shared" si="2"/>
        <v>19</v>
      </c>
      <c r="E101" s="47" t="s">
        <v>553</v>
      </c>
      <c r="F101" s="18" t="s">
        <v>89</v>
      </c>
      <c r="G101" s="18" t="s">
        <v>111</v>
      </c>
      <c r="H101" s="27" t="s">
        <v>808</v>
      </c>
      <c r="I101" s="24">
        <f>1/1</f>
        <v>1</v>
      </c>
      <c r="J101" s="20" t="str">
        <f>VLOOKUP(G101,MD!M$2:O$93,3,FALSE)</f>
        <v>Dose hom.</v>
      </c>
      <c r="K101" s="29">
        <v>1</v>
      </c>
      <c r="L101" s="27" t="s">
        <v>812</v>
      </c>
      <c r="M101" s="25" t="s">
        <v>805</v>
      </c>
      <c r="N101" s="25">
        <f>1*100</f>
        <v>100</v>
      </c>
      <c r="O101" s="25" t="s">
        <v>358</v>
      </c>
      <c r="P101" s="22"/>
      <c r="Q101" s="44"/>
      <c r="R101" s="44"/>
      <c r="S101" s="44"/>
      <c r="T101" s="25"/>
      <c r="U101" s="25"/>
      <c r="V101" s="25"/>
      <c r="W101" s="25"/>
      <c r="X101" s="22"/>
      <c r="Y101" s="44"/>
      <c r="Z101" s="44"/>
      <c r="AA101" s="44"/>
      <c r="AB101" s="25"/>
      <c r="AC101" s="25"/>
      <c r="AD101" s="25"/>
      <c r="AE101" s="25"/>
    </row>
    <row r="102" spans="1:31" s="59" customFormat="1">
      <c r="A102" s="47" t="s">
        <v>553</v>
      </c>
      <c r="B102" s="47" t="s">
        <v>554</v>
      </c>
      <c r="C102" s="48">
        <v>43958</v>
      </c>
      <c r="D102" s="64">
        <f t="shared" ref="D102:D118" si="3">WEEKNUM(C102)</f>
        <v>19</v>
      </c>
      <c r="E102" s="47" t="s">
        <v>553</v>
      </c>
      <c r="F102" s="18" t="s">
        <v>89</v>
      </c>
      <c r="G102" s="18" t="s">
        <v>112</v>
      </c>
      <c r="H102" s="27" t="s">
        <v>813</v>
      </c>
      <c r="I102" s="24">
        <f>0.6/0.8</f>
        <v>0.74999999999999989</v>
      </c>
      <c r="J102" s="20" t="str">
        <f>VLOOKUP(G102,MD!M$2:O$93,3,FALSE)</f>
        <v>Dose hom.</v>
      </c>
      <c r="K102" s="29">
        <v>1</v>
      </c>
      <c r="L102" s="27" t="s">
        <v>814</v>
      </c>
      <c r="M102" s="25" t="s">
        <v>548</v>
      </c>
      <c r="N102" s="25">
        <f>0.6*90</f>
        <v>54</v>
      </c>
      <c r="O102" s="25" t="s">
        <v>358</v>
      </c>
      <c r="P102" s="22"/>
      <c r="Q102" s="44"/>
      <c r="R102" s="44"/>
      <c r="S102" s="44"/>
      <c r="T102" s="25"/>
      <c r="U102" s="25"/>
      <c r="V102" s="25"/>
      <c r="W102" s="25"/>
      <c r="X102" s="22"/>
      <c r="Y102" s="44"/>
      <c r="Z102" s="44"/>
      <c r="AA102" s="44"/>
      <c r="AB102" s="25"/>
      <c r="AC102" s="25"/>
      <c r="AD102" s="25"/>
      <c r="AE102" s="25"/>
    </row>
    <row r="103" spans="1:31" s="59" customFormat="1">
      <c r="A103" s="47" t="s">
        <v>553</v>
      </c>
      <c r="B103" s="47" t="s">
        <v>554</v>
      </c>
      <c r="C103" s="48">
        <v>44033</v>
      </c>
      <c r="D103" s="64">
        <f t="shared" si="3"/>
        <v>30</v>
      </c>
      <c r="E103" s="47" t="s">
        <v>553</v>
      </c>
      <c r="F103" s="18" t="s">
        <v>86</v>
      </c>
      <c r="G103" s="18" t="s">
        <v>55</v>
      </c>
      <c r="H103" s="27"/>
      <c r="I103" s="24">
        <v>1</v>
      </c>
      <c r="J103" s="20" t="str">
        <f>VLOOKUP(G103,MD!M$2:O$93,3,FALSE)</f>
        <v>ha</v>
      </c>
      <c r="K103" s="29">
        <v>1</v>
      </c>
      <c r="L103" s="27"/>
      <c r="M103" s="25"/>
      <c r="N103" s="25"/>
      <c r="O103" s="25"/>
      <c r="P103" s="22"/>
      <c r="Q103" s="44"/>
      <c r="R103" s="44"/>
      <c r="S103" s="44"/>
      <c r="T103" s="25"/>
      <c r="U103" s="25"/>
      <c r="V103" s="25"/>
      <c r="W103" s="25"/>
      <c r="X103" s="22"/>
      <c r="Y103" s="44"/>
      <c r="Z103" s="44"/>
      <c r="AA103" s="44"/>
      <c r="AB103" s="25"/>
      <c r="AC103" s="25"/>
      <c r="AD103" s="25"/>
      <c r="AE103" s="25"/>
    </row>
    <row r="104" spans="1:31" s="59" customFormat="1">
      <c r="A104" s="47" t="s">
        <v>553</v>
      </c>
      <c r="B104" s="47" t="s">
        <v>554</v>
      </c>
      <c r="C104" s="48">
        <v>44033</v>
      </c>
      <c r="D104" s="64">
        <f t="shared" si="3"/>
        <v>30</v>
      </c>
      <c r="E104" s="47" t="s">
        <v>553</v>
      </c>
      <c r="F104" s="18" t="s">
        <v>2</v>
      </c>
      <c r="G104" s="18" t="s">
        <v>115</v>
      </c>
      <c r="H104" s="27" t="s">
        <v>827</v>
      </c>
      <c r="I104" s="24">
        <v>54</v>
      </c>
      <c r="J104" s="20" t="str">
        <f>VLOOKUP(G104,MD!M$2:O$93,3,FALSE)</f>
        <v>Qtx/ha</v>
      </c>
      <c r="K104" s="29">
        <v>1</v>
      </c>
      <c r="L104" s="27" t="s">
        <v>829</v>
      </c>
      <c r="M104" s="25"/>
      <c r="N104" s="25"/>
      <c r="O104" s="25"/>
      <c r="P104" s="22"/>
      <c r="Q104" s="44"/>
      <c r="R104" s="44"/>
      <c r="S104" s="44"/>
      <c r="T104" s="25"/>
      <c r="U104" s="25"/>
      <c r="V104" s="25"/>
      <c r="W104" s="25"/>
      <c r="X104" s="22"/>
      <c r="Y104" s="44"/>
      <c r="Z104" s="44"/>
      <c r="AA104" s="44"/>
      <c r="AB104" s="25"/>
      <c r="AC104" s="25"/>
      <c r="AD104" s="25"/>
      <c r="AE104" s="25"/>
    </row>
    <row r="105" spans="1:31" s="59" customFormat="1">
      <c r="A105" s="47" t="s">
        <v>121</v>
      </c>
      <c r="B105" s="47" t="s">
        <v>836</v>
      </c>
      <c r="C105" s="48">
        <v>44111</v>
      </c>
      <c r="D105" s="47">
        <f t="shared" si="3"/>
        <v>41</v>
      </c>
      <c r="E105" s="47" t="s">
        <v>123</v>
      </c>
      <c r="F105" s="18" t="s">
        <v>83</v>
      </c>
      <c r="G105" s="18" t="s">
        <v>62</v>
      </c>
      <c r="H105" s="27"/>
      <c r="I105" s="24">
        <v>1</v>
      </c>
      <c r="J105" s="20" t="str">
        <f>VLOOKUP(G105,MD!M$2:O$93,3,FALSE)</f>
        <v>ha</v>
      </c>
      <c r="K105" s="29">
        <v>1</v>
      </c>
      <c r="L105" s="27"/>
      <c r="M105" s="25"/>
      <c r="N105" s="25"/>
      <c r="O105" s="25"/>
      <c r="P105" s="22"/>
      <c r="Q105" s="44"/>
      <c r="R105" s="44"/>
      <c r="S105" s="44"/>
      <c r="T105" s="25"/>
      <c r="U105" s="25"/>
      <c r="V105" s="25"/>
      <c r="W105" s="25"/>
      <c r="X105" s="22"/>
      <c r="Y105" s="44"/>
      <c r="Z105" s="44"/>
      <c r="AA105" s="44"/>
      <c r="AB105" s="25"/>
      <c r="AC105" s="25"/>
      <c r="AD105" s="25"/>
      <c r="AE105" s="25"/>
    </row>
    <row r="106" spans="1:31" s="59" customFormat="1">
      <c r="A106" s="47" t="s">
        <v>121</v>
      </c>
      <c r="B106" s="47" t="s">
        <v>836</v>
      </c>
      <c r="C106" s="48">
        <v>44111</v>
      </c>
      <c r="D106" s="47">
        <f t="shared" si="3"/>
        <v>41</v>
      </c>
      <c r="E106" s="47" t="s">
        <v>123</v>
      </c>
      <c r="F106" s="18" t="s">
        <v>84</v>
      </c>
      <c r="G106" s="18" t="s">
        <v>76</v>
      </c>
      <c r="H106" s="27"/>
      <c r="I106" s="24">
        <v>1</v>
      </c>
      <c r="J106" s="20" t="str">
        <f>VLOOKUP(G106,MD!M$2:O$93,3,FALSE)</f>
        <v>ha</v>
      </c>
      <c r="K106" s="29">
        <v>1</v>
      </c>
      <c r="L106" s="27"/>
      <c r="M106" s="25"/>
      <c r="N106" s="25"/>
      <c r="O106" s="25"/>
      <c r="P106" s="22"/>
      <c r="Q106" s="44"/>
      <c r="R106" s="44"/>
      <c r="S106" s="44"/>
      <c r="T106" s="25"/>
      <c r="U106" s="25"/>
      <c r="V106" s="25"/>
      <c r="W106" s="25"/>
      <c r="X106" s="22"/>
      <c r="Y106" s="44"/>
      <c r="Z106" s="44"/>
      <c r="AA106" s="44"/>
      <c r="AB106" s="25"/>
      <c r="AC106" s="25"/>
      <c r="AD106" s="25"/>
      <c r="AE106" s="25"/>
    </row>
    <row r="107" spans="1:31" s="59" customFormat="1">
      <c r="A107" s="47" t="s">
        <v>121</v>
      </c>
      <c r="B107" s="47" t="s">
        <v>836</v>
      </c>
      <c r="C107" s="48">
        <v>44111</v>
      </c>
      <c r="D107" s="47">
        <f t="shared" si="3"/>
        <v>41</v>
      </c>
      <c r="E107" s="47" t="s">
        <v>123</v>
      </c>
      <c r="F107" s="18" t="s">
        <v>87</v>
      </c>
      <c r="G107" s="18" t="s">
        <v>93</v>
      </c>
      <c r="H107" s="27" t="s">
        <v>130</v>
      </c>
      <c r="I107" s="24">
        <v>210</v>
      </c>
      <c r="J107" s="20" t="str">
        <f>VLOOKUP(G107,MD!M$2:O$93,3,FALSE)</f>
        <v>gr./m2</v>
      </c>
      <c r="K107" s="29">
        <v>1</v>
      </c>
      <c r="L107" s="27" t="s">
        <v>851</v>
      </c>
      <c r="M107" s="25"/>
      <c r="N107" s="25"/>
      <c r="O107" s="25"/>
      <c r="P107" s="22"/>
      <c r="Q107" s="44"/>
      <c r="R107" s="44"/>
      <c r="S107" s="44"/>
      <c r="T107" s="25"/>
      <c r="U107" s="25"/>
      <c r="V107" s="25"/>
      <c r="W107" s="25"/>
      <c r="X107" s="22"/>
      <c r="Y107" s="44"/>
      <c r="Z107" s="44"/>
      <c r="AA107" s="44"/>
      <c r="AB107" s="25"/>
      <c r="AC107" s="25"/>
      <c r="AD107" s="25"/>
      <c r="AE107" s="25"/>
    </row>
    <row r="108" spans="1:31" s="59" customFormat="1">
      <c r="A108" s="47" t="s">
        <v>121</v>
      </c>
      <c r="B108" s="47" t="s">
        <v>836</v>
      </c>
      <c r="C108" s="48">
        <v>44111</v>
      </c>
      <c r="D108" s="47">
        <f t="shared" si="3"/>
        <v>41</v>
      </c>
      <c r="E108" s="47" t="s">
        <v>123</v>
      </c>
      <c r="F108" s="18" t="s">
        <v>89</v>
      </c>
      <c r="G108" s="18" t="s">
        <v>133</v>
      </c>
      <c r="H108" s="27" t="s">
        <v>927</v>
      </c>
      <c r="I108" s="24">
        <v>1</v>
      </c>
      <c r="J108" s="20" t="str">
        <f>VLOOKUP(G108,MD!M$2:O$93,3,FALSE)</f>
        <v>Dose hom.</v>
      </c>
      <c r="K108" s="29">
        <v>1</v>
      </c>
      <c r="L108" s="27" t="s">
        <v>913</v>
      </c>
      <c r="M108" s="25" t="s">
        <v>850</v>
      </c>
      <c r="N108" s="107">
        <f>50*0.2*210*0.046*0.00001*10000</f>
        <v>9.66</v>
      </c>
      <c r="O108" s="25" t="s">
        <v>358</v>
      </c>
      <c r="P108" s="22"/>
      <c r="Q108" s="44"/>
      <c r="R108" s="44"/>
      <c r="S108" s="44"/>
      <c r="T108" s="25"/>
      <c r="U108" s="25"/>
      <c r="V108" s="25"/>
      <c r="W108" s="25"/>
      <c r="X108" s="22"/>
      <c r="Y108" s="44"/>
      <c r="Z108" s="44"/>
      <c r="AA108" s="44"/>
      <c r="AB108" s="25"/>
      <c r="AC108" s="25"/>
      <c r="AD108" s="25"/>
      <c r="AE108" s="25"/>
    </row>
    <row r="109" spans="1:31" s="59" customFormat="1">
      <c r="A109" s="47" t="s">
        <v>121</v>
      </c>
      <c r="B109" s="47" t="s">
        <v>836</v>
      </c>
      <c r="C109" s="48">
        <v>44111</v>
      </c>
      <c r="D109" s="47">
        <f t="shared" si="3"/>
        <v>41</v>
      </c>
      <c r="E109" s="47" t="s">
        <v>123</v>
      </c>
      <c r="F109" s="18" t="s">
        <v>89</v>
      </c>
      <c r="G109" s="18" t="s">
        <v>133</v>
      </c>
      <c r="H109" s="27" t="s">
        <v>350</v>
      </c>
      <c r="I109" s="24">
        <v>1</v>
      </c>
      <c r="J109" s="20" t="str">
        <f>VLOOKUP(G109,MD!M$2:O$93,3,FALSE)</f>
        <v>Dose hom.</v>
      </c>
      <c r="K109" s="29">
        <v>1</v>
      </c>
      <c r="L109" s="27" t="s">
        <v>914</v>
      </c>
      <c r="M109" s="25" t="s">
        <v>351</v>
      </c>
      <c r="N109" s="107">
        <f>25*0.2*210*0.046*0.00001*10000</f>
        <v>4.83</v>
      </c>
      <c r="O109" s="25" t="s">
        <v>358</v>
      </c>
      <c r="P109" s="22"/>
      <c r="Q109" s="44"/>
      <c r="R109" s="44"/>
      <c r="S109" s="44"/>
      <c r="T109" s="25"/>
      <c r="U109" s="25"/>
      <c r="V109" s="25"/>
      <c r="W109" s="25"/>
      <c r="X109" s="22"/>
      <c r="Y109" s="44"/>
      <c r="Z109" s="44"/>
      <c r="AA109" s="44"/>
      <c r="AB109" s="25"/>
      <c r="AC109" s="25"/>
      <c r="AD109" s="25"/>
      <c r="AE109" s="25"/>
    </row>
    <row r="110" spans="1:31" s="59" customFormat="1">
      <c r="A110" s="47" t="s">
        <v>121</v>
      </c>
      <c r="B110" s="47" t="s">
        <v>836</v>
      </c>
      <c r="C110" s="48">
        <v>44111</v>
      </c>
      <c r="D110" s="47">
        <f t="shared" si="3"/>
        <v>41</v>
      </c>
      <c r="E110" s="47" t="s">
        <v>123</v>
      </c>
      <c r="F110" s="18" t="s">
        <v>89</v>
      </c>
      <c r="G110" s="18" t="s">
        <v>133</v>
      </c>
      <c r="H110" s="27" t="s">
        <v>349</v>
      </c>
      <c r="I110" s="24">
        <v>1</v>
      </c>
      <c r="J110" s="20" t="str">
        <f>VLOOKUP(G110,MD!M$2:O$93,3,FALSE)</f>
        <v>Dose hom.</v>
      </c>
      <c r="K110" s="29">
        <v>1</v>
      </c>
      <c r="L110" s="27" t="s">
        <v>914</v>
      </c>
      <c r="M110" s="25" t="s">
        <v>348</v>
      </c>
      <c r="N110" s="107">
        <f>25*0.2*210*0.046*0.00001*10000</f>
        <v>4.83</v>
      </c>
      <c r="O110" s="25" t="s">
        <v>358</v>
      </c>
      <c r="P110" s="22"/>
      <c r="Q110" s="44"/>
      <c r="R110" s="44"/>
      <c r="S110" s="44"/>
      <c r="T110" s="25"/>
      <c r="U110" s="25"/>
      <c r="V110" s="25"/>
      <c r="W110" s="25"/>
      <c r="X110" s="22"/>
      <c r="Y110" s="44"/>
      <c r="Z110" s="44"/>
      <c r="AA110" s="44"/>
      <c r="AB110" s="25"/>
      <c r="AC110" s="25"/>
      <c r="AD110" s="25"/>
      <c r="AE110" s="25"/>
    </row>
    <row r="111" spans="1:31" s="59" customFormat="1">
      <c r="A111" s="47" t="s">
        <v>847</v>
      </c>
      <c r="B111" s="47" t="s">
        <v>836</v>
      </c>
      <c r="C111" s="48">
        <v>44499</v>
      </c>
      <c r="D111" s="64">
        <f t="shared" si="3"/>
        <v>44</v>
      </c>
      <c r="E111" s="47" t="s">
        <v>121</v>
      </c>
      <c r="F111" s="18" t="s">
        <v>86</v>
      </c>
      <c r="G111" s="18" t="s">
        <v>64</v>
      </c>
      <c r="H111" s="27"/>
      <c r="I111" s="24">
        <v>1</v>
      </c>
      <c r="J111" s="20" t="str">
        <f>VLOOKUP(G111,MD!M$2:O$93,3,FALSE)</f>
        <v>ha</v>
      </c>
      <c r="K111" s="29"/>
      <c r="L111" s="27"/>
      <c r="M111" s="25"/>
      <c r="N111" s="25"/>
      <c r="O111" s="25"/>
      <c r="P111" s="22"/>
      <c r="Q111" s="44"/>
      <c r="R111" s="44"/>
      <c r="S111" s="44"/>
      <c r="T111" s="25"/>
      <c r="U111" s="25"/>
      <c r="V111" s="25"/>
      <c r="W111" s="25"/>
      <c r="X111" s="22"/>
      <c r="Y111" s="44"/>
      <c r="Z111" s="44"/>
      <c r="AA111" s="44"/>
      <c r="AB111" s="25"/>
      <c r="AC111" s="25"/>
      <c r="AD111" s="25"/>
      <c r="AE111" s="25"/>
    </row>
    <row r="112" spans="1:31" s="59" customFormat="1">
      <c r="A112" s="47" t="s">
        <v>847</v>
      </c>
      <c r="B112" s="47" t="s">
        <v>836</v>
      </c>
      <c r="C112" s="48">
        <v>44499</v>
      </c>
      <c r="D112" s="64">
        <f t="shared" si="3"/>
        <v>44</v>
      </c>
      <c r="E112" s="47" t="s">
        <v>121</v>
      </c>
      <c r="F112" s="18" t="s">
        <v>89</v>
      </c>
      <c r="G112" s="18" t="s">
        <v>113</v>
      </c>
      <c r="H112" s="27" t="s">
        <v>929</v>
      </c>
      <c r="I112" s="24">
        <f>0.55/0.6</f>
        <v>0.91666666666666674</v>
      </c>
      <c r="J112" s="20" t="str">
        <f>VLOOKUP(G112,MD!M$2:O$93,3,FALSE)</f>
        <v>Dose hom.</v>
      </c>
      <c r="K112" s="29">
        <v>1</v>
      </c>
      <c r="L112" s="27" t="s">
        <v>872</v>
      </c>
      <c r="M112" s="25" t="s">
        <v>339</v>
      </c>
      <c r="N112" s="25">
        <v>110</v>
      </c>
      <c r="O112" s="25" t="s">
        <v>358</v>
      </c>
      <c r="P112" s="22"/>
      <c r="Q112" s="44"/>
      <c r="R112" s="44"/>
      <c r="S112" s="44"/>
      <c r="T112" s="25"/>
      <c r="U112" s="25"/>
      <c r="V112" s="25"/>
      <c r="W112" s="25"/>
      <c r="X112" s="22"/>
      <c r="Y112" s="44"/>
      <c r="Z112" s="44"/>
      <c r="AA112" s="44"/>
      <c r="AB112" s="25"/>
      <c r="AC112" s="25"/>
      <c r="AD112" s="25"/>
      <c r="AE112" s="25"/>
    </row>
    <row r="113" spans="1:31" s="59" customFormat="1">
      <c r="A113" s="47" t="s">
        <v>847</v>
      </c>
      <c r="B113" s="47" t="s">
        <v>836</v>
      </c>
      <c r="C113" s="48">
        <v>44499</v>
      </c>
      <c r="D113" s="64">
        <f t="shared" si="3"/>
        <v>44</v>
      </c>
      <c r="E113" s="47" t="s">
        <v>121</v>
      </c>
      <c r="F113" s="18" t="s">
        <v>89</v>
      </c>
      <c r="G113" s="18" t="s">
        <v>113</v>
      </c>
      <c r="H113" s="27" t="s">
        <v>341</v>
      </c>
      <c r="I113" s="24">
        <f>0.55/0.6</f>
        <v>0.91666666666666674</v>
      </c>
      <c r="J113" s="20" t="str">
        <f>VLOOKUP(G113,MD!M$2:O$93,3,FALSE)</f>
        <v>Dose hom.</v>
      </c>
      <c r="K113" s="29">
        <v>1</v>
      </c>
      <c r="L113" s="27" t="s">
        <v>873</v>
      </c>
      <c r="M113" s="25" t="s">
        <v>340</v>
      </c>
      <c r="N113" s="25">
        <v>220</v>
      </c>
      <c r="O113" s="25" t="s">
        <v>358</v>
      </c>
      <c r="P113" s="22"/>
      <c r="Q113" s="44"/>
      <c r="R113" s="44"/>
      <c r="S113" s="44"/>
      <c r="T113" s="25"/>
      <c r="U113" s="25"/>
      <c r="V113" s="25"/>
      <c r="W113" s="25"/>
      <c r="X113" s="22"/>
      <c r="Y113" s="44"/>
      <c r="Z113" s="44"/>
      <c r="AA113" s="44"/>
      <c r="AB113" s="25"/>
      <c r="AC113" s="25"/>
      <c r="AD113" s="25"/>
      <c r="AE113" s="25"/>
    </row>
    <row r="114" spans="1:31" s="59" customFormat="1">
      <c r="A114" s="47" t="s">
        <v>847</v>
      </c>
      <c r="B114" s="47" t="s">
        <v>836</v>
      </c>
      <c r="C114" s="48">
        <v>44499</v>
      </c>
      <c r="D114" s="64">
        <f t="shared" si="3"/>
        <v>44</v>
      </c>
      <c r="E114" s="47" t="s">
        <v>121</v>
      </c>
      <c r="F114" s="18" t="s">
        <v>89</v>
      </c>
      <c r="G114" s="18" t="s">
        <v>111</v>
      </c>
      <c r="H114" s="27" t="s">
        <v>870</v>
      </c>
      <c r="I114" s="24">
        <v>1</v>
      </c>
      <c r="J114" s="20" t="str">
        <f>VLOOKUP(G114,MD!M$2:O$93,3,FALSE)</f>
        <v>Dose hom.</v>
      </c>
      <c r="K114" s="29">
        <v>1</v>
      </c>
      <c r="L114" s="27" t="s">
        <v>871</v>
      </c>
      <c r="M114" s="25" t="s">
        <v>810</v>
      </c>
      <c r="N114" s="25">
        <v>7.5</v>
      </c>
      <c r="O114" s="25" t="s">
        <v>358</v>
      </c>
      <c r="P114" s="44"/>
      <c r="Q114" s="44"/>
      <c r="R114" s="44"/>
      <c r="S114" s="44"/>
      <c r="T114" s="25"/>
      <c r="U114" s="25"/>
      <c r="V114" s="25"/>
      <c r="W114" s="25"/>
      <c r="X114" s="22"/>
      <c r="Y114" s="44"/>
      <c r="Z114" s="44"/>
      <c r="AA114" s="44"/>
      <c r="AB114" s="25"/>
      <c r="AC114" s="25"/>
      <c r="AD114" s="25"/>
      <c r="AE114" s="25"/>
    </row>
    <row r="115" spans="1:31" s="59" customFormat="1">
      <c r="A115" s="47" t="s">
        <v>847</v>
      </c>
      <c r="B115" s="47" t="s">
        <v>836</v>
      </c>
      <c r="C115" s="48">
        <v>44147</v>
      </c>
      <c r="D115" s="64">
        <f t="shared" si="3"/>
        <v>46</v>
      </c>
      <c r="E115" s="47" t="s">
        <v>121</v>
      </c>
      <c r="F115" s="18" t="s">
        <v>86</v>
      </c>
      <c r="G115" s="18" t="s">
        <v>64</v>
      </c>
      <c r="H115" s="27"/>
      <c r="I115" s="24">
        <v>1</v>
      </c>
      <c r="J115" s="20" t="str">
        <f>VLOOKUP(G115,MD!M$2:O$93,3,FALSE)</f>
        <v>ha</v>
      </c>
      <c r="K115" s="29"/>
      <c r="L115" s="27"/>
      <c r="M115" s="25"/>
      <c r="N115" s="25"/>
      <c r="O115" s="25"/>
      <c r="P115" s="22"/>
      <c r="Q115" s="44"/>
      <c r="R115" s="44"/>
      <c r="S115" s="44"/>
      <c r="T115" s="25"/>
      <c r="U115" s="25"/>
      <c r="V115" s="25"/>
      <c r="W115" s="25"/>
      <c r="X115" s="22"/>
      <c r="Y115" s="44"/>
      <c r="Z115" s="44"/>
      <c r="AA115" s="44"/>
      <c r="AB115" s="25"/>
      <c r="AC115" s="25"/>
      <c r="AD115" s="25"/>
      <c r="AE115" s="25"/>
    </row>
    <row r="116" spans="1:31" s="59" customFormat="1">
      <c r="A116" s="47" t="s">
        <v>847</v>
      </c>
      <c r="B116" s="47" t="s">
        <v>836</v>
      </c>
      <c r="C116" s="48">
        <v>44147</v>
      </c>
      <c r="D116" s="64">
        <f t="shared" si="3"/>
        <v>46</v>
      </c>
      <c r="E116" s="47" t="s">
        <v>121</v>
      </c>
      <c r="F116" s="18" t="s">
        <v>89</v>
      </c>
      <c r="G116" s="18" t="s">
        <v>111</v>
      </c>
      <c r="H116" s="27" t="s">
        <v>870</v>
      </c>
      <c r="I116" s="24">
        <v>1</v>
      </c>
      <c r="J116" s="20" t="str">
        <f>VLOOKUP(G116,MD!M$2:O$93,3,FALSE)</f>
        <v>Dose hom.</v>
      </c>
      <c r="K116" s="29">
        <v>1</v>
      </c>
      <c r="L116" s="27" t="s">
        <v>871</v>
      </c>
      <c r="M116" s="25" t="s">
        <v>810</v>
      </c>
      <c r="N116" s="25">
        <v>7.5</v>
      </c>
      <c r="O116" s="25" t="s">
        <v>358</v>
      </c>
      <c r="P116" s="44"/>
      <c r="Q116" s="44"/>
      <c r="R116" s="44"/>
      <c r="S116" s="44"/>
      <c r="T116" s="25"/>
      <c r="U116" s="25"/>
      <c r="V116" s="25"/>
      <c r="W116" s="25"/>
      <c r="X116" s="22"/>
      <c r="Y116" s="44"/>
      <c r="Z116" s="44"/>
      <c r="AA116" s="44"/>
      <c r="AB116" s="25"/>
      <c r="AC116" s="25"/>
      <c r="AD116" s="25"/>
      <c r="AE116" s="25"/>
    </row>
    <row r="117" spans="1:31" s="59" customFormat="1">
      <c r="A117" s="47" t="s">
        <v>847</v>
      </c>
      <c r="B117" s="47" t="s">
        <v>836</v>
      </c>
      <c r="C117" s="48">
        <v>44161</v>
      </c>
      <c r="D117" s="64">
        <f t="shared" si="3"/>
        <v>48</v>
      </c>
      <c r="E117" s="47" t="s">
        <v>121</v>
      </c>
      <c r="F117" s="18" t="s">
        <v>86</v>
      </c>
      <c r="G117" s="18" t="s">
        <v>64</v>
      </c>
      <c r="H117" s="27"/>
      <c r="I117" s="24">
        <v>1</v>
      </c>
      <c r="J117" s="20" t="str">
        <f>VLOOKUP(G117,MD!M$2:O$93,3,FALSE)</f>
        <v>ha</v>
      </c>
      <c r="K117" s="29"/>
      <c r="L117" s="27"/>
      <c r="M117" s="25"/>
      <c r="N117" s="25"/>
      <c r="O117" s="25"/>
      <c r="P117" s="22"/>
      <c r="Q117" s="44"/>
      <c r="R117" s="44"/>
      <c r="S117" s="44"/>
      <c r="T117" s="25"/>
      <c r="U117" s="25"/>
      <c r="V117" s="25"/>
      <c r="W117" s="25"/>
      <c r="X117" s="22"/>
      <c r="Y117" s="44"/>
      <c r="Z117" s="44"/>
      <c r="AA117" s="44"/>
      <c r="AB117" s="25"/>
      <c r="AC117" s="25"/>
      <c r="AD117" s="25"/>
      <c r="AE117" s="25"/>
    </row>
    <row r="118" spans="1:31" s="59" customFormat="1">
      <c r="A118" s="47" t="s">
        <v>847</v>
      </c>
      <c r="B118" s="47" t="s">
        <v>836</v>
      </c>
      <c r="C118" s="48">
        <v>44161</v>
      </c>
      <c r="D118" s="64">
        <f t="shared" si="3"/>
        <v>48</v>
      </c>
      <c r="E118" s="47" t="s">
        <v>121</v>
      </c>
      <c r="F118" s="18" t="s">
        <v>89</v>
      </c>
      <c r="G118" s="18" t="s">
        <v>111</v>
      </c>
      <c r="H118" s="27" t="s">
        <v>870</v>
      </c>
      <c r="I118" s="24">
        <v>1</v>
      </c>
      <c r="J118" s="20" t="str">
        <f>VLOOKUP(G118,MD!M$2:O$93,3,FALSE)</f>
        <v>Dose hom.</v>
      </c>
      <c r="K118" s="29">
        <v>1</v>
      </c>
      <c r="L118" s="27" t="s">
        <v>871</v>
      </c>
      <c r="M118" s="25" t="s">
        <v>810</v>
      </c>
      <c r="N118" s="25">
        <v>7.5</v>
      </c>
      <c r="O118" s="25" t="s">
        <v>358</v>
      </c>
      <c r="P118" s="44"/>
      <c r="Q118" s="44"/>
      <c r="R118" s="44"/>
      <c r="S118" s="44"/>
      <c r="T118" s="25"/>
      <c r="U118" s="25"/>
      <c r="V118" s="25"/>
      <c r="W118" s="25"/>
      <c r="X118" s="22"/>
      <c r="Y118" s="44"/>
      <c r="Z118" s="44"/>
      <c r="AA118" s="44"/>
      <c r="AB118" s="25"/>
      <c r="AC118" s="25"/>
      <c r="AD118" s="25"/>
      <c r="AE118" s="25"/>
    </row>
    <row r="119" spans="1:31">
      <c r="A119" s="47" t="s">
        <v>847</v>
      </c>
      <c r="B119" s="47" t="s">
        <v>836</v>
      </c>
      <c r="C119" s="48">
        <v>44244</v>
      </c>
      <c r="D119" s="64">
        <f t="shared" ref="D119:D129" si="4">WEEKNUM(C119)</f>
        <v>8</v>
      </c>
      <c r="E119" s="47" t="s">
        <v>121</v>
      </c>
      <c r="F119" s="18" t="s">
        <v>85</v>
      </c>
      <c r="G119" s="18" t="s">
        <v>67</v>
      </c>
      <c r="I119" s="24">
        <v>1</v>
      </c>
      <c r="J119" s="20" t="str">
        <f>VLOOKUP(G119,MD!M$2:O$93,3,FALSE)</f>
        <v>ha</v>
      </c>
      <c r="K119" s="29">
        <v>1</v>
      </c>
      <c r="P119" s="22"/>
      <c r="X119" s="22"/>
    </row>
    <row r="120" spans="1:31">
      <c r="A120" s="47" t="s">
        <v>847</v>
      </c>
      <c r="B120" s="47" t="s">
        <v>836</v>
      </c>
      <c r="C120" s="48">
        <v>44244</v>
      </c>
      <c r="D120" s="64">
        <f t="shared" si="4"/>
        <v>8</v>
      </c>
      <c r="E120" s="47" t="s">
        <v>121</v>
      </c>
      <c r="F120" s="18" t="s">
        <v>88</v>
      </c>
      <c r="G120" s="18" t="s">
        <v>715</v>
      </c>
      <c r="H120" s="27" t="s">
        <v>905</v>
      </c>
      <c r="I120" s="24">
        <v>100</v>
      </c>
      <c r="J120" s="20" t="str">
        <f>VLOOKUP(G120,MD!M$2:O$93,3,FALSE)</f>
        <v>l/ha</v>
      </c>
      <c r="K120" s="29">
        <v>1</v>
      </c>
      <c r="L120" s="27" t="s">
        <v>875</v>
      </c>
      <c r="P120" s="22"/>
      <c r="X120" s="22"/>
    </row>
    <row r="121" spans="1:31">
      <c r="A121" s="47" t="s">
        <v>847</v>
      </c>
      <c r="B121" s="47" t="s">
        <v>836</v>
      </c>
      <c r="C121" s="48">
        <v>44265</v>
      </c>
      <c r="D121" s="64">
        <f t="shared" si="4"/>
        <v>11</v>
      </c>
      <c r="E121" s="47" t="s">
        <v>121</v>
      </c>
      <c r="F121" s="18" t="s">
        <v>85</v>
      </c>
      <c r="G121" s="18" t="s">
        <v>67</v>
      </c>
      <c r="I121" s="24">
        <v>1</v>
      </c>
      <c r="J121" s="20" t="str">
        <f>VLOOKUP(G121,MD!M$2:O$93,3,FALSE)</f>
        <v>ha</v>
      </c>
      <c r="K121" s="29">
        <v>1</v>
      </c>
      <c r="P121" s="22"/>
      <c r="X121" s="22"/>
    </row>
    <row r="122" spans="1:31">
      <c r="A122" s="47" t="s">
        <v>847</v>
      </c>
      <c r="B122" s="47" t="s">
        <v>836</v>
      </c>
      <c r="C122" s="48">
        <v>44265</v>
      </c>
      <c r="D122" s="64">
        <f t="shared" si="4"/>
        <v>11</v>
      </c>
      <c r="E122" s="47" t="s">
        <v>121</v>
      </c>
      <c r="F122" s="18" t="s">
        <v>88</v>
      </c>
      <c r="G122" s="18" t="s">
        <v>909</v>
      </c>
      <c r="H122" s="27" t="s">
        <v>904</v>
      </c>
      <c r="I122" s="24">
        <v>260</v>
      </c>
      <c r="J122" s="20" t="str">
        <f>VLOOKUP(G122,MD!M$2:O$93,3,FALSE)</f>
        <v>l/ha</v>
      </c>
      <c r="K122" s="29">
        <v>1</v>
      </c>
      <c r="L122" s="27" t="s">
        <v>874</v>
      </c>
      <c r="P122" s="22"/>
      <c r="X122" s="22"/>
    </row>
    <row r="123" spans="1:31" s="59" customFormat="1">
      <c r="A123" s="47" t="s">
        <v>847</v>
      </c>
      <c r="B123" s="47" t="s">
        <v>836</v>
      </c>
      <c r="C123" s="48">
        <v>44286</v>
      </c>
      <c r="D123" s="64">
        <f t="shared" si="4"/>
        <v>14</v>
      </c>
      <c r="E123" s="47" t="s">
        <v>121</v>
      </c>
      <c r="F123" s="18" t="s">
        <v>86</v>
      </c>
      <c r="G123" s="18" t="s">
        <v>64</v>
      </c>
      <c r="H123" s="27"/>
      <c r="I123" s="24">
        <v>1</v>
      </c>
      <c r="J123" s="20" t="str">
        <f>VLOOKUP(G123,MD!M$2:O$93,3,FALSE)</f>
        <v>ha</v>
      </c>
      <c r="K123" s="29">
        <v>1</v>
      </c>
      <c r="L123" s="27"/>
      <c r="M123" s="25"/>
      <c r="N123" s="25"/>
      <c r="O123" s="25"/>
      <c r="P123" s="22"/>
      <c r="Q123" s="44"/>
      <c r="R123" s="44"/>
      <c r="S123" s="44"/>
      <c r="T123" s="25"/>
      <c r="U123" s="25"/>
      <c r="V123" s="25"/>
      <c r="W123" s="25"/>
      <c r="X123" s="22"/>
      <c r="Y123" s="44"/>
      <c r="Z123" s="44"/>
      <c r="AA123" s="44"/>
      <c r="AB123" s="25"/>
      <c r="AC123" s="25"/>
      <c r="AD123" s="25"/>
      <c r="AE123" s="25"/>
    </row>
    <row r="124" spans="1:31" s="59" customFormat="1">
      <c r="A124" s="47" t="s">
        <v>847</v>
      </c>
      <c r="B124" s="47" t="s">
        <v>836</v>
      </c>
      <c r="C124" s="48">
        <v>44286</v>
      </c>
      <c r="D124" s="64">
        <f t="shared" si="4"/>
        <v>14</v>
      </c>
      <c r="E124" s="47" t="s">
        <v>121</v>
      </c>
      <c r="F124" s="18" t="s">
        <v>89</v>
      </c>
      <c r="G124" s="18" t="s">
        <v>110</v>
      </c>
      <c r="H124" s="27" t="s">
        <v>947</v>
      </c>
      <c r="I124" s="24">
        <f>0.4/0.75</f>
        <v>0.53333333333333333</v>
      </c>
      <c r="J124" s="20" t="str">
        <f>VLOOKUP(G124,MD!M$2:O$93,3,FALSE)</f>
        <v>Dose hom.</v>
      </c>
      <c r="K124" s="29">
        <v>1</v>
      </c>
      <c r="L124" s="27" t="s">
        <v>950</v>
      </c>
      <c r="M124" s="25" t="s">
        <v>469</v>
      </c>
      <c r="N124" s="25">
        <f>0.4*75</f>
        <v>30</v>
      </c>
      <c r="O124" s="25" t="s">
        <v>358</v>
      </c>
      <c r="P124" s="44"/>
      <c r="Q124" s="44"/>
      <c r="R124" s="44"/>
      <c r="S124" s="44"/>
      <c r="T124" s="25"/>
      <c r="U124" s="25"/>
      <c r="V124" s="25"/>
      <c r="W124" s="25"/>
      <c r="X124" s="22"/>
      <c r="Y124" s="44"/>
      <c r="Z124" s="44"/>
      <c r="AA124" s="44"/>
      <c r="AB124" s="25"/>
      <c r="AC124" s="25"/>
      <c r="AD124" s="25"/>
      <c r="AE124" s="25"/>
    </row>
    <row r="125" spans="1:31" s="59" customFormat="1">
      <c r="A125" s="47" t="s">
        <v>847</v>
      </c>
      <c r="B125" s="47" t="s">
        <v>836</v>
      </c>
      <c r="C125" s="48">
        <v>44286</v>
      </c>
      <c r="D125" s="64">
        <f t="shared" si="4"/>
        <v>14</v>
      </c>
      <c r="E125" s="47" t="s">
        <v>121</v>
      </c>
      <c r="F125" s="18" t="s">
        <v>89</v>
      </c>
      <c r="G125" s="18" t="s">
        <v>110</v>
      </c>
      <c r="H125" s="27" t="s">
        <v>948</v>
      </c>
      <c r="I125" s="24">
        <f>0.4/0.75</f>
        <v>0.53333333333333333</v>
      </c>
      <c r="J125" s="20" t="str">
        <f>VLOOKUP(G125,MD!M$2:O$93,3,FALSE)</f>
        <v>Dose hom.</v>
      </c>
      <c r="K125" s="29">
        <v>1</v>
      </c>
      <c r="L125" s="27" t="s">
        <v>949</v>
      </c>
      <c r="M125" s="25" t="s">
        <v>759</v>
      </c>
      <c r="N125" s="25">
        <f>0.4*50</f>
        <v>20</v>
      </c>
      <c r="O125" s="25" t="s">
        <v>358</v>
      </c>
      <c r="P125" s="44"/>
      <c r="Q125" s="44"/>
      <c r="R125" s="44"/>
      <c r="S125" s="44"/>
      <c r="T125" s="25"/>
      <c r="U125" s="25"/>
      <c r="V125" s="25"/>
      <c r="W125" s="25"/>
      <c r="X125" s="22"/>
      <c r="Y125" s="44"/>
      <c r="Z125" s="44"/>
      <c r="AA125" s="44"/>
      <c r="AB125" s="25"/>
      <c r="AC125" s="25"/>
      <c r="AD125" s="25"/>
      <c r="AE125" s="25"/>
    </row>
    <row r="126" spans="1:31" s="59" customFormat="1">
      <c r="A126" s="47" t="s">
        <v>847</v>
      </c>
      <c r="B126" s="47" t="s">
        <v>836</v>
      </c>
      <c r="C126" s="48">
        <v>44304</v>
      </c>
      <c r="D126" s="64">
        <f t="shared" si="4"/>
        <v>17</v>
      </c>
      <c r="E126" s="47" t="s">
        <v>121</v>
      </c>
      <c r="F126" s="18" t="s">
        <v>86</v>
      </c>
      <c r="G126" s="18" t="s">
        <v>64</v>
      </c>
      <c r="H126" s="27"/>
      <c r="I126" s="24">
        <v>1</v>
      </c>
      <c r="J126" s="20" t="str">
        <f>VLOOKUP(G126,MD!M$2:O$93,3,FALSE)</f>
        <v>ha</v>
      </c>
      <c r="K126" s="29">
        <v>1</v>
      </c>
      <c r="L126" s="27"/>
      <c r="M126" s="25"/>
      <c r="N126" s="25"/>
      <c r="O126" s="25"/>
      <c r="P126" s="22"/>
      <c r="Q126" s="44"/>
      <c r="R126" s="44"/>
      <c r="S126" s="44"/>
      <c r="T126" s="25"/>
      <c r="U126" s="25"/>
      <c r="V126" s="25"/>
      <c r="W126" s="25"/>
      <c r="X126" s="22"/>
      <c r="Y126" s="44"/>
      <c r="Z126" s="44"/>
      <c r="AA126" s="44"/>
      <c r="AB126" s="25"/>
      <c r="AC126" s="25"/>
      <c r="AD126" s="25"/>
      <c r="AE126" s="25"/>
    </row>
    <row r="127" spans="1:31" s="59" customFormat="1">
      <c r="A127" s="47" t="s">
        <v>847</v>
      </c>
      <c r="B127" s="47" t="s">
        <v>836</v>
      </c>
      <c r="C127" s="48">
        <v>44304</v>
      </c>
      <c r="D127" s="64">
        <f t="shared" si="4"/>
        <v>17</v>
      </c>
      <c r="E127" s="47" t="s">
        <v>121</v>
      </c>
      <c r="F127" s="18" t="s">
        <v>89</v>
      </c>
      <c r="G127" s="18" t="s">
        <v>112</v>
      </c>
      <c r="H127" s="27" t="s">
        <v>952</v>
      </c>
      <c r="I127" s="24">
        <f>0.7/1.6</f>
        <v>0.43749999999999994</v>
      </c>
      <c r="J127" s="20" t="str">
        <f>VLOOKUP(G127,MD!M$2:O$93,3,FALSE)</f>
        <v>Dose hom.</v>
      </c>
      <c r="K127" s="29">
        <v>1</v>
      </c>
      <c r="L127" s="27" t="s">
        <v>956</v>
      </c>
      <c r="M127" s="25" t="s">
        <v>951</v>
      </c>
      <c r="N127" s="25">
        <f>0.7*150</f>
        <v>105</v>
      </c>
      <c r="O127" s="25" t="s">
        <v>358</v>
      </c>
      <c r="P127" s="22"/>
      <c r="Q127" s="44"/>
      <c r="R127" s="44"/>
      <c r="S127" s="44"/>
      <c r="T127" s="25"/>
      <c r="U127" s="25"/>
      <c r="V127" s="25"/>
      <c r="W127" s="25"/>
      <c r="X127" s="22"/>
      <c r="Y127" s="44"/>
      <c r="Z127" s="44"/>
      <c r="AA127" s="44"/>
      <c r="AB127" s="25"/>
      <c r="AC127" s="25"/>
      <c r="AD127" s="25"/>
      <c r="AE127" s="25"/>
    </row>
    <row r="128" spans="1:31" s="59" customFormat="1">
      <c r="A128" s="47" t="s">
        <v>847</v>
      </c>
      <c r="B128" s="47" t="s">
        <v>836</v>
      </c>
      <c r="C128" s="48">
        <v>44304</v>
      </c>
      <c r="D128" s="64">
        <f t="shared" si="4"/>
        <v>17</v>
      </c>
      <c r="E128" s="47" t="s">
        <v>121</v>
      </c>
      <c r="F128" s="18" t="s">
        <v>89</v>
      </c>
      <c r="G128" s="18" t="s">
        <v>112</v>
      </c>
      <c r="H128" s="27" t="s">
        <v>953</v>
      </c>
      <c r="I128" s="24">
        <f>0.7/1.6</f>
        <v>0.43749999999999994</v>
      </c>
      <c r="J128" s="20" t="str">
        <f>VLOOKUP(G128,MD!M$2:O$93,3,FALSE)</f>
        <v>Dose hom.</v>
      </c>
      <c r="K128" s="29">
        <v>1</v>
      </c>
      <c r="L128" s="27" t="s">
        <v>957</v>
      </c>
      <c r="M128" s="25" t="s">
        <v>954</v>
      </c>
      <c r="N128" s="25">
        <f>0.7*200</f>
        <v>140</v>
      </c>
      <c r="O128" s="25" t="s">
        <v>358</v>
      </c>
      <c r="P128" s="22"/>
      <c r="Q128" s="44"/>
      <c r="R128" s="44"/>
      <c r="S128" s="44"/>
      <c r="T128" s="25"/>
      <c r="U128" s="25"/>
      <c r="V128" s="25"/>
      <c r="W128" s="25"/>
      <c r="X128" s="22"/>
      <c r="Y128" s="44"/>
      <c r="Z128" s="44"/>
      <c r="AA128" s="44"/>
      <c r="AB128" s="25"/>
      <c r="AC128" s="25"/>
      <c r="AD128" s="25"/>
      <c r="AE128" s="25"/>
    </row>
    <row r="129" spans="1:31" s="59" customFormat="1">
      <c r="A129" s="47" t="s">
        <v>847</v>
      </c>
      <c r="B129" s="47" t="s">
        <v>836</v>
      </c>
      <c r="C129" s="48">
        <v>44304</v>
      </c>
      <c r="D129" s="64">
        <f t="shared" si="4"/>
        <v>17</v>
      </c>
      <c r="E129" s="47" t="s">
        <v>121</v>
      </c>
      <c r="F129" s="18" t="s">
        <v>89</v>
      </c>
      <c r="G129" s="18" t="s">
        <v>112</v>
      </c>
      <c r="H129" s="27" t="s">
        <v>955</v>
      </c>
      <c r="I129" s="24">
        <f>0.7/1.6</f>
        <v>0.43749999999999994</v>
      </c>
      <c r="J129" s="20" t="str">
        <f>VLOOKUP(G129,MD!M$2:O$93,3,FALSE)</f>
        <v>Dose hom.</v>
      </c>
      <c r="K129" s="29">
        <v>1</v>
      </c>
      <c r="L129" s="27" t="s">
        <v>958</v>
      </c>
      <c r="M129" s="25" t="s">
        <v>371</v>
      </c>
      <c r="N129" s="25">
        <f>0.7*100</f>
        <v>70</v>
      </c>
      <c r="O129" s="25" t="s">
        <v>358</v>
      </c>
      <c r="P129" s="22"/>
      <c r="Q129" s="44"/>
      <c r="R129" s="44"/>
      <c r="S129" s="44"/>
      <c r="T129" s="25"/>
      <c r="U129" s="25"/>
      <c r="V129" s="25"/>
      <c r="W129" s="25"/>
      <c r="X129" s="22"/>
      <c r="Y129" s="44"/>
      <c r="Z129" s="44"/>
      <c r="AA129" s="44"/>
      <c r="AB129" s="25"/>
      <c r="AC129" s="25"/>
      <c r="AD129" s="25"/>
      <c r="AE129" s="25"/>
    </row>
    <row r="130" spans="1:31" s="59" customFormat="1">
      <c r="A130" s="47" t="s">
        <v>847</v>
      </c>
      <c r="B130" s="47" t="s">
        <v>836</v>
      </c>
      <c r="C130" s="48">
        <v>44304</v>
      </c>
      <c r="D130" s="64">
        <f t="shared" ref="D130:D142" si="5">WEEKNUM(C130)</f>
        <v>17</v>
      </c>
      <c r="E130" s="47" t="s">
        <v>121</v>
      </c>
      <c r="F130" s="18" t="s">
        <v>89</v>
      </c>
      <c r="G130" s="18" t="s">
        <v>112</v>
      </c>
      <c r="H130" s="27" t="s">
        <v>985</v>
      </c>
      <c r="I130" s="24">
        <f>3/10</f>
        <v>0.3</v>
      </c>
      <c r="J130" s="20" t="str">
        <f>VLOOKUP(G130,MD!M$2:O$93,3,FALSE)</f>
        <v>Dose hom.</v>
      </c>
      <c r="K130" s="29">
        <v>1</v>
      </c>
      <c r="L130" s="27" t="s">
        <v>959</v>
      </c>
      <c r="M130" s="25" t="s">
        <v>960</v>
      </c>
      <c r="N130" s="25">
        <f>3*800</f>
        <v>2400</v>
      </c>
      <c r="O130" s="25" t="s">
        <v>358</v>
      </c>
      <c r="P130" s="22"/>
      <c r="Q130" s="44"/>
      <c r="R130" s="44"/>
      <c r="S130" s="44"/>
      <c r="T130" s="25"/>
      <c r="U130" s="25"/>
      <c r="V130" s="25"/>
      <c r="W130" s="25"/>
      <c r="X130" s="22"/>
      <c r="Y130" s="44"/>
      <c r="Z130" s="44"/>
      <c r="AA130" s="44"/>
      <c r="AB130" s="25"/>
      <c r="AC130" s="25"/>
      <c r="AD130" s="25"/>
      <c r="AE130" s="25"/>
    </row>
    <row r="131" spans="1:31" s="59" customFormat="1">
      <c r="A131" s="47" t="s">
        <v>847</v>
      </c>
      <c r="B131" s="47" t="s">
        <v>836</v>
      </c>
      <c r="C131" s="48">
        <v>44322</v>
      </c>
      <c r="D131" s="64">
        <f t="shared" si="5"/>
        <v>19</v>
      </c>
      <c r="E131" s="47" t="s">
        <v>121</v>
      </c>
      <c r="F131" s="18" t="s">
        <v>85</v>
      </c>
      <c r="G131" s="18" t="s">
        <v>67</v>
      </c>
      <c r="H131" s="27"/>
      <c r="I131" s="24">
        <v>1</v>
      </c>
      <c r="J131" s="20" t="str">
        <f>VLOOKUP(G131,MD!M$2:O$93,3,FALSE)</f>
        <v>ha</v>
      </c>
      <c r="K131" s="29">
        <v>1</v>
      </c>
      <c r="L131" s="27"/>
      <c r="M131" s="25"/>
      <c r="N131" s="25"/>
      <c r="O131" s="25"/>
      <c r="P131" s="22"/>
      <c r="Q131" s="44"/>
      <c r="R131" s="44"/>
      <c r="S131" s="44"/>
      <c r="T131" s="25"/>
      <c r="U131" s="25"/>
      <c r="V131" s="25"/>
      <c r="W131" s="25"/>
      <c r="X131" s="22"/>
      <c r="Y131" s="44"/>
      <c r="Z131" s="44"/>
      <c r="AA131" s="44"/>
      <c r="AB131" s="25"/>
      <c r="AC131" s="25"/>
      <c r="AD131" s="25"/>
      <c r="AE131" s="25"/>
    </row>
    <row r="132" spans="1:31" s="59" customFormat="1">
      <c r="A132" s="47" t="s">
        <v>847</v>
      </c>
      <c r="B132" s="47" t="s">
        <v>836</v>
      </c>
      <c r="C132" s="48">
        <v>44322</v>
      </c>
      <c r="D132" s="64">
        <f t="shared" si="5"/>
        <v>19</v>
      </c>
      <c r="E132" s="47" t="s">
        <v>121</v>
      </c>
      <c r="F132" s="18" t="s">
        <v>88</v>
      </c>
      <c r="G132" s="18" t="s">
        <v>191</v>
      </c>
      <c r="H132" s="27" t="s">
        <v>277</v>
      </c>
      <c r="I132" s="24">
        <v>150</v>
      </c>
      <c r="J132" s="20" t="str">
        <f>VLOOKUP(G132,MD!M$2:O$93,3,FALSE)</f>
        <v>l/ha</v>
      </c>
      <c r="K132" s="29">
        <v>1</v>
      </c>
      <c r="L132" s="27" t="s">
        <v>936</v>
      </c>
      <c r="M132" s="25"/>
      <c r="N132" s="25"/>
      <c r="O132" s="25"/>
      <c r="P132" s="22"/>
      <c r="Q132" s="44"/>
      <c r="R132" s="44"/>
      <c r="S132" s="44"/>
      <c r="T132" s="25"/>
      <c r="U132" s="25"/>
      <c r="V132" s="25"/>
      <c r="W132" s="25"/>
      <c r="X132" s="22"/>
      <c r="Y132" s="44"/>
      <c r="Z132" s="44"/>
      <c r="AA132" s="44"/>
      <c r="AB132" s="25"/>
      <c r="AC132" s="25"/>
      <c r="AD132" s="25"/>
      <c r="AE132" s="25"/>
    </row>
    <row r="133" spans="1:31" s="59" customFormat="1">
      <c r="A133" s="47" t="s">
        <v>847</v>
      </c>
      <c r="B133" s="47" t="s">
        <v>836</v>
      </c>
      <c r="C133" s="48">
        <v>44327</v>
      </c>
      <c r="D133" s="64">
        <f t="shared" si="5"/>
        <v>20</v>
      </c>
      <c r="E133" s="47" t="s">
        <v>121</v>
      </c>
      <c r="F133" s="18" t="s">
        <v>86</v>
      </c>
      <c r="G133" s="18" t="s">
        <v>64</v>
      </c>
      <c r="H133" s="27"/>
      <c r="I133" s="24">
        <v>1</v>
      </c>
      <c r="J133" s="20" t="str">
        <f>VLOOKUP(G133,MD!M$2:O$93,3,FALSE)</f>
        <v>ha</v>
      </c>
      <c r="K133" s="29">
        <v>1</v>
      </c>
      <c r="L133" s="27"/>
      <c r="M133" s="25"/>
      <c r="N133" s="25"/>
      <c r="O133" s="25"/>
      <c r="P133" s="22"/>
      <c r="Q133" s="44"/>
      <c r="R133" s="44"/>
      <c r="S133" s="44"/>
      <c r="T133" s="25"/>
      <c r="U133" s="25"/>
      <c r="V133" s="25"/>
      <c r="W133" s="25"/>
      <c r="X133" s="22"/>
      <c r="Y133" s="44"/>
      <c r="Z133" s="44"/>
      <c r="AA133" s="44"/>
      <c r="AB133" s="25"/>
      <c r="AC133" s="25"/>
      <c r="AD133" s="25"/>
      <c r="AE133" s="25"/>
    </row>
    <row r="134" spans="1:31" s="59" customFormat="1">
      <c r="A134" s="47" t="s">
        <v>847</v>
      </c>
      <c r="B134" s="47" t="s">
        <v>836</v>
      </c>
      <c r="C134" s="48">
        <v>44327</v>
      </c>
      <c r="D134" s="64">
        <f t="shared" si="5"/>
        <v>20</v>
      </c>
      <c r="E134" s="47" t="s">
        <v>121</v>
      </c>
      <c r="F134" s="18" t="s">
        <v>89</v>
      </c>
      <c r="G134" s="18" t="s">
        <v>113</v>
      </c>
      <c r="H134" s="27" t="s">
        <v>931</v>
      </c>
      <c r="I134" s="24">
        <f>1/1.2</f>
        <v>0.83333333333333337</v>
      </c>
      <c r="J134" s="20" t="str">
        <f>VLOOKUP(G134,MD!M$2:O$93,3,FALSE)</f>
        <v>Dose hom.</v>
      </c>
      <c r="K134" s="29">
        <v>1</v>
      </c>
      <c r="L134" s="27" t="s">
        <v>933</v>
      </c>
      <c r="M134" s="25" t="s">
        <v>486</v>
      </c>
      <c r="N134" s="25">
        <v>50</v>
      </c>
      <c r="O134" s="25" t="s">
        <v>358</v>
      </c>
      <c r="P134" s="22"/>
      <c r="Q134" s="44"/>
      <c r="R134" s="44"/>
      <c r="S134" s="44"/>
      <c r="T134" s="25"/>
      <c r="U134" s="25"/>
      <c r="V134" s="25"/>
      <c r="W134" s="25"/>
      <c r="X134" s="22"/>
      <c r="Y134" s="44"/>
      <c r="Z134" s="44"/>
      <c r="AA134" s="44"/>
      <c r="AB134" s="25"/>
      <c r="AC134" s="25"/>
      <c r="AD134" s="25"/>
      <c r="AE134" s="25"/>
    </row>
    <row r="135" spans="1:31" s="59" customFormat="1">
      <c r="A135" s="47" t="s">
        <v>847</v>
      </c>
      <c r="B135" s="47" t="s">
        <v>836</v>
      </c>
      <c r="C135" s="48">
        <v>44327</v>
      </c>
      <c r="D135" s="64">
        <f t="shared" si="5"/>
        <v>20</v>
      </c>
      <c r="E135" s="47" t="s">
        <v>121</v>
      </c>
      <c r="F135" s="18" t="s">
        <v>89</v>
      </c>
      <c r="G135" s="18" t="s">
        <v>113</v>
      </c>
      <c r="H135" s="27" t="s">
        <v>932</v>
      </c>
      <c r="I135" s="24">
        <f>1/1.2</f>
        <v>0.83333333333333337</v>
      </c>
      <c r="J135" s="20" t="str">
        <f>VLOOKUP(G135,MD!M$2:O$93,3,FALSE)</f>
        <v>Dose hom.</v>
      </c>
      <c r="K135" s="29">
        <v>1</v>
      </c>
      <c r="L135" s="27" t="s">
        <v>934</v>
      </c>
      <c r="M135" s="25" t="s">
        <v>930</v>
      </c>
      <c r="N135" s="25">
        <v>12.5</v>
      </c>
      <c r="O135" s="25" t="s">
        <v>358</v>
      </c>
      <c r="P135" s="22"/>
      <c r="Q135" s="44"/>
      <c r="R135" s="44"/>
      <c r="S135" s="44"/>
      <c r="T135" s="25"/>
      <c r="U135" s="25"/>
      <c r="V135" s="25"/>
      <c r="W135" s="25"/>
      <c r="X135" s="22"/>
      <c r="Y135" s="44"/>
      <c r="Z135" s="44"/>
      <c r="AA135" s="44"/>
      <c r="AB135" s="25"/>
      <c r="AC135" s="25"/>
      <c r="AD135" s="25"/>
      <c r="AE135" s="25"/>
    </row>
    <row r="136" spans="1:31" s="59" customFormat="1">
      <c r="A136" s="47" t="s">
        <v>847</v>
      </c>
      <c r="B136" s="47" t="s">
        <v>836</v>
      </c>
      <c r="C136" s="48">
        <v>44327</v>
      </c>
      <c r="D136" s="64">
        <f t="shared" si="5"/>
        <v>20</v>
      </c>
      <c r="E136" s="47" t="s">
        <v>121</v>
      </c>
      <c r="F136" s="18" t="s">
        <v>89</v>
      </c>
      <c r="G136" s="18" t="s">
        <v>108</v>
      </c>
      <c r="H136" s="27" t="s">
        <v>935</v>
      </c>
      <c r="I136" s="24">
        <v>1</v>
      </c>
      <c r="J136" s="95" t="s">
        <v>107</v>
      </c>
      <c r="K136" s="29">
        <v>1</v>
      </c>
      <c r="L136" s="27"/>
      <c r="M136" s="25"/>
      <c r="N136" s="25"/>
      <c r="O136" s="25"/>
      <c r="P136" s="22"/>
      <c r="Q136" s="44"/>
      <c r="R136" s="44"/>
      <c r="S136" s="44"/>
      <c r="T136" s="25"/>
      <c r="U136" s="25"/>
      <c r="V136" s="25"/>
      <c r="W136" s="25"/>
      <c r="X136" s="22"/>
      <c r="Y136" s="44"/>
      <c r="Z136" s="44"/>
      <c r="AA136" s="44"/>
      <c r="AB136" s="25"/>
      <c r="AC136" s="25"/>
      <c r="AD136" s="25"/>
      <c r="AE136" s="25"/>
    </row>
    <row r="137" spans="1:31" s="59" customFormat="1">
      <c r="A137" s="47" t="s">
        <v>847</v>
      </c>
      <c r="B137" s="47" t="s">
        <v>836</v>
      </c>
      <c r="C137" s="48">
        <v>44334</v>
      </c>
      <c r="D137" s="64">
        <f t="shared" si="5"/>
        <v>21</v>
      </c>
      <c r="E137" s="47" t="s">
        <v>121</v>
      </c>
      <c r="F137" s="18" t="s">
        <v>86</v>
      </c>
      <c r="G137" s="18" t="s">
        <v>64</v>
      </c>
      <c r="H137" s="27"/>
      <c r="I137" s="24">
        <v>1</v>
      </c>
      <c r="J137" s="20" t="str">
        <f>VLOOKUP(G137,MD!M$2:O$93,3,FALSE)</f>
        <v>ha</v>
      </c>
      <c r="K137" s="29">
        <v>1</v>
      </c>
      <c r="L137" s="27"/>
      <c r="M137" s="25"/>
      <c r="N137" s="25"/>
      <c r="O137" s="25"/>
      <c r="P137" s="22"/>
      <c r="Q137" s="44"/>
      <c r="R137" s="44"/>
      <c r="S137" s="44"/>
      <c r="T137" s="25"/>
      <c r="U137" s="25"/>
      <c r="V137" s="25"/>
      <c r="W137" s="25"/>
      <c r="X137" s="22"/>
      <c r="Y137" s="44"/>
      <c r="Z137" s="44"/>
      <c r="AA137" s="44"/>
      <c r="AB137" s="25"/>
      <c r="AC137" s="25"/>
      <c r="AD137" s="25"/>
      <c r="AE137" s="25"/>
    </row>
    <row r="138" spans="1:31" s="59" customFormat="1">
      <c r="A138" s="47" t="s">
        <v>847</v>
      </c>
      <c r="B138" s="47" t="s">
        <v>836</v>
      </c>
      <c r="C138" s="48">
        <v>44334</v>
      </c>
      <c r="D138" s="64">
        <f t="shared" si="5"/>
        <v>21</v>
      </c>
      <c r="E138" s="47" t="s">
        <v>121</v>
      </c>
      <c r="F138" s="18" t="s">
        <v>89</v>
      </c>
      <c r="G138" s="18" t="s">
        <v>112</v>
      </c>
      <c r="H138" s="27" t="s">
        <v>937</v>
      </c>
      <c r="I138" s="24">
        <f>0.75/1.5</f>
        <v>0.5</v>
      </c>
      <c r="J138" s="20" t="str">
        <f>VLOOKUP(G138,MD!M$2:O$93,3,FALSE)</f>
        <v>Dose hom.</v>
      </c>
      <c r="K138" s="29">
        <v>1</v>
      </c>
      <c r="L138" s="27" t="s">
        <v>938</v>
      </c>
      <c r="M138" s="25" t="s">
        <v>915</v>
      </c>
      <c r="N138" s="25">
        <f>0.75*100</f>
        <v>75</v>
      </c>
      <c r="O138" s="25" t="s">
        <v>358</v>
      </c>
      <c r="P138" s="22"/>
      <c r="Q138" s="44"/>
      <c r="R138" s="44"/>
      <c r="S138" s="44"/>
      <c r="T138" s="25"/>
      <c r="U138" s="25"/>
      <c r="V138" s="25"/>
      <c r="W138" s="25"/>
      <c r="X138" s="22"/>
      <c r="Y138" s="44"/>
      <c r="Z138" s="44"/>
      <c r="AA138" s="44"/>
      <c r="AB138" s="25"/>
      <c r="AC138" s="25"/>
      <c r="AD138" s="25"/>
      <c r="AE138" s="25"/>
    </row>
    <row r="139" spans="1:31" s="59" customFormat="1">
      <c r="A139" s="47" t="s">
        <v>847</v>
      </c>
      <c r="B139" s="47" t="s">
        <v>836</v>
      </c>
      <c r="C139" s="48">
        <v>44334</v>
      </c>
      <c r="D139" s="64">
        <f t="shared" si="5"/>
        <v>21</v>
      </c>
      <c r="E139" s="47" t="s">
        <v>121</v>
      </c>
      <c r="F139" s="18" t="s">
        <v>89</v>
      </c>
      <c r="G139" s="18" t="s">
        <v>112</v>
      </c>
      <c r="H139" s="27" t="s">
        <v>939</v>
      </c>
      <c r="I139" s="24">
        <f>0.75/1.5</f>
        <v>0.5</v>
      </c>
      <c r="J139" s="20" t="str">
        <f>VLOOKUP(G139,MD!M$2:O$93,3,FALSE)</f>
        <v>Dose hom.</v>
      </c>
      <c r="K139" s="29">
        <v>1</v>
      </c>
      <c r="L139" s="27" t="s">
        <v>941</v>
      </c>
      <c r="M139" s="25" t="s">
        <v>940</v>
      </c>
      <c r="N139" s="25">
        <f>0.75*50</f>
        <v>37.5</v>
      </c>
      <c r="O139" s="25" t="s">
        <v>358</v>
      </c>
      <c r="P139" s="22"/>
      <c r="Q139" s="44"/>
      <c r="R139" s="44"/>
      <c r="S139" s="44"/>
      <c r="T139" s="25"/>
      <c r="U139" s="25"/>
      <c r="V139" s="25"/>
      <c r="W139" s="25"/>
      <c r="X139" s="22"/>
      <c r="Y139" s="44"/>
      <c r="Z139" s="44"/>
      <c r="AA139" s="44"/>
      <c r="AB139" s="25"/>
      <c r="AC139" s="25"/>
      <c r="AD139" s="25"/>
      <c r="AE139" s="25"/>
    </row>
    <row r="140" spans="1:31" s="59" customFormat="1">
      <c r="A140" s="47" t="s">
        <v>847</v>
      </c>
      <c r="B140" s="47" t="s">
        <v>836</v>
      </c>
      <c r="C140" s="48">
        <v>44349</v>
      </c>
      <c r="D140" s="64">
        <f t="shared" si="5"/>
        <v>23</v>
      </c>
      <c r="E140" s="47" t="s">
        <v>121</v>
      </c>
      <c r="F140" s="18" t="s">
        <v>86</v>
      </c>
      <c r="G140" s="18" t="s">
        <v>64</v>
      </c>
      <c r="H140" s="27"/>
      <c r="I140" s="24">
        <v>1</v>
      </c>
      <c r="J140" s="20" t="str">
        <f>VLOOKUP(G140,MD!M$2:O$93,3,FALSE)</f>
        <v>ha</v>
      </c>
      <c r="K140" s="29">
        <v>1</v>
      </c>
      <c r="L140" s="27"/>
      <c r="M140" s="25"/>
      <c r="N140" s="25"/>
      <c r="O140" s="25"/>
      <c r="P140" s="22"/>
      <c r="Q140" s="44"/>
      <c r="R140" s="44"/>
      <c r="S140" s="44"/>
      <c r="T140" s="25"/>
      <c r="U140" s="25"/>
      <c r="V140" s="25"/>
      <c r="W140" s="25"/>
      <c r="X140" s="22"/>
      <c r="Y140" s="44"/>
      <c r="Z140" s="44"/>
      <c r="AA140" s="44"/>
      <c r="AB140" s="25"/>
      <c r="AC140" s="25"/>
      <c r="AD140" s="25"/>
      <c r="AE140" s="25"/>
    </row>
    <row r="141" spans="1:31" s="59" customFormat="1">
      <c r="A141" s="47" t="s">
        <v>847</v>
      </c>
      <c r="B141" s="47" t="s">
        <v>836</v>
      </c>
      <c r="C141" s="48">
        <v>44349</v>
      </c>
      <c r="D141" s="64">
        <f t="shared" si="5"/>
        <v>23</v>
      </c>
      <c r="E141" s="47" t="s">
        <v>121</v>
      </c>
      <c r="F141" s="18" t="s">
        <v>89</v>
      </c>
      <c r="G141" s="18" t="s">
        <v>112</v>
      </c>
      <c r="H141" s="27" t="s">
        <v>942</v>
      </c>
      <c r="I141" s="24">
        <f>0.6/1</f>
        <v>0.6</v>
      </c>
      <c r="J141" s="20" t="str">
        <f>VLOOKUP(G141,MD!M$2:O$93,3,FALSE)</f>
        <v>Dose hom.</v>
      </c>
      <c r="K141" s="29">
        <v>1</v>
      </c>
      <c r="L141" s="27" t="s">
        <v>961</v>
      </c>
      <c r="M141" s="25" t="s">
        <v>371</v>
      </c>
      <c r="N141" s="25">
        <f>0.6*80</f>
        <v>48</v>
      </c>
      <c r="O141" s="25" t="s">
        <v>358</v>
      </c>
      <c r="P141" s="22"/>
      <c r="Q141" s="44"/>
      <c r="R141" s="44"/>
      <c r="S141" s="44"/>
      <c r="T141" s="25"/>
      <c r="U141" s="25"/>
      <c r="V141" s="25"/>
      <c r="W141" s="25"/>
      <c r="X141" s="22"/>
      <c r="Y141" s="44"/>
      <c r="Z141" s="44"/>
      <c r="AA141" s="44"/>
      <c r="AB141" s="25"/>
      <c r="AC141" s="25"/>
      <c r="AD141" s="25"/>
      <c r="AE141" s="25"/>
    </row>
    <row r="142" spans="1:31" s="59" customFormat="1">
      <c r="A142" s="47" t="s">
        <v>847</v>
      </c>
      <c r="B142" s="47" t="s">
        <v>836</v>
      </c>
      <c r="C142" s="48">
        <v>44349</v>
      </c>
      <c r="D142" s="64">
        <f t="shared" si="5"/>
        <v>23</v>
      </c>
      <c r="E142" s="47" t="s">
        <v>121</v>
      </c>
      <c r="F142" s="18" t="s">
        <v>89</v>
      </c>
      <c r="G142" s="18" t="s">
        <v>112</v>
      </c>
      <c r="H142" s="27" t="s">
        <v>943</v>
      </c>
      <c r="I142" s="24">
        <f>0.6/1</f>
        <v>0.6</v>
      </c>
      <c r="J142" s="20" t="str">
        <f>VLOOKUP(G142,MD!M$2:O$93,3,FALSE)</f>
        <v>Dose hom.</v>
      </c>
      <c r="K142" s="29">
        <v>1</v>
      </c>
      <c r="L142" s="27" t="s">
        <v>962</v>
      </c>
      <c r="M142" s="25" t="s">
        <v>367</v>
      </c>
      <c r="N142" s="25">
        <f>0.6*160</f>
        <v>96</v>
      </c>
      <c r="O142" s="25" t="s">
        <v>358</v>
      </c>
      <c r="P142" s="22"/>
      <c r="Q142" s="44"/>
      <c r="R142" s="44"/>
      <c r="S142" s="44"/>
      <c r="T142" s="25"/>
      <c r="U142" s="25"/>
      <c r="V142" s="25"/>
      <c r="W142" s="25"/>
      <c r="X142" s="22"/>
      <c r="Y142" s="44"/>
      <c r="Z142" s="44"/>
      <c r="AA142" s="44"/>
      <c r="AB142" s="25"/>
      <c r="AC142" s="25"/>
      <c r="AD142" s="25"/>
      <c r="AE142" s="25"/>
    </row>
    <row r="143" spans="1:31" s="59" customFormat="1">
      <c r="A143" s="47" t="s">
        <v>121</v>
      </c>
      <c r="B143" s="47" t="s">
        <v>836</v>
      </c>
      <c r="C143" s="48">
        <v>44368</v>
      </c>
      <c r="D143" s="64">
        <f t="shared" ref="D143:D152" si="6">WEEKNUM(C143)</f>
        <v>26</v>
      </c>
      <c r="E143" s="47" t="s">
        <v>121</v>
      </c>
      <c r="F143" s="18" t="s">
        <v>86</v>
      </c>
      <c r="G143" s="18"/>
      <c r="H143" s="27" t="s">
        <v>925</v>
      </c>
      <c r="I143" s="24">
        <v>25</v>
      </c>
      <c r="J143" s="20" t="s">
        <v>926</v>
      </c>
      <c r="K143" s="29">
        <v>1</v>
      </c>
      <c r="L143" s="27"/>
      <c r="M143" s="25"/>
      <c r="N143" s="25"/>
      <c r="O143" s="25"/>
      <c r="P143" s="22"/>
      <c r="Q143" s="44"/>
      <c r="R143" s="44"/>
      <c r="S143" s="44"/>
      <c r="T143" s="25"/>
      <c r="U143" s="25"/>
      <c r="V143" s="25"/>
      <c r="W143" s="25"/>
      <c r="X143" s="22"/>
      <c r="Y143" s="44"/>
      <c r="Z143" s="44"/>
      <c r="AA143" s="44"/>
      <c r="AB143" s="25"/>
      <c r="AC143" s="25"/>
      <c r="AD143" s="25"/>
      <c r="AE143" s="25"/>
    </row>
    <row r="144" spans="1:31" s="59" customFormat="1">
      <c r="A144" s="47" t="s">
        <v>121</v>
      </c>
      <c r="B144" s="47" t="s">
        <v>836</v>
      </c>
      <c r="C144" s="48">
        <v>44408</v>
      </c>
      <c r="D144" s="64">
        <f t="shared" si="6"/>
        <v>31</v>
      </c>
      <c r="E144" s="47" t="s">
        <v>121</v>
      </c>
      <c r="F144" s="18" t="s">
        <v>86</v>
      </c>
      <c r="G144" s="18" t="s">
        <v>55</v>
      </c>
      <c r="H144" s="27"/>
      <c r="I144" s="24">
        <v>1</v>
      </c>
      <c r="J144" s="20" t="str">
        <f>VLOOKUP(G144,MD!M$2:O$93,3,FALSE)</f>
        <v>ha</v>
      </c>
      <c r="K144" s="29">
        <v>1</v>
      </c>
      <c r="L144" s="27"/>
      <c r="M144" s="25"/>
      <c r="N144" s="25"/>
      <c r="O144" s="25"/>
      <c r="P144" s="22"/>
      <c r="Q144" s="44"/>
      <c r="R144" s="44"/>
      <c r="S144" s="44"/>
      <c r="T144" s="25"/>
      <c r="U144" s="25"/>
      <c r="V144" s="25"/>
      <c r="W144" s="25"/>
      <c r="X144" s="22"/>
      <c r="Y144" s="44"/>
      <c r="Z144" s="44"/>
      <c r="AA144" s="44"/>
      <c r="AB144" s="25"/>
      <c r="AC144" s="25"/>
      <c r="AD144" s="25"/>
      <c r="AE144" s="25"/>
    </row>
    <row r="145" spans="1:31" s="59" customFormat="1">
      <c r="A145" s="47" t="s">
        <v>121</v>
      </c>
      <c r="B145" s="47" t="s">
        <v>836</v>
      </c>
      <c r="C145" s="48">
        <v>44408</v>
      </c>
      <c r="D145" s="64">
        <f t="shared" si="6"/>
        <v>31</v>
      </c>
      <c r="E145" s="47" t="s">
        <v>121</v>
      </c>
      <c r="F145" s="18" t="s">
        <v>2</v>
      </c>
      <c r="G145" s="18" t="s">
        <v>115</v>
      </c>
      <c r="H145" s="27" t="s">
        <v>285</v>
      </c>
      <c r="I145" s="24">
        <v>117</v>
      </c>
      <c r="J145" s="20" t="str">
        <f>VLOOKUP(G145,MD!M$2:O$93,3,FALSE)</f>
        <v>Qtx/ha</v>
      </c>
      <c r="K145" s="29">
        <v>1</v>
      </c>
      <c r="L145" s="27" t="s">
        <v>977</v>
      </c>
      <c r="M145" s="25"/>
      <c r="N145" s="25"/>
      <c r="O145" s="25"/>
      <c r="P145" s="22"/>
      <c r="Q145" s="44"/>
      <c r="R145" s="44"/>
      <c r="S145" s="44"/>
      <c r="T145" s="25"/>
      <c r="U145" s="25"/>
      <c r="V145" s="25"/>
      <c r="W145" s="25"/>
      <c r="X145" s="22"/>
      <c r="Y145" s="44"/>
      <c r="Z145" s="44"/>
      <c r="AA145" s="44"/>
      <c r="AB145" s="25"/>
      <c r="AC145" s="25"/>
      <c r="AD145" s="25"/>
      <c r="AE145" s="25"/>
    </row>
    <row r="146" spans="1:31" s="59" customFormat="1">
      <c r="A146" s="47" t="s">
        <v>835</v>
      </c>
      <c r="B146" s="47" t="s">
        <v>986</v>
      </c>
      <c r="C146" s="48">
        <v>44414</v>
      </c>
      <c r="D146" s="64">
        <f t="shared" si="6"/>
        <v>32</v>
      </c>
      <c r="E146" s="47" t="s">
        <v>123</v>
      </c>
      <c r="F146" s="18" t="s">
        <v>84</v>
      </c>
      <c r="G146" s="18" t="s">
        <v>76</v>
      </c>
      <c r="H146" s="27"/>
      <c r="I146" s="24">
        <v>1</v>
      </c>
      <c r="J146" s="20" t="str">
        <f>VLOOKUP(G146,MD!M$2:O$93,3,FALSE)</f>
        <v>ha</v>
      </c>
      <c r="K146" s="29">
        <v>1</v>
      </c>
      <c r="L146" s="27" t="s">
        <v>987</v>
      </c>
      <c r="M146" s="25"/>
      <c r="N146" s="25"/>
      <c r="O146" s="25"/>
      <c r="P146" s="22"/>
      <c r="Q146" s="44"/>
      <c r="R146" s="44"/>
      <c r="S146" s="44"/>
      <c r="T146" s="25"/>
      <c r="U146" s="25"/>
      <c r="V146" s="25"/>
      <c r="W146" s="25"/>
      <c r="X146" s="22"/>
      <c r="Y146" s="44"/>
      <c r="Z146" s="44"/>
      <c r="AA146" s="44"/>
      <c r="AB146" s="25"/>
      <c r="AC146" s="25"/>
      <c r="AD146" s="25"/>
      <c r="AE146" s="25"/>
    </row>
    <row r="147" spans="1:31" s="59" customFormat="1">
      <c r="A147" s="47" t="s">
        <v>835</v>
      </c>
      <c r="B147" s="47" t="s">
        <v>986</v>
      </c>
      <c r="C147" s="48">
        <v>44414</v>
      </c>
      <c r="D147" s="64">
        <f t="shared" si="6"/>
        <v>32</v>
      </c>
      <c r="E147" s="47" t="s">
        <v>123</v>
      </c>
      <c r="F147" s="18" t="s">
        <v>87</v>
      </c>
      <c r="G147" s="18" t="s">
        <v>94</v>
      </c>
      <c r="H147" s="27" t="s">
        <v>274</v>
      </c>
      <c r="I147" s="24">
        <v>6</v>
      </c>
      <c r="J147" s="95" t="s">
        <v>106</v>
      </c>
      <c r="K147" s="29">
        <v>1</v>
      </c>
      <c r="L147" s="27"/>
      <c r="M147" s="25"/>
      <c r="N147" s="25"/>
      <c r="O147" s="25"/>
      <c r="P147" s="22"/>
      <c r="Q147" s="44"/>
      <c r="R147" s="44"/>
      <c r="S147" s="44"/>
      <c r="T147" s="25"/>
      <c r="U147" s="25"/>
      <c r="V147" s="25"/>
      <c r="W147" s="25"/>
      <c r="X147" s="22"/>
      <c r="Y147" s="44"/>
      <c r="Z147" s="44"/>
      <c r="AA147" s="44"/>
      <c r="AB147" s="25"/>
      <c r="AC147" s="25"/>
      <c r="AD147" s="25"/>
      <c r="AE147" s="25"/>
    </row>
    <row r="148" spans="1:31" s="59" customFormat="1">
      <c r="A148" s="47" t="s">
        <v>835</v>
      </c>
      <c r="B148" s="47" t="s">
        <v>986</v>
      </c>
      <c r="C148" s="48">
        <v>44414</v>
      </c>
      <c r="D148" s="64">
        <f t="shared" si="6"/>
        <v>32</v>
      </c>
      <c r="E148" s="47" t="s">
        <v>123</v>
      </c>
      <c r="F148" s="18" t="s">
        <v>87</v>
      </c>
      <c r="G148" s="18" t="s">
        <v>94</v>
      </c>
      <c r="H148" s="27" t="s">
        <v>992</v>
      </c>
      <c r="I148" s="24">
        <v>11.5</v>
      </c>
      <c r="J148" s="95" t="s">
        <v>106</v>
      </c>
      <c r="K148" s="29">
        <v>1</v>
      </c>
      <c r="L148" s="27"/>
      <c r="M148" s="25"/>
      <c r="N148" s="25"/>
      <c r="O148" s="25"/>
      <c r="P148" s="22"/>
      <c r="Q148" s="44"/>
      <c r="R148" s="44"/>
      <c r="S148" s="44"/>
      <c r="T148" s="25"/>
      <c r="U148" s="25"/>
      <c r="V148" s="25"/>
      <c r="W148" s="25"/>
      <c r="X148" s="22"/>
      <c r="Y148" s="44"/>
      <c r="Z148" s="44"/>
      <c r="AA148" s="44"/>
      <c r="AB148" s="25"/>
      <c r="AC148" s="25"/>
      <c r="AD148" s="25"/>
      <c r="AE148" s="25"/>
    </row>
    <row r="149" spans="1:31" s="59" customFormat="1">
      <c r="A149" s="47" t="s">
        <v>835</v>
      </c>
      <c r="B149" s="47" t="s">
        <v>986</v>
      </c>
      <c r="C149" s="48">
        <v>44416</v>
      </c>
      <c r="D149" s="64">
        <f t="shared" si="6"/>
        <v>33</v>
      </c>
      <c r="E149" s="47" t="s">
        <v>993</v>
      </c>
      <c r="F149" s="18" t="s">
        <v>83</v>
      </c>
      <c r="G149" s="18" t="s">
        <v>60</v>
      </c>
      <c r="H149" s="27"/>
      <c r="I149" s="24">
        <v>1</v>
      </c>
      <c r="J149" s="20" t="str">
        <f>VLOOKUP(G149,MD!M$2:O$93,3,FALSE)</f>
        <v>ha</v>
      </c>
      <c r="K149" s="29">
        <v>1</v>
      </c>
      <c r="L149" s="27"/>
      <c r="M149" s="25"/>
      <c r="N149" s="25"/>
      <c r="O149" s="25"/>
      <c r="P149" s="22"/>
      <c r="Q149" s="44"/>
      <c r="R149" s="44"/>
      <c r="S149" s="44"/>
      <c r="T149" s="25"/>
      <c r="U149" s="25"/>
      <c r="V149" s="25"/>
      <c r="W149" s="25"/>
      <c r="X149" s="22"/>
      <c r="Y149" s="44"/>
      <c r="Z149" s="44"/>
      <c r="AA149" s="44"/>
      <c r="AB149" s="25"/>
      <c r="AC149" s="25"/>
      <c r="AD149" s="25"/>
      <c r="AE149" s="25"/>
    </row>
    <row r="150" spans="1:31">
      <c r="A150" s="47" t="s">
        <v>835</v>
      </c>
      <c r="B150" s="47" t="s">
        <v>986</v>
      </c>
      <c r="C150" s="49">
        <v>44552</v>
      </c>
      <c r="D150" s="64">
        <f t="shared" si="6"/>
        <v>52</v>
      </c>
      <c r="E150" s="47" t="s">
        <v>993</v>
      </c>
      <c r="F150" s="18" t="s">
        <v>83</v>
      </c>
      <c r="G150" s="18" t="s">
        <v>37</v>
      </c>
      <c r="I150" s="24">
        <v>1</v>
      </c>
      <c r="J150" s="20" t="str">
        <f>VLOOKUP(G150,MD!M$2:O$93,3,FALSE)</f>
        <v>ha</v>
      </c>
      <c r="K150" s="29">
        <v>1</v>
      </c>
      <c r="P150" s="22"/>
      <c r="X150" s="22"/>
    </row>
    <row r="151" spans="1:31">
      <c r="A151" s="47" t="s">
        <v>835</v>
      </c>
      <c r="B151" s="47" t="s">
        <v>986</v>
      </c>
      <c r="C151" s="49">
        <v>44594</v>
      </c>
      <c r="D151" s="64">
        <f t="shared" si="6"/>
        <v>6</v>
      </c>
      <c r="E151" s="47" t="s">
        <v>1022</v>
      </c>
      <c r="F151" s="18" t="s">
        <v>83</v>
      </c>
      <c r="G151" s="18" t="s">
        <v>63</v>
      </c>
      <c r="I151" s="24">
        <v>1</v>
      </c>
      <c r="J151" s="20" t="str">
        <f>VLOOKUP(G151,MD!M$2:O$93,3,FALSE)</f>
        <v>ha</v>
      </c>
      <c r="K151" s="29">
        <v>1</v>
      </c>
      <c r="P151" s="22"/>
      <c r="X151" s="22"/>
    </row>
    <row r="152" spans="1:31">
      <c r="A152" s="47" t="s">
        <v>835</v>
      </c>
      <c r="B152" s="47" t="s">
        <v>986</v>
      </c>
      <c r="C152" s="49">
        <v>44641</v>
      </c>
      <c r="D152" s="64">
        <f t="shared" si="6"/>
        <v>13</v>
      </c>
      <c r="E152" s="47" t="s">
        <v>123</v>
      </c>
      <c r="F152" s="18" t="s">
        <v>83</v>
      </c>
      <c r="G152" s="18" t="s">
        <v>38</v>
      </c>
      <c r="I152" s="24">
        <v>1</v>
      </c>
      <c r="J152" s="20" t="str">
        <f>VLOOKUP(G152,MD!M$2:O$93,3,FALSE)</f>
        <v>ha</v>
      </c>
      <c r="K152" s="29">
        <v>1</v>
      </c>
      <c r="P152" s="22"/>
      <c r="X152" s="22"/>
    </row>
    <row r="153" spans="1:31">
      <c r="A153" s="47" t="s">
        <v>835</v>
      </c>
      <c r="B153" s="47" t="s">
        <v>986</v>
      </c>
      <c r="C153" s="49">
        <v>44641</v>
      </c>
      <c r="D153" s="64">
        <f t="shared" ref="D153:D154" si="7">WEEKNUM(C153)</f>
        <v>13</v>
      </c>
      <c r="E153" s="47" t="s">
        <v>123</v>
      </c>
      <c r="F153" s="18" t="s">
        <v>83</v>
      </c>
      <c r="G153" s="18" t="s">
        <v>60</v>
      </c>
      <c r="I153" s="24">
        <v>1</v>
      </c>
      <c r="J153" s="20" t="str">
        <f>VLOOKUP(G153,MD!M$2:O$93,3,FALSE)</f>
        <v>ha</v>
      </c>
      <c r="K153" s="29">
        <v>1</v>
      </c>
      <c r="P153" s="22"/>
      <c r="X153" s="22"/>
    </row>
    <row r="154" spans="1:31">
      <c r="A154" s="47" t="s">
        <v>835</v>
      </c>
      <c r="B154" s="47" t="s">
        <v>986</v>
      </c>
      <c r="C154" s="49">
        <v>44672</v>
      </c>
      <c r="D154" s="64">
        <f t="shared" si="7"/>
        <v>17</v>
      </c>
      <c r="E154" s="47" t="s">
        <v>123</v>
      </c>
      <c r="F154" s="18" t="s">
        <v>84</v>
      </c>
      <c r="G154" s="18" t="s">
        <v>76</v>
      </c>
      <c r="I154" s="24">
        <v>1</v>
      </c>
      <c r="J154" s="20" t="str">
        <f>VLOOKUP(G154,MD!M$2:O$93,3,FALSE)</f>
        <v>ha</v>
      </c>
      <c r="K154" s="29">
        <v>1</v>
      </c>
      <c r="P154" s="22"/>
      <c r="X154" s="22"/>
    </row>
    <row r="155" spans="1:31">
      <c r="A155" s="47" t="s">
        <v>835</v>
      </c>
      <c r="B155" s="47" t="s">
        <v>986</v>
      </c>
      <c r="C155" s="49">
        <v>44672</v>
      </c>
      <c r="D155" s="64">
        <f t="shared" ref="D155:D165" si="8">WEEKNUM(C155)</f>
        <v>17</v>
      </c>
      <c r="E155" s="47" t="s">
        <v>123</v>
      </c>
      <c r="F155" s="18" t="s">
        <v>87</v>
      </c>
      <c r="G155" s="18" t="s">
        <v>93</v>
      </c>
      <c r="H155" s="27" t="s">
        <v>999</v>
      </c>
      <c r="I155" s="24">
        <f>96000/10000</f>
        <v>9.6</v>
      </c>
      <c r="J155" s="20" t="str">
        <f>VLOOKUP(G155,MD!M$2:O$93,3,FALSE)</f>
        <v>gr./m2</v>
      </c>
      <c r="K155" s="29">
        <v>1</v>
      </c>
      <c r="P155" s="22"/>
      <c r="X155" s="22"/>
    </row>
    <row r="156" spans="1:31">
      <c r="A156" s="47" t="s">
        <v>835</v>
      </c>
      <c r="B156" s="47" t="s">
        <v>986</v>
      </c>
      <c r="C156" s="49">
        <v>44672</v>
      </c>
      <c r="D156" s="64">
        <f t="shared" si="8"/>
        <v>17</v>
      </c>
      <c r="E156" s="47" t="s">
        <v>123</v>
      </c>
      <c r="F156" s="18" t="s">
        <v>89</v>
      </c>
      <c r="G156" s="18" t="s">
        <v>133</v>
      </c>
      <c r="H156" s="27" t="s">
        <v>1002</v>
      </c>
      <c r="I156" s="24">
        <v>1</v>
      </c>
      <c r="J156" s="20" t="str">
        <f>VLOOKUP(G156,MD!M$2:O$93,3,FALSE)</f>
        <v>Dose hom.</v>
      </c>
      <c r="K156" s="29">
        <v>1</v>
      </c>
      <c r="L156" s="27" t="s">
        <v>1024</v>
      </c>
      <c r="M156" s="25" t="s">
        <v>1003</v>
      </c>
      <c r="N156" s="25" t="s">
        <v>1026</v>
      </c>
      <c r="P156" s="22"/>
      <c r="X156" s="22"/>
    </row>
    <row r="157" spans="1:31">
      <c r="A157" s="47" t="s">
        <v>835</v>
      </c>
      <c r="B157" s="47" t="s">
        <v>986</v>
      </c>
      <c r="C157" s="49">
        <v>44672</v>
      </c>
      <c r="D157" s="64">
        <f t="shared" si="8"/>
        <v>17</v>
      </c>
      <c r="E157" s="47" t="s">
        <v>123</v>
      </c>
      <c r="F157" s="18" t="s">
        <v>89</v>
      </c>
      <c r="G157" s="18" t="s">
        <v>133</v>
      </c>
      <c r="H157" s="27" t="s">
        <v>1001</v>
      </c>
      <c r="I157" s="24">
        <v>1</v>
      </c>
      <c r="J157" s="20" t="str">
        <f>VLOOKUP(G157,MD!M$2:O$93,3,FALSE)</f>
        <v>Dose hom.</v>
      </c>
      <c r="K157" s="29">
        <v>1</v>
      </c>
      <c r="L157" s="27" t="s">
        <v>1032</v>
      </c>
      <c r="M157" s="25" t="s">
        <v>367</v>
      </c>
      <c r="N157" s="25" t="s">
        <v>1025</v>
      </c>
      <c r="P157" s="22"/>
      <c r="X157" s="22"/>
    </row>
    <row r="158" spans="1:31">
      <c r="A158" s="47" t="s">
        <v>835</v>
      </c>
      <c r="B158" s="47" t="s">
        <v>986</v>
      </c>
      <c r="C158" s="49">
        <v>44672</v>
      </c>
      <c r="D158" s="64">
        <f t="shared" si="8"/>
        <v>17</v>
      </c>
      <c r="E158" s="47" t="s">
        <v>123</v>
      </c>
      <c r="F158" s="18" t="s">
        <v>89</v>
      </c>
      <c r="G158" s="18" t="s">
        <v>133</v>
      </c>
      <c r="H158" s="109" t="s">
        <v>1004</v>
      </c>
      <c r="I158" s="24">
        <v>1</v>
      </c>
      <c r="J158" s="20" t="str">
        <f>VLOOKUP(G158,MD!M$2:O$93,3,FALSE)</f>
        <v>Dose hom.</v>
      </c>
      <c r="K158" s="29">
        <v>1</v>
      </c>
      <c r="P158" s="22"/>
      <c r="X158" s="22"/>
    </row>
    <row r="159" spans="1:31">
      <c r="A159" s="47" t="s">
        <v>835</v>
      </c>
      <c r="B159" s="47" t="s">
        <v>986</v>
      </c>
      <c r="C159" s="49">
        <v>44672</v>
      </c>
      <c r="D159" s="64">
        <f t="shared" si="8"/>
        <v>17</v>
      </c>
      <c r="E159" s="47" t="s">
        <v>123</v>
      </c>
      <c r="F159" s="18" t="s">
        <v>89</v>
      </c>
      <c r="G159" s="18" t="s">
        <v>133</v>
      </c>
      <c r="H159" s="27" t="s">
        <v>1007</v>
      </c>
      <c r="I159" s="24">
        <v>1</v>
      </c>
      <c r="J159" s="20" t="str">
        <f>VLOOKUP(G159,MD!M$2:O$93,3,FALSE)</f>
        <v>Dose hom.</v>
      </c>
      <c r="K159" s="29">
        <v>1</v>
      </c>
      <c r="L159" s="27" t="s">
        <v>1030</v>
      </c>
      <c r="M159" s="25" t="s">
        <v>1010</v>
      </c>
      <c r="N159" s="25" t="s">
        <v>1031</v>
      </c>
      <c r="P159" s="22"/>
      <c r="X159" s="22"/>
    </row>
    <row r="160" spans="1:31">
      <c r="A160" s="47" t="s">
        <v>835</v>
      </c>
      <c r="B160" s="47" t="s">
        <v>986</v>
      </c>
      <c r="C160" s="49">
        <v>44672</v>
      </c>
      <c r="D160" s="64">
        <f t="shared" si="8"/>
        <v>17</v>
      </c>
      <c r="E160" s="47" t="s">
        <v>123</v>
      </c>
      <c r="F160" s="18" t="s">
        <v>89</v>
      </c>
      <c r="G160" s="18" t="s">
        <v>133</v>
      </c>
      <c r="H160" s="27" t="s">
        <v>1013</v>
      </c>
      <c r="I160" s="24">
        <v>1</v>
      </c>
      <c r="J160" s="20" t="str">
        <f>VLOOKUP(G160,MD!M$2:O$93,3,FALSE)</f>
        <v>Dose hom.</v>
      </c>
      <c r="K160" s="29">
        <v>1</v>
      </c>
      <c r="L160" s="27" t="s">
        <v>1033</v>
      </c>
      <c r="M160" s="25" t="s">
        <v>1015</v>
      </c>
      <c r="N160" s="25" t="s">
        <v>1057</v>
      </c>
      <c r="P160" s="22"/>
      <c r="X160" s="22"/>
    </row>
    <row r="161" spans="1:31">
      <c r="A161" s="47" t="s">
        <v>835</v>
      </c>
      <c r="B161" s="47" t="s">
        <v>986</v>
      </c>
      <c r="C161" s="49">
        <v>44672</v>
      </c>
      <c r="D161" s="64">
        <f t="shared" si="8"/>
        <v>17</v>
      </c>
      <c r="E161" s="47" t="s">
        <v>835</v>
      </c>
      <c r="F161" s="18" t="s">
        <v>89</v>
      </c>
      <c r="G161" s="18" t="s">
        <v>111</v>
      </c>
      <c r="H161" s="27" t="s">
        <v>1018</v>
      </c>
      <c r="I161" s="24">
        <f>12/15</f>
        <v>0.8</v>
      </c>
      <c r="J161" s="20" t="str">
        <f>VLOOKUP(G161,MD!M$2:O$93,3,FALSE)</f>
        <v>Dose hom.</v>
      </c>
      <c r="K161" s="29">
        <v>1</v>
      </c>
      <c r="L161" s="27" t="s">
        <v>1019</v>
      </c>
      <c r="M161" s="25" t="s">
        <v>1020</v>
      </c>
      <c r="N161" s="25" t="s">
        <v>1052</v>
      </c>
      <c r="P161" s="22"/>
      <c r="X161" s="22"/>
    </row>
    <row r="162" spans="1:31" s="59" customFormat="1">
      <c r="A162" s="47" t="s">
        <v>835</v>
      </c>
      <c r="B162" s="47" t="s">
        <v>986</v>
      </c>
      <c r="C162" s="49">
        <v>44672</v>
      </c>
      <c r="D162" s="64">
        <f t="shared" si="8"/>
        <v>17</v>
      </c>
      <c r="E162" s="47" t="s">
        <v>835</v>
      </c>
      <c r="F162" s="18" t="s">
        <v>85</v>
      </c>
      <c r="G162" s="18" t="s">
        <v>67</v>
      </c>
      <c r="H162" s="27"/>
      <c r="I162" s="24">
        <v>1</v>
      </c>
      <c r="J162" s="20" t="str">
        <f>VLOOKUP(G162,MD!M$2:O$93,3,FALSE)</f>
        <v>ha</v>
      </c>
      <c r="K162" s="29">
        <v>1</v>
      </c>
      <c r="L162" s="27"/>
      <c r="M162" s="25"/>
      <c r="N162" s="25"/>
      <c r="O162" s="25"/>
      <c r="P162" s="22"/>
      <c r="Q162" s="44"/>
      <c r="R162" s="44"/>
      <c r="S162" s="44"/>
      <c r="T162" s="25"/>
      <c r="U162" s="25"/>
      <c r="V162" s="25"/>
      <c r="W162" s="25"/>
      <c r="X162" s="22"/>
      <c r="Y162" s="44"/>
      <c r="Z162" s="44"/>
      <c r="AA162" s="44"/>
      <c r="AB162" s="25"/>
      <c r="AC162" s="25"/>
      <c r="AD162" s="25"/>
      <c r="AE162" s="25"/>
    </row>
    <row r="163" spans="1:31" s="59" customFormat="1">
      <c r="A163" s="47" t="s">
        <v>835</v>
      </c>
      <c r="B163" s="47" t="s">
        <v>986</v>
      </c>
      <c r="C163" s="49">
        <v>44672</v>
      </c>
      <c r="D163" s="64">
        <f t="shared" ref="D163:D164" si="9">WEEKNUM(C163)</f>
        <v>17</v>
      </c>
      <c r="E163" s="47" t="s">
        <v>835</v>
      </c>
      <c r="F163" s="18" t="s">
        <v>88</v>
      </c>
      <c r="G163" s="18" t="s">
        <v>191</v>
      </c>
      <c r="H163" s="27" t="s">
        <v>1054</v>
      </c>
      <c r="I163" s="24">
        <v>150</v>
      </c>
      <c r="J163" s="20" t="str">
        <f>VLOOKUP(G163,MD!M$2:O$93,3,FALSE)</f>
        <v>l/ha</v>
      </c>
      <c r="K163" s="29">
        <v>1</v>
      </c>
      <c r="L163" s="27" t="s">
        <v>1053</v>
      </c>
      <c r="M163" s="25"/>
      <c r="N163" s="25"/>
      <c r="O163" s="25"/>
      <c r="P163" s="22"/>
      <c r="Q163" s="44"/>
      <c r="R163" s="44"/>
      <c r="S163" s="44"/>
      <c r="T163" s="25"/>
      <c r="U163" s="25"/>
      <c r="V163" s="25"/>
      <c r="W163" s="25"/>
      <c r="X163" s="22"/>
      <c r="Y163" s="44"/>
      <c r="Z163" s="44"/>
      <c r="AA163" s="44"/>
      <c r="AB163" s="25"/>
      <c r="AC163" s="25"/>
      <c r="AD163" s="25"/>
      <c r="AE163" s="25"/>
    </row>
    <row r="164" spans="1:31" s="59" customFormat="1">
      <c r="A164" s="47" t="s">
        <v>835</v>
      </c>
      <c r="B164" s="47" t="s">
        <v>986</v>
      </c>
      <c r="C164" s="49">
        <v>44674</v>
      </c>
      <c r="D164" s="64">
        <f t="shared" si="9"/>
        <v>17</v>
      </c>
      <c r="E164" s="47" t="s">
        <v>835</v>
      </c>
      <c r="F164" s="18" t="s">
        <v>86</v>
      </c>
      <c r="G164" s="18" t="s">
        <v>64</v>
      </c>
      <c r="H164" s="27"/>
      <c r="I164" s="24">
        <v>1</v>
      </c>
      <c r="J164" s="20" t="str">
        <f>VLOOKUP(G164,MD!M$2:O$93,3,FALSE)</f>
        <v>ha</v>
      </c>
      <c r="K164" s="29">
        <v>1</v>
      </c>
      <c r="L164" s="27"/>
      <c r="M164" s="25"/>
      <c r="N164" s="25"/>
      <c r="O164" s="25"/>
      <c r="P164" s="22"/>
      <c r="Q164" s="44"/>
      <c r="R164" s="44"/>
      <c r="S164" s="44"/>
      <c r="T164" s="25"/>
      <c r="U164" s="25"/>
      <c r="V164" s="25"/>
      <c r="W164" s="25"/>
      <c r="X164" s="22"/>
      <c r="Y164" s="44"/>
      <c r="Z164" s="44"/>
      <c r="AA164" s="44"/>
      <c r="AB164" s="25"/>
      <c r="AC164" s="25"/>
      <c r="AD164" s="25"/>
      <c r="AE164" s="25"/>
    </row>
    <row r="165" spans="1:31">
      <c r="A165" s="47" t="s">
        <v>835</v>
      </c>
      <c r="B165" s="47" t="s">
        <v>986</v>
      </c>
      <c r="C165" s="49">
        <v>44674</v>
      </c>
      <c r="D165" s="64">
        <f t="shared" si="8"/>
        <v>17</v>
      </c>
      <c r="E165" s="47" t="s">
        <v>835</v>
      </c>
      <c r="F165" s="18" t="s">
        <v>89</v>
      </c>
      <c r="G165" s="18" t="s">
        <v>113</v>
      </c>
      <c r="H165" s="27" t="s">
        <v>1034</v>
      </c>
      <c r="I165" s="57">
        <f>1/1.09</f>
        <v>0.9174311926605504</v>
      </c>
      <c r="J165" s="20" t="str">
        <f>VLOOKUP(G165,MD!M$2:O$93,3,FALSE)</f>
        <v>Dose hom.</v>
      </c>
      <c r="K165" s="29">
        <v>1</v>
      </c>
      <c r="L165" s="27" t="s">
        <v>1036</v>
      </c>
      <c r="M165" s="25" t="s">
        <v>1038</v>
      </c>
      <c r="N165" s="25" t="s">
        <v>1039</v>
      </c>
      <c r="P165" s="22"/>
      <c r="X165" s="22"/>
    </row>
    <row r="166" spans="1:31">
      <c r="A166" s="47" t="s">
        <v>835</v>
      </c>
      <c r="B166" s="47" t="s">
        <v>986</v>
      </c>
      <c r="C166" s="49">
        <v>44674</v>
      </c>
      <c r="D166" s="64">
        <f t="shared" ref="D166" si="10">WEEKNUM(C166)</f>
        <v>17</v>
      </c>
      <c r="E166" s="47" t="s">
        <v>835</v>
      </c>
      <c r="F166" s="18" t="s">
        <v>89</v>
      </c>
      <c r="G166" s="18" t="s">
        <v>113</v>
      </c>
      <c r="H166" s="27" t="s">
        <v>1035</v>
      </c>
      <c r="I166" s="57">
        <f>1/1.09</f>
        <v>0.9174311926605504</v>
      </c>
      <c r="J166" s="20" t="str">
        <f>VLOOKUP(G166,MD!M$2:O$93,3,FALSE)</f>
        <v>Dose hom.</v>
      </c>
      <c r="K166" s="29">
        <v>1</v>
      </c>
      <c r="L166" s="27" t="s">
        <v>1037</v>
      </c>
      <c r="M166" s="25" t="s">
        <v>1040</v>
      </c>
      <c r="N166" s="25" t="s">
        <v>1041</v>
      </c>
      <c r="P166" s="22"/>
      <c r="X166" s="22"/>
    </row>
    <row r="167" spans="1:31">
      <c r="A167" s="47" t="s">
        <v>835</v>
      </c>
      <c r="B167" s="47" t="s">
        <v>986</v>
      </c>
      <c r="C167" s="49">
        <v>44674</v>
      </c>
      <c r="D167" s="64">
        <f t="shared" ref="D167:D168" si="11">WEEKNUM(C167)</f>
        <v>17</v>
      </c>
      <c r="E167" s="47" t="s">
        <v>835</v>
      </c>
      <c r="F167" s="18" t="s">
        <v>89</v>
      </c>
      <c r="G167" s="18" t="s">
        <v>113</v>
      </c>
      <c r="H167" s="27" t="s">
        <v>1042</v>
      </c>
      <c r="I167" s="24">
        <f>3.5/4</f>
        <v>0.875</v>
      </c>
      <c r="J167" s="20" t="str">
        <f>VLOOKUP(G167,MD!M$2:O$93,3,FALSE)</f>
        <v>Dose hom.</v>
      </c>
      <c r="K167" s="29">
        <v>1</v>
      </c>
      <c r="L167" s="27" t="s">
        <v>1044</v>
      </c>
      <c r="M167" s="25" t="s">
        <v>1046</v>
      </c>
      <c r="N167" s="25" t="s">
        <v>1047</v>
      </c>
      <c r="P167" s="22"/>
      <c r="X167" s="22"/>
    </row>
    <row r="168" spans="1:31">
      <c r="A168" s="47" t="s">
        <v>835</v>
      </c>
      <c r="B168" s="47" t="s">
        <v>986</v>
      </c>
      <c r="C168" s="49">
        <v>44674</v>
      </c>
      <c r="D168" s="64">
        <f t="shared" si="11"/>
        <v>17</v>
      </c>
      <c r="E168" s="47" t="s">
        <v>835</v>
      </c>
      <c r="F168" s="18" t="s">
        <v>89</v>
      </c>
      <c r="G168" s="18" t="s">
        <v>113</v>
      </c>
      <c r="H168" s="27" t="s">
        <v>1043</v>
      </c>
      <c r="I168" s="24">
        <f>3.5/4</f>
        <v>0.875</v>
      </c>
      <c r="J168" s="20" t="str">
        <f>VLOOKUP(G168,MD!M$2:O$93,3,FALSE)</f>
        <v>Dose hom.</v>
      </c>
      <c r="K168" s="29">
        <v>1</v>
      </c>
      <c r="L168" s="27" t="s">
        <v>1045</v>
      </c>
      <c r="M168" s="25" t="s">
        <v>1048</v>
      </c>
      <c r="N168" s="25" t="s">
        <v>1049</v>
      </c>
      <c r="P168" s="22"/>
      <c r="X168" s="22"/>
    </row>
    <row r="169" spans="1:31">
      <c r="J169" s="20" t="e">
        <f>VLOOKUP(G169,MD!M$2:O$93,3,FALSE)</f>
        <v>#N/A</v>
      </c>
      <c r="K169" s="29"/>
      <c r="P169" s="22"/>
      <c r="X169" s="22"/>
    </row>
    <row r="170" spans="1:31">
      <c r="J170" s="20" t="e">
        <f>VLOOKUP(G170,MD!M$2:O$93,3,FALSE)</f>
        <v>#N/A</v>
      </c>
      <c r="K170" s="29"/>
      <c r="P170" s="22"/>
      <c r="X170" s="22"/>
    </row>
    <row r="171" spans="1:31">
      <c r="J171" s="20" t="e">
        <f>VLOOKUP(G171,MD!M$2:O$93,3,FALSE)</f>
        <v>#N/A</v>
      </c>
      <c r="K171" s="29"/>
      <c r="P171" s="22"/>
      <c r="X171" s="22"/>
    </row>
    <row r="172" spans="1:31">
      <c r="J172" s="20" t="e">
        <f>VLOOKUP(G172,MD!M$2:O$93,3,FALSE)</f>
        <v>#N/A</v>
      </c>
      <c r="K172" s="29"/>
      <c r="P172" s="22"/>
      <c r="X172" s="22"/>
    </row>
    <row r="173" spans="1:31">
      <c r="J173" s="20" t="e">
        <f>VLOOKUP(G173,MD!M$2:O$93,3,FALSE)</f>
        <v>#N/A</v>
      </c>
      <c r="K173" s="29"/>
      <c r="P173" s="22"/>
      <c r="X173" s="22"/>
    </row>
    <row r="174" spans="1:31">
      <c r="J174" s="20" t="e">
        <f>VLOOKUP(G174,MD!M$2:O$93,3,FALSE)</f>
        <v>#N/A</v>
      </c>
      <c r="K174" s="29"/>
      <c r="P174" s="22"/>
      <c r="X174" s="22"/>
    </row>
    <row r="175" spans="1:31">
      <c r="J175" s="20" t="e">
        <f>VLOOKUP(G175,MD!M$2:O$93,3,FALSE)</f>
        <v>#N/A</v>
      </c>
      <c r="K175" s="29"/>
      <c r="P175" s="22"/>
      <c r="X175" s="22"/>
    </row>
    <row r="176" spans="1:31">
      <c r="J176" s="20" t="e">
        <f>VLOOKUP(G176,MD!M$2:O$93,3,FALSE)</f>
        <v>#N/A</v>
      </c>
      <c r="K176" s="29"/>
      <c r="P176" s="22"/>
      <c r="X176" s="22"/>
    </row>
    <row r="177" spans="10:24">
      <c r="J177" s="20" t="e">
        <f>VLOOKUP(G177,MD!M$2:O$93,3,FALSE)</f>
        <v>#N/A</v>
      </c>
      <c r="K177" s="29"/>
      <c r="P177" s="22"/>
      <c r="X177" s="22"/>
    </row>
    <row r="178" spans="10:24">
      <c r="J178" s="20" t="e">
        <f>VLOOKUP(G178,MD!M$2:O$93,3,FALSE)</f>
        <v>#N/A</v>
      </c>
      <c r="K178" s="29"/>
      <c r="P178" s="22"/>
      <c r="X178" s="22"/>
    </row>
    <row r="179" spans="10:24">
      <c r="J179" s="20" t="e">
        <f>VLOOKUP(G179,MD!M$2:O$93,3,FALSE)</f>
        <v>#N/A</v>
      </c>
      <c r="K179" s="29"/>
      <c r="P179" s="22"/>
      <c r="X179" s="22"/>
    </row>
    <row r="180" spans="10:24">
      <c r="J180" s="20" t="e">
        <f>VLOOKUP(G180,MD!M$2:O$93,3,FALSE)</f>
        <v>#N/A</v>
      </c>
      <c r="K180" s="29"/>
      <c r="P180" s="22"/>
      <c r="X180" s="22"/>
    </row>
    <row r="181" spans="10:24">
      <c r="J181" s="20" t="e">
        <f>VLOOKUP(G181,MD!M$2:O$93,3,FALSE)</f>
        <v>#N/A</v>
      </c>
      <c r="K181" s="29"/>
      <c r="P181" s="22"/>
      <c r="X181" s="22"/>
    </row>
    <row r="182" spans="10:24">
      <c r="J182" s="20" t="e">
        <f>VLOOKUP(G182,MD!M$2:O$93,3,FALSE)</f>
        <v>#N/A</v>
      </c>
      <c r="K182" s="29"/>
      <c r="P182" s="22"/>
      <c r="X182" s="22"/>
    </row>
    <row r="183" spans="10:24">
      <c r="J183" s="20" t="e">
        <f>VLOOKUP(G183,MD!M$2:O$93,3,FALSE)</f>
        <v>#N/A</v>
      </c>
      <c r="K183" s="29"/>
      <c r="P183" s="22"/>
      <c r="X183" s="22"/>
    </row>
    <row r="184" spans="10:24">
      <c r="J184" s="20" t="e">
        <f>VLOOKUP(G184,MD!M$2:O$93,3,FALSE)</f>
        <v>#N/A</v>
      </c>
      <c r="K184" s="29"/>
      <c r="P184" s="22"/>
      <c r="X184" s="22"/>
    </row>
    <row r="185" spans="10:24">
      <c r="J185" s="20" t="e">
        <f>VLOOKUP(G185,MD!M$2:O$93,3,FALSE)</f>
        <v>#N/A</v>
      </c>
      <c r="K185" s="29"/>
      <c r="P185" s="22"/>
      <c r="X185" s="22"/>
    </row>
    <row r="186" spans="10:24">
      <c r="J186" s="20" t="e">
        <f>VLOOKUP(G186,MD!M$2:O$93,3,FALSE)</f>
        <v>#N/A</v>
      </c>
      <c r="K186" s="29"/>
      <c r="P186" s="22"/>
      <c r="X186" s="22"/>
    </row>
    <row r="187" spans="10:24">
      <c r="J187" s="20" t="e">
        <f>VLOOKUP(G187,MD!M$2:O$93,3,FALSE)</f>
        <v>#N/A</v>
      </c>
      <c r="K187" s="29"/>
      <c r="P187" s="22"/>
      <c r="X187" s="22"/>
    </row>
    <row r="188" spans="10:24">
      <c r="J188" s="20" t="e">
        <f>VLOOKUP(G188,MD!M$2:O$93,3,FALSE)</f>
        <v>#N/A</v>
      </c>
      <c r="K188" s="29"/>
      <c r="P188" s="22"/>
      <c r="X188" s="22"/>
    </row>
    <row r="189" spans="10:24">
      <c r="J189" s="20" t="e">
        <f>VLOOKUP(G189,MD!M$2:O$93,3,FALSE)</f>
        <v>#N/A</v>
      </c>
      <c r="K189" s="29"/>
      <c r="P189" s="22"/>
      <c r="X189" s="22"/>
    </row>
    <row r="190" spans="10:24">
      <c r="J190" s="20" t="e">
        <f>VLOOKUP(G190,MD!M$2:O$93,3,FALSE)</f>
        <v>#N/A</v>
      </c>
      <c r="K190" s="29"/>
      <c r="P190" s="22"/>
      <c r="X190" s="22"/>
    </row>
    <row r="191" spans="10:24">
      <c r="J191" s="20" t="e">
        <f>VLOOKUP(G191,MD!M$2:O$93,3,FALSE)</f>
        <v>#N/A</v>
      </c>
      <c r="K191" s="29"/>
      <c r="P191" s="22"/>
      <c r="X191" s="22"/>
    </row>
    <row r="192" spans="10:24">
      <c r="J192" s="20" t="e">
        <f>VLOOKUP(G192,MD!M$2:O$93,3,FALSE)</f>
        <v>#N/A</v>
      </c>
      <c r="K192" s="29"/>
      <c r="P192" s="22"/>
      <c r="X192" s="22"/>
    </row>
    <row r="193" spans="10:24">
      <c r="J193" s="20" t="e">
        <f>VLOOKUP(G193,MD!M$2:O$93,3,FALSE)</f>
        <v>#N/A</v>
      </c>
      <c r="K193" s="29"/>
      <c r="P193" s="22"/>
      <c r="X193" s="22"/>
    </row>
    <row r="194" spans="10:24">
      <c r="J194" s="20" t="e">
        <f>VLOOKUP(G194,MD!M$2:O$93,3,FALSE)</f>
        <v>#N/A</v>
      </c>
      <c r="K194" s="29"/>
      <c r="P194" s="22"/>
      <c r="X194" s="22"/>
    </row>
    <row r="195" spans="10:24">
      <c r="J195" s="20" t="e">
        <f>VLOOKUP(G195,MD!M$2:O$93,3,FALSE)</f>
        <v>#N/A</v>
      </c>
      <c r="K195" s="29"/>
      <c r="P195" s="22"/>
      <c r="X195" s="22"/>
    </row>
    <row r="196" spans="10:24">
      <c r="J196" s="20" t="e">
        <f>VLOOKUP(G196,MD!M$2:O$93,3,FALSE)</f>
        <v>#N/A</v>
      </c>
      <c r="K196" s="29"/>
      <c r="P196" s="22"/>
      <c r="X196" s="22"/>
    </row>
    <row r="197" spans="10:24">
      <c r="J197" s="20" t="e">
        <f>VLOOKUP(G197,MD!M$2:O$93,3,FALSE)</f>
        <v>#N/A</v>
      </c>
      <c r="K197" s="29"/>
      <c r="P197" s="22"/>
      <c r="X197" s="22"/>
    </row>
    <row r="198" spans="10:24">
      <c r="J198" s="20" t="e">
        <f>VLOOKUP(G198,MD!M$2:O$93,3,FALSE)</f>
        <v>#N/A</v>
      </c>
      <c r="K198" s="29"/>
      <c r="P198" s="22"/>
      <c r="X198" s="22"/>
    </row>
    <row r="199" spans="10:24">
      <c r="J199" s="20" t="e">
        <f>VLOOKUP(G199,MD!M$2:O$93,3,FALSE)</f>
        <v>#N/A</v>
      </c>
      <c r="K199" s="29"/>
      <c r="P199" s="22"/>
      <c r="X199" s="22"/>
    </row>
    <row r="200" spans="10:24">
      <c r="J200" s="20" t="e">
        <f>VLOOKUP(G200,MD!M$2:O$93,3,FALSE)</f>
        <v>#N/A</v>
      </c>
      <c r="K200" s="29"/>
      <c r="P200" s="22"/>
      <c r="X200" s="22"/>
    </row>
    <row r="201" spans="10:24">
      <c r="J201" s="20" t="e">
        <f>VLOOKUP(G201,MD!M$2:O$93,3,FALSE)</f>
        <v>#N/A</v>
      </c>
      <c r="K201" s="29"/>
      <c r="P201" s="22"/>
      <c r="X201" s="22"/>
    </row>
    <row r="202" spans="10:24">
      <c r="J202" s="20" t="e">
        <f>VLOOKUP(G202,MD!M$2:O$93,3,FALSE)</f>
        <v>#N/A</v>
      </c>
      <c r="K202" s="29"/>
      <c r="P202" s="22"/>
      <c r="X202" s="22"/>
    </row>
    <row r="203" spans="10:24">
      <c r="J203" s="20" t="e">
        <f>VLOOKUP(G203,MD!M$2:O$93,3,FALSE)</f>
        <v>#N/A</v>
      </c>
      <c r="K203" s="29"/>
      <c r="P203" s="22"/>
      <c r="X203" s="22"/>
    </row>
    <row r="204" spans="10:24">
      <c r="J204" s="20" t="e">
        <f>VLOOKUP(G204,MD!M$2:O$93,3,FALSE)</f>
        <v>#N/A</v>
      </c>
      <c r="K204" s="29"/>
      <c r="P204" s="22"/>
      <c r="X204" s="22"/>
    </row>
    <row r="205" spans="10:24">
      <c r="J205" s="20" t="e">
        <f>VLOOKUP(G205,MD!M$2:O$93,3,FALSE)</f>
        <v>#N/A</v>
      </c>
      <c r="K205" s="29"/>
      <c r="P205" s="22"/>
      <c r="X205" s="22"/>
    </row>
    <row r="206" spans="10:24">
      <c r="J206" s="20" t="e">
        <f>VLOOKUP(G206,MD!M$2:O$93,3,FALSE)</f>
        <v>#N/A</v>
      </c>
      <c r="K206" s="29"/>
      <c r="P206" s="22"/>
      <c r="X206" s="22"/>
    </row>
    <row r="207" spans="10:24">
      <c r="J207" s="20" t="e">
        <f>VLOOKUP(G207,MD!M$2:O$93,3,FALSE)</f>
        <v>#N/A</v>
      </c>
      <c r="K207" s="29"/>
      <c r="P207" s="22"/>
      <c r="X207" s="22"/>
    </row>
    <row r="208" spans="10:24">
      <c r="J208" s="20" t="e">
        <f>VLOOKUP(G208,MD!M$2:O$93,3,FALSE)</f>
        <v>#N/A</v>
      </c>
      <c r="K208" s="29"/>
      <c r="P208" s="22"/>
      <c r="X208" s="22"/>
    </row>
    <row r="209" spans="10:24">
      <c r="J209" s="20" t="e">
        <f>VLOOKUP(G209,MD!M$2:O$93,3,FALSE)</f>
        <v>#N/A</v>
      </c>
      <c r="K209" s="29"/>
      <c r="P209" s="22"/>
      <c r="X209" s="22"/>
    </row>
    <row r="210" spans="10:24">
      <c r="J210" s="20" t="e">
        <f>VLOOKUP(G210,MD!M$2:O$93,3,FALSE)</f>
        <v>#N/A</v>
      </c>
      <c r="K210" s="29"/>
      <c r="P210" s="22"/>
      <c r="X210" s="22"/>
    </row>
    <row r="211" spans="10:24">
      <c r="J211" s="20" t="e">
        <f>VLOOKUP(G211,MD!M$2:O$93,3,FALSE)</f>
        <v>#N/A</v>
      </c>
      <c r="K211" s="29"/>
      <c r="P211" s="22"/>
      <c r="X211" s="22"/>
    </row>
    <row r="212" spans="10:24">
      <c r="J212" s="20" t="e">
        <f>VLOOKUP(G212,MD!M$2:O$93,3,FALSE)</f>
        <v>#N/A</v>
      </c>
      <c r="K212" s="29"/>
      <c r="P212" s="22"/>
      <c r="X212" s="22"/>
    </row>
    <row r="213" spans="10:24">
      <c r="J213" s="20" t="e">
        <f>VLOOKUP(G213,MD!M$2:O$93,3,FALSE)</f>
        <v>#N/A</v>
      </c>
      <c r="K213" s="29"/>
      <c r="P213" s="22"/>
      <c r="X213" s="22"/>
    </row>
    <row r="214" spans="10:24">
      <c r="J214" s="20" t="e">
        <f>VLOOKUP(G214,MD!M$2:O$93,3,FALSE)</f>
        <v>#N/A</v>
      </c>
      <c r="K214" s="29"/>
      <c r="P214" s="22"/>
      <c r="X214" s="22"/>
    </row>
    <row r="215" spans="10:24">
      <c r="J215" s="20" t="e">
        <f>VLOOKUP(G215,MD!M$2:O$93,3,FALSE)</f>
        <v>#N/A</v>
      </c>
      <c r="K215" s="29"/>
      <c r="P215" s="22"/>
      <c r="X215" s="22"/>
    </row>
    <row r="216" spans="10:24">
      <c r="J216" s="20" t="e">
        <f>VLOOKUP(G216,MD!M$2:O$93,3,FALSE)</f>
        <v>#N/A</v>
      </c>
      <c r="K216" s="29"/>
      <c r="P216" s="22"/>
      <c r="X216" s="22"/>
    </row>
    <row r="217" spans="10:24">
      <c r="J217" s="20" t="e">
        <f>VLOOKUP(G217,MD!M$2:O$93,3,FALSE)</f>
        <v>#N/A</v>
      </c>
      <c r="K217" s="29"/>
      <c r="P217" s="22"/>
      <c r="X217" s="22"/>
    </row>
    <row r="218" spans="10:24">
      <c r="J218" s="20" t="e">
        <f>VLOOKUP(G218,MD!M$2:O$93,3,FALSE)</f>
        <v>#N/A</v>
      </c>
      <c r="K218" s="29"/>
      <c r="P218" s="22"/>
      <c r="X218" s="22"/>
    </row>
    <row r="219" spans="10:24">
      <c r="J219" s="20" t="e">
        <f>VLOOKUP(G219,MD!M$2:O$93,3,FALSE)</f>
        <v>#N/A</v>
      </c>
      <c r="K219" s="29"/>
      <c r="P219" s="22"/>
      <c r="X219" s="22"/>
    </row>
    <row r="220" spans="10:24">
      <c r="J220" s="20" t="e">
        <f>VLOOKUP(G220,MD!M$2:O$93,3,FALSE)</f>
        <v>#N/A</v>
      </c>
      <c r="K220" s="29"/>
      <c r="P220" s="22"/>
      <c r="X220" s="22"/>
    </row>
    <row r="221" spans="10:24">
      <c r="J221" s="20" t="e">
        <f>VLOOKUP(G221,MD!M$2:O$93,3,FALSE)</f>
        <v>#N/A</v>
      </c>
      <c r="K221" s="29"/>
      <c r="P221" s="22"/>
      <c r="X221" s="22"/>
    </row>
    <row r="222" spans="10:24">
      <c r="J222" s="20" t="e">
        <f>VLOOKUP(G222,MD!M$2:O$93,3,FALSE)</f>
        <v>#N/A</v>
      </c>
      <c r="K222" s="29"/>
      <c r="P222" s="22"/>
      <c r="X222" s="22"/>
    </row>
    <row r="223" spans="10:24">
      <c r="J223" s="20" t="e">
        <f>VLOOKUP(G223,MD!M$2:O$93,3,FALSE)</f>
        <v>#N/A</v>
      </c>
      <c r="K223" s="29"/>
      <c r="P223" s="22"/>
      <c r="X223" s="22"/>
    </row>
    <row r="224" spans="10:24">
      <c r="J224" s="20" t="e">
        <f>VLOOKUP(G224,MD!M$2:O$93,3,FALSE)</f>
        <v>#N/A</v>
      </c>
      <c r="K224" s="29"/>
      <c r="P224" s="22"/>
      <c r="X224" s="22"/>
    </row>
    <row r="225" spans="10:24">
      <c r="J225" s="20" t="e">
        <f>VLOOKUP(G225,MD!M$2:O$93,3,FALSE)</f>
        <v>#N/A</v>
      </c>
      <c r="K225" s="29"/>
      <c r="P225" s="22"/>
      <c r="X225" s="22"/>
    </row>
    <row r="226" spans="10:24">
      <c r="J226" s="20" t="e">
        <f>VLOOKUP(G226,MD!M$2:O$93,3,FALSE)</f>
        <v>#N/A</v>
      </c>
      <c r="K226" s="29"/>
      <c r="P226" s="22"/>
      <c r="X226" s="22"/>
    </row>
    <row r="227" spans="10:24">
      <c r="J227" s="20" t="e">
        <f>VLOOKUP(G227,MD!M$2:O$93,3,FALSE)</f>
        <v>#N/A</v>
      </c>
      <c r="K227" s="29"/>
      <c r="P227" s="22"/>
      <c r="X227" s="22"/>
    </row>
    <row r="228" spans="10:24">
      <c r="J228" s="20" t="e">
        <f>VLOOKUP(G228,MD!M$2:O$93,3,FALSE)</f>
        <v>#N/A</v>
      </c>
      <c r="K228" s="29"/>
      <c r="P228" s="22"/>
      <c r="X228" s="22"/>
    </row>
    <row r="229" spans="10:24">
      <c r="J229" s="20" t="e">
        <f>VLOOKUP(G229,MD!M$2:O$93,3,FALSE)</f>
        <v>#N/A</v>
      </c>
      <c r="K229" s="29"/>
      <c r="P229" s="22"/>
      <c r="X229" s="22"/>
    </row>
    <row r="230" spans="10:24">
      <c r="J230" s="20" t="e">
        <f>VLOOKUP(G230,MD!M$2:O$93,3,FALSE)</f>
        <v>#N/A</v>
      </c>
      <c r="K230" s="29"/>
      <c r="P230" s="22"/>
      <c r="X230" s="22"/>
    </row>
    <row r="231" spans="10:24">
      <c r="J231" s="20" t="e">
        <f>VLOOKUP(G231,MD!M$2:O$93,3,FALSE)</f>
        <v>#N/A</v>
      </c>
      <c r="K231" s="29"/>
      <c r="P231" s="22"/>
      <c r="X231" s="22"/>
    </row>
    <row r="232" spans="10:24">
      <c r="J232" s="20" t="e">
        <f>VLOOKUP(G232,MD!M$2:O$93,3,FALSE)</f>
        <v>#N/A</v>
      </c>
      <c r="K232" s="29"/>
      <c r="P232" s="22"/>
      <c r="X232" s="22"/>
    </row>
    <row r="233" spans="10:24">
      <c r="J233" s="20" t="e">
        <f>VLOOKUP(G233,MD!M$2:O$93,3,FALSE)</f>
        <v>#N/A</v>
      </c>
      <c r="K233" s="29"/>
      <c r="P233" s="22"/>
      <c r="X233" s="22"/>
    </row>
    <row r="234" spans="10:24">
      <c r="J234" s="20" t="e">
        <f>VLOOKUP(G234,MD!M$2:O$93,3,FALSE)</f>
        <v>#N/A</v>
      </c>
      <c r="K234" s="29"/>
      <c r="P234" s="22"/>
      <c r="X234" s="22"/>
    </row>
    <row r="235" spans="10:24">
      <c r="J235" s="20" t="e">
        <f>VLOOKUP(G235,MD!M$2:O$93,3,FALSE)</f>
        <v>#N/A</v>
      </c>
      <c r="K235" s="29"/>
      <c r="P235" s="22"/>
      <c r="X235" s="22"/>
    </row>
    <row r="236" spans="10:24">
      <c r="J236" s="20" t="e">
        <f>VLOOKUP(G236,MD!M$2:O$93,3,FALSE)</f>
        <v>#N/A</v>
      </c>
      <c r="K236" s="29"/>
      <c r="P236" s="22"/>
      <c r="X236" s="22"/>
    </row>
    <row r="237" spans="10:24">
      <c r="J237" s="20" t="e">
        <f>VLOOKUP(G237,MD!M$2:O$93,3,FALSE)</f>
        <v>#N/A</v>
      </c>
      <c r="K237" s="29"/>
      <c r="P237" s="22"/>
      <c r="X237" s="22"/>
    </row>
    <row r="238" spans="10:24">
      <c r="J238" s="20" t="e">
        <f>VLOOKUP(G238,MD!M$2:O$93,3,FALSE)</f>
        <v>#N/A</v>
      </c>
      <c r="K238" s="29"/>
      <c r="P238" s="22"/>
      <c r="X238" s="22"/>
    </row>
    <row r="239" spans="10:24">
      <c r="J239" s="20" t="e">
        <f>VLOOKUP(G239,MD!M$2:O$93,3,FALSE)</f>
        <v>#N/A</v>
      </c>
      <c r="K239" s="29"/>
      <c r="P239" s="22"/>
      <c r="X239" s="22"/>
    </row>
    <row r="240" spans="10:24">
      <c r="J240" s="20" t="e">
        <f>VLOOKUP(G240,MD!M$2:O$93,3,FALSE)</f>
        <v>#N/A</v>
      </c>
      <c r="K240" s="29"/>
      <c r="P240" s="22"/>
      <c r="X240" s="22"/>
    </row>
    <row r="241" spans="10:24">
      <c r="J241" s="20" t="e">
        <f>VLOOKUP(G241,MD!M$2:O$93,3,FALSE)</f>
        <v>#N/A</v>
      </c>
      <c r="K241" s="29"/>
      <c r="P241" s="22"/>
      <c r="X241" s="22"/>
    </row>
    <row r="242" spans="10:24">
      <c r="J242" s="20" t="e">
        <f>VLOOKUP(G242,MD!M$2:O$93,3,FALSE)</f>
        <v>#N/A</v>
      </c>
      <c r="K242" s="29"/>
      <c r="P242" s="22"/>
      <c r="X242" s="22"/>
    </row>
    <row r="243" spans="10:24">
      <c r="J243" s="20" t="e">
        <f>VLOOKUP(G243,MD!M$2:O$93,3,FALSE)</f>
        <v>#N/A</v>
      </c>
      <c r="K243" s="29"/>
      <c r="P243" s="22"/>
      <c r="X243" s="22"/>
    </row>
    <row r="244" spans="10:24">
      <c r="J244" s="20" t="e">
        <f>VLOOKUP(G244,MD!M$2:O$93,3,FALSE)</f>
        <v>#N/A</v>
      </c>
      <c r="K244" s="29"/>
      <c r="P244" s="22"/>
      <c r="X244" s="22"/>
    </row>
    <row r="245" spans="10:24">
      <c r="J245" s="20" t="e">
        <f>VLOOKUP(G245,MD!M$2:O$93,3,FALSE)</f>
        <v>#N/A</v>
      </c>
      <c r="K245" s="29"/>
      <c r="P245" s="22"/>
      <c r="X245" s="22"/>
    </row>
    <row r="246" spans="10:24">
      <c r="J246" s="20" t="e">
        <f>VLOOKUP(G246,MD!M$2:O$93,3,FALSE)</f>
        <v>#N/A</v>
      </c>
      <c r="K246" s="29"/>
      <c r="P246" s="22"/>
      <c r="X246" s="22"/>
    </row>
    <row r="247" spans="10:24">
      <c r="J247" s="20" t="e">
        <f>VLOOKUP(G247,MD!M$2:O$93,3,FALSE)</f>
        <v>#N/A</v>
      </c>
      <c r="K247" s="29"/>
      <c r="P247" s="22"/>
      <c r="X247" s="22"/>
    </row>
    <row r="248" spans="10:24">
      <c r="J248" s="20" t="e">
        <f>VLOOKUP(G248,MD!M$2:O$93,3,FALSE)</f>
        <v>#N/A</v>
      </c>
      <c r="K248" s="29"/>
      <c r="P248" s="22"/>
      <c r="X248" s="22"/>
    </row>
    <row r="249" spans="10:24">
      <c r="J249" s="20" t="e">
        <f>VLOOKUP(G249,MD!M$2:O$93,3,FALSE)</f>
        <v>#N/A</v>
      </c>
      <c r="K249" s="29"/>
      <c r="P249" s="22"/>
      <c r="X249" s="22"/>
    </row>
    <row r="250" spans="10:24">
      <c r="J250" s="20" t="e">
        <f>VLOOKUP(G250,MD!M$2:O$93,3,FALSE)</f>
        <v>#N/A</v>
      </c>
      <c r="K250" s="29"/>
      <c r="P250" s="22"/>
      <c r="X250" s="22"/>
    </row>
    <row r="251" spans="10:24">
      <c r="J251" s="20" t="e">
        <f>VLOOKUP(G251,MD!M$2:O$93,3,FALSE)</f>
        <v>#N/A</v>
      </c>
      <c r="K251" s="29"/>
      <c r="P251" s="22"/>
      <c r="X251" s="22"/>
    </row>
    <row r="252" spans="10:24">
      <c r="J252" s="20" t="e">
        <f>VLOOKUP(G252,MD!M$2:O$93,3,FALSE)</f>
        <v>#N/A</v>
      </c>
      <c r="K252" s="29"/>
      <c r="P252" s="22"/>
      <c r="X252" s="22"/>
    </row>
    <row r="253" spans="10:24">
      <c r="J253" s="20" t="e">
        <f>VLOOKUP(G253,MD!M$2:O$93,3,FALSE)</f>
        <v>#N/A</v>
      </c>
      <c r="K253" s="29"/>
      <c r="P253" s="22"/>
      <c r="X253" s="22"/>
    </row>
    <row r="254" spans="10:24">
      <c r="J254" s="20" t="e">
        <f>VLOOKUP(G254,MD!M$2:O$93,3,FALSE)</f>
        <v>#N/A</v>
      </c>
      <c r="K254" s="29"/>
      <c r="P254" s="22"/>
      <c r="X254" s="22"/>
    </row>
    <row r="255" spans="10:24">
      <c r="J255" s="20" t="e">
        <f>VLOOKUP(G255,MD!M$2:O$93,3,FALSE)</f>
        <v>#N/A</v>
      </c>
      <c r="K255" s="29"/>
      <c r="P255" s="22"/>
      <c r="X255" s="22"/>
    </row>
    <row r="256" spans="10:24">
      <c r="J256" s="20" t="e">
        <f>VLOOKUP(G256,MD!M$2:O$93,3,FALSE)</f>
        <v>#N/A</v>
      </c>
      <c r="K256" s="29"/>
      <c r="P256" s="22"/>
      <c r="X256" s="22"/>
    </row>
    <row r="257" spans="10:24">
      <c r="J257" s="20" t="e">
        <f>VLOOKUP(G257,MD!M$2:O$93,3,FALSE)</f>
        <v>#N/A</v>
      </c>
      <c r="K257" s="29"/>
      <c r="P257" s="22"/>
      <c r="X257" s="22"/>
    </row>
    <row r="258" spans="10:24">
      <c r="J258" s="20" t="e">
        <f>VLOOKUP(G258,MD!M$2:O$93,3,FALSE)</f>
        <v>#N/A</v>
      </c>
      <c r="K258" s="29"/>
      <c r="P258" s="22"/>
      <c r="X258" s="22"/>
    </row>
    <row r="259" spans="10:24">
      <c r="J259" s="20" t="e">
        <f>VLOOKUP(G259,MD!M$2:O$93,3,FALSE)</f>
        <v>#N/A</v>
      </c>
      <c r="K259" s="29"/>
      <c r="P259" s="22"/>
      <c r="X259" s="22"/>
    </row>
    <row r="260" spans="10:24">
      <c r="J260" s="20" t="e">
        <f>VLOOKUP(G260,MD!M$2:O$93,3,FALSE)</f>
        <v>#N/A</v>
      </c>
      <c r="K260" s="29"/>
      <c r="P260" s="22"/>
      <c r="X260" s="22"/>
    </row>
    <row r="261" spans="10:24">
      <c r="J261" s="20" t="e">
        <f>VLOOKUP(G261,MD!M$2:O$93,3,FALSE)</f>
        <v>#N/A</v>
      </c>
      <c r="K261" s="29"/>
      <c r="P261" s="22"/>
      <c r="X261" s="22"/>
    </row>
    <row r="262" spans="10:24">
      <c r="J262" s="20" t="e">
        <f>VLOOKUP(G262,MD!M$2:O$93,3,FALSE)</f>
        <v>#N/A</v>
      </c>
      <c r="K262" s="29"/>
      <c r="P262" s="22"/>
      <c r="X262" s="22"/>
    </row>
    <row r="263" spans="10:24">
      <c r="J263" s="20" t="e">
        <f>VLOOKUP(G263,MD!M$2:O$93,3,FALSE)</f>
        <v>#N/A</v>
      </c>
      <c r="K263" s="29"/>
      <c r="P263" s="22"/>
      <c r="X263" s="22"/>
    </row>
    <row r="264" spans="10:24">
      <c r="J264" s="20" t="e">
        <f>VLOOKUP(G264,MD!M$2:O$93,3,FALSE)</f>
        <v>#N/A</v>
      </c>
      <c r="K264" s="29"/>
      <c r="P264" s="22"/>
      <c r="X264" s="22"/>
    </row>
    <row r="265" spans="10:24">
      <c r="J265" s="20" t="e">
        <f>VLOOKUP(G265,MD!M$2:O$93,3,FALSE)</f>
        <v>#N/A</v>
      </c>
      <c r="K265" s="29"/>
      <c r="P265" s="22"/>
      <c r="X265" s="22"/>
    </row>
    <row r="266" spans="10:24">
      <c r="J266" s="20" t="e">
        <f>VLOOKUP(G266,MD!M$2:O$93,3,FALSE)</f>
        <v>#N/A</v>
      </c>
      <c r="K266" s="29"/>
      <c r="P266" s="22"/>
      <c r="X266" s="22"/>
    </row>
    <row r="267" spans="10:24">
      <c r="J267" s="20" t="e">
        <f>VLOOKUP(G267,MD!M$2:O$93,3,FALSE)</f>
        <v>#N/A</v>
      </c>
      <c r="K267" s="29"/>
      <c r="P267" s="22"/>
      <c r="X267" s="22"/>
    </row>
    <row r="268" spans="10:24">
      <c r="J268" s="20" t="e">
        <f>VLOOKUP(G268,MD!M$2:O$93,3,FALSE)</f>
        <v>#N/A</v>
      </c>
      <c r="K268" s="29"/>
      <c r="P268" s="22"/>
      <c r="X268" s="22"/>
    </row>
    <row r="269" spans="10:24">
      <c r="J269" s="20" t="e">
        <f>VLOOKUP(G269,MD!M$2:O$93,3,FALSE)</f>
        <v>#N/A</v>
      </c>
      <c r="K269" s="29"/>
      <c r="P269" s="22"/>
      <c r="X269" s="22"/>
    </row>
    <row r="270" spans="10:24">
      <c r="J270" s="20" t="e">
        <f>VLOOKUP(G270,MD!M$2:O$93,3,FALSE)</f>
        <v>#N/A</v>
      </c>
      <c r="K270" s="29"/>
      <c r="P270" s="22"/>
      <c r="X270" s="22"/>
    </row>
    <row r="271" spans="10:24">
      <c r="J271" s="20" t="e">
        <f>VLOOKUP(G271,MD!M$2:O$93,3,FALSE)</f>
        <v>#N/A</v>
      </c>
      <c r="K271" s="29"/>
      <c r="P271" s="22"/>
      <c r="X271" s="22"/>
    </row>
    <row r="272" spans="10:24">
      <c r="J272" s="20" t="e">
        <f>VLOOKUP(G272,MD!M$2:O$93,3,FALSE)</f>
        <v>#N/A</v>
      </c>
      <c r="K272" s="29"/>
      <c r="P272" s="22"/>
      <c r="X272" s="22"/>
    </row>
    <row r="273" spans="10:24">
      <c r="J273" s="20" t="e">
        <f>VLOOKUP(G273,MD!M$2:O$93,3,FALSE)</f>
        <v>#N/A</v>
      </c>
      <c r="K273" s="29"/>
      <c r="P273" s="22"/>
      <c r="X273" s="22"/>
    </row>
    <row r="274" spans="10:24">
      <c r="J274" s="20" t="e">
        <f>VLOOKUP(G274,MD!M$2:O$93,3,FALSE)</f>
        <v>#N/A</v>
      </c>
      <c r="K274" s="29"/>
      <c r="P274" s="22"/>
      <c r="X274" s="22"/>
    </row>
    <row r="275" spans="10:24">
      <c r="J275" s="20" t="e">
        <f>VLOOKUP(G275,MD!M$2:O$93,3,FALSE)</f>
        <v>#N/A</v>
      </c>
      <c r="K275" s="29"/>
      <c r="P275" s="22"/>
      <c r="X275" s="22"/>
    </row>
    <row r="276" spans="10:24">
      <c r="J276" s="20" t="e">
        <f>VLOOKUP(G276,MD!M$2:O$93,3,FALSE)</f>
        <v>#N/A</v>
      </c>
      <c r="K276" s="29"/>
      <c r="P276" s="22"/>
      <c r="X276" s="22"/>
    </row>
    <row r="277" spans="10:24">
      <c r="J277" s="20" t="e">
        <f>VLOOKUP(G277,MD!M$2:O$93,3,FALSE)</f>
        <v>#N/A</v>
      </c>
      <c r="K277" s="29"/>
      <c r="P277" s="22"/>
      <c r="X277" s="22"/>
    </row>
    <row r="278" spans="10:24">
      <c r="J278" s="20" t="e">
        <f>VLOOKUP(G278,MD!M$2:O$93,3,FALSE)</f>
        <v>#N/A</v>
      </c>
      <c r="K278" s="29"/>
      <c r="P278" s="22"/>
      <c r="X278" s="22"/>
    </row>
    <row r="279" spans="10:24">
      <c r="J279" s="20" t="e">
        <f>VLOOKUP(G279,MD!M$2:O$93,3,FALSE)</f>
        <v>#N/A</v>
      </c>
      <c r="K279" s="29"/>
      <c r="P279" s="22"/>
      <c r="X279" s="22"/>
    </row>
    <row r="280" spans="10:24">
      <c r="J280" s="20" t="e">
        <f>VLOOKUP(G280,MD!M$2:O$93,3,FALSE)</f>
        <v>#N/A</v>
      </c>
      <c r="K280" s="29"/>
      <c r="P280" s="22"/>
      <c r="X280" s="22"/>
    </row>
    <row r="281" spans="10:24">
      <c r="J281" s="20" t="e">
        <f>VLOOKUP(G281,MD!M$2:O$93,3,FALSE)</f>
        <v>#N/A</v>
      </c>
      <c r="K281" s="29"/>
      <c r="P281" s="22"/>
      <c r="X281" s="22"/>
    </row>
    <row r="282" spans="10:24">
      <c r="J282" s="20" t="e">
        <f>VLOOKUP(G282,MD!M$2:O$93,3,FALSE)</f>
        <v>#N/A</v>
      </c>
      <c r="K282" s="29"/>
      <c r="P282" s="22"/>
      <c r="X282" s="22"/>
    </row>
    <row r="283" spans="10:24">
      <c r="J283" s="20" t="e">
        <f>VLOOKUP(G283,MD!M$2:O$93,3,FALSE)</f>
        <v>#N/A</v>
      </c>
      <c r="K283" s="29"/>
      <c r="P283" s="22"/>
      <c r="X283" s="22"/>
    </row>
    <row r="284" spans="10:24">
      <c r="J284" s="20" t="e">
        <f>VLOOKUP(G284,MD!M$2:O$93,3,FALSE)</f>
        <v>#N/A</v>
      </c>
      <c r="K284" s="29"/>
      <c r="P284" s="22"/>
      <c r="X284" s="22"/>
    </row>
    <row r="285" spans="10:24">
      <c r="J285" s="20" t="e">
        <f>VLOOKUP(G285,MD!M$2:O$93,3,FALSE)</f>
        <v>#N/A</v>
      </c>
      <c r="K285" s="29"/>
      <c r="P285" s="22"/>
      <c r="X285" s="22"/>
    </row>
    <row r="286" spans="10:24">
      <c r="J286" s="20" t="e">
        <f>VLOOKUP(G286,MD!M$2:O$93,3,FALSE)</f>
        <v>#N/A</v>
      </c>
      <c r="K286" s="29"/>
      <c r="P286" s="22"/>
      <c r="X286" s="22"/>
    </row>
    <row r="287" spans="10:24">
      <c r="J287" s="20" t="e">
        <f>VLOOKUP(G287,MD!M$2:O$93,3,FALSE)</f>
        <v>#N/A</v>
      </c>
      <c r="K287" s="29"/>
      <c r="P287" s="22"/>
      <c r="X287" s="22"/>
    </row>
    <row r="288" spans="10:24">
      <c r="J288" s="20" t="e">
        <f>VLOOKUP(G288,MD!M$2:O$93,3,FALSE)</f>
        <v>#N/A</v>
      </c>
      <c r="K288" s="29"/>
      <c r="P288" s="22"/>
      <c r="X288" s="22"/>
    </row>
    <row r="289" spans="10:24">
      <c r="J289" s="20" t="e">
        <f>VLOOKUP(G289,MD!M$2:O$93,3,FALSE)</f>
        <v>#N/A</v>
      </c>
      <c r="K289" s="29"/>
      <c r="P289" s="22"/>
      <c r="X289" s="22"/>
    </row>
    <row r="290" spans="10:24">
      <c r="J290" s="20" t="e">
        <f>VLOOKUP(G290,MD!M$2:O$93,3,FALSE)</f>
        <v>#N/A</v>
      </c>
      <c r="K290" s="29"/>
      <c r="P290" s="22"/>
      <c r="X290" s="22"/>
    </row>
    <row r="291" spans="10:24">
      <c r="J291" s="20" t="e">
        <f>VLOOKUP(G291,MD!M$2:O$93,3,FALSE)</f>
        <v>#N/A</v>
      </c>
      <c r="K291" s="29"/>
      <c r="P291" s="22"/>
      <c r="X291" s="22"/>
    </row>
    <row r="292" spans="10:24">
      <c r="J292" s="20" t="e">
        <f>VLOOKUP(G292,MD!M$2:O$93,3,FALSE)</f>
        <v>#N/A</v>
      </c>
      <c r="K292" s="29"/>
      <c r="P292" s="22"/>
      <c r="X292" s="22"/>
    </row>
    <row r="293" spans="10:24">
      <c r="J293" s="20" t="e">
        <f>VLOOKUP(G293,MD!M$2:O$93,3,FALSE)</f>
        <v>#N/A</v>
      </c>
      <c r="K293" s="29"/>
      <c r="P293" s="22"/>
      <c r="X293" s="22"/>
    </row>
    <row r="294" spans="10:24">
      <c r="J294" s="20" t="e">
        <f>VLOOKUP(G294,MD!M$2:O$93,3,FALSE)</f>
        <v>#N/A</v>
      </c>
      <c r="K294" s="29"/>
      <c r="P294" s="22"/>
      <c r="X294" s="22"/>
    </row>
    <row r="295" spans="10:24">
      <c r="J295" s="20" t="e">
        <f>VLOOKUP(G295,MD!M$2:O$93,3,FALSE)</f>
        <v>#N/A</v>
      </c>
      <c r="K295" s="29"/>
      <c r="P295" s="22"/>
      <c r="X295" s="22"/>
    </row>
    <row r="296" spans="10:24">
      <c r="J296" s="20" t="e">
        <f>VLOOKUP(G296,MD!M$2:O$93,3,FALSE)</f>
        <v>#N/A</v>
      </c>
      <c r="K296" s="29"/>
      <c r="P296" s="22"/>
      <c r="X296" s="22"/>
    </row>
    <row r="297" spans="10:24">
      <c r="J297" s="20" t="e">
        <f>VLOOKUP(G297,MD!M$2:O$93,3,FALSE)</f>
        <v>#N/A</v>
      </c>
      <c r="K297" s="29"/>
      <c r="P297" s="22"/>
      <c r="X297" s="22"/>
    </row>
    <row r="298" spans="10:24">
      <c r="J298" s="20" t="e">
        <f>VLOOKUP(G298,MD!M$2:O$93,3,FALSE)</f>
        <v>#N/A</v>
      </c>
      <c r="K298" s="29"/>
      <c r="P298" s="22"/>
      <c r="X298" s="22"/>
    </row>
    <row r="299" spans="10:24">
      <c r="J299" s="20" t="e">
        <f>VLOOKUP(G299,MD!M$2:O$93,3,FALSE)</f>
        <v>#N/A</v>
      </c>
      <c r="K299" s="29"/>
      <c r="P299" s="22"/>
      <c r="X299" s="22"/>
    </row>
    <row r="300" spans="10:24">
      <c r="J300" s="20" t="e">
        <f>VLOOKUP(G300,MD!M$2:O$93,3,FALSE)</f>
        <v>#N/A</v>
      </c>
      <c r="K300" s="29"/>
      <c r="P300" s="22"/>
      <c r="X300" s="22"/>
    </row>
    <row r="301" spans="10:24">
      <c r="J301" s="20" t="e">
        <f>VLOOKUP(G301,MD!M$2:O$93,3,FALSE)</f>
        <v>#N/A</v>
      </c>
      <c r="K301" s="29"/>
      <c r="P301" s="22"/>
      <c r="X301" s="22"/>
    </row>
    <row r="302" spans="10:24">
      <c r="J302" s="20" t="e">
        <f>VLOOKUP(G302,MD!M$2:O$93,3,FALSE)</f>
        <v>#N/A</v>
      </c>
      <c r="K302" s="29"/>
      <c r="P302" s="22"/>
      <c r="X302" s="22"/>
    </row>
    <row r="303" spans="10:24">
      <c r="J303" s="20" t="e">
        <f>VLOOKUP(G303,MD!M$2:O$93,3,FALSE)</f>
        <v>#N/A</v>
      </c>
      <c r="K303" s="29"/>
      <c r="P303" s="22"/>
      <c r="X303" s="22"/>
    </row>
    <row r="304" spans="10:24">
      <c r="J304" s="20" t="e">
        <f>VLOOKUP(G304,MD!M$2:O$93,3,FALSE)</f>
        <v>#N/A</v>
      </c>
      <c r="K304" s="29"/>
      <c r="P304" s="22"/>
      <c r="X304" s="22"/>
    </row>
    <row r="305" spans="10:24">
      <c r="J305" s="20" t="e">
        <f>VLOOKUP(G305,MD!M$2:O$93,3,FALSE)</f>
        <v>#N/A</v>
      </c>
      <c r="K305" s="29"/>
      <c r="P305" s="22"/>
      <c r="X305" s="22"/>
    </row>
    <row r="306" spans="10:24">
      <c r="J306" s="20" t="e">
        <f>VLOOKUP(G306,MD!M$2:O$93,3,FALSE)</f>
        <v>#N/A</v>
      </c>
      <c r="K306" s="29"/>
      <c r="P306" s="22"/>
      <c r="X306" s="22"/>
    </row>
    <row r="307" spans="10:24">
      <c r="J307" s="20" t="e">
        <f>VLOOKUP(G307,MD!M$2:O$93,3,FALSE)</f>
        <v>#N/A</v>
      </c>
      <c r="K307" s="29"/>
      <c r="P307" s="22"/>
      <c r="X307" s="22"/>
    </row>
    <row r="308" spans="10:24">
      <c r="J308" s="20" t="e">
        <f>VLOOKUP(G308,MD!M$2:O$93,3,FALSE)</f>
        <v>#N/A</v>
      </c>
      <c r="K308" s="29"/>
      <c r="P308" s="22"/>
      <c r="X308" s="22"/>
    </row>
    <row r="309" spans="10:24">
      <c r="J309" s="20" t="e">
        <f>VLOOKUP(G309,MD!M$2:O$93,3,FALSE)</f>
        <v>#N/A</v>
      </c>
      <c r="K309" s="29"/>
      <c r="P309" s="22"/>
      <c r="X309" s="22"/>
    </row>
    <row r="310" spans="10:24">
      <c r="J310" s="20" t="e">
        <f>VLOOKUP(G310,MD!M$2:O$93,3,FALSE)</f>
        <v>#N/A</v>
      </c>
      <c r="K310" s="29"/>
      <c r="P310" s="22"/>
      <c r="X310" s="22"/>
    </row>
    <row r="311" spans="10:24">
      <c r="J311" s="20" t="e">
        <f>VLOOKUP(G311,MD!M$2:O$93,3,FALSE)</f>
        <v>#N/A</v>
      </c>
      <c r="K311" s="29"/>
      <c r="P311" s="22"/>
      <c r="X311" s="22"/>
    </row>
    <row r="312" spans="10:24">
      <c r="J312" s="20" t="e">
        <f>VLOOKUP(G312,MD!M$2:O$93,3,FALSE)</f>
        <v>#N/A</v>
      </c>
      <c r="K312" s="29"/>
      <c r="P312" s="22"/>
      <c r="X312" s="22"/>
    </row>
    <row r="313" spans="10:24">
      <c r="J313" s="20" t="e">
        <f>VLOOKUP(G313,MD!M$2:O$93,3,FALSE)</f>
        <v>#N/A</v>
      </c>
      <c r="K313" s="29"/>
      <c r="P313" s="22"/>
      <c r="X313" s="22"/>
    </row>
    <row r="314" spans="10:24">
      <c r="J314" s="20" t="e">
        <f>VLOOKUP(G314,MD!M$2:O$93,3,FALSE)</f>
        <v>#N/A</v>
      </c>
      <c r="K314" s="29"/>
      <c r="P314" s="22"/>
      <c r="X314" s="22"/>
    </row>
    <row r="315" spans="10:24">
      <c r="J315" s="20" t="e">
        <f>VLOOKUP(G315,MD!M$2:O$93,3,FALSE)</f>
        <v>#N/A</v>
      </c>
      <c r="K315" s="29"/>
      <c r="P315" s="22"/>
      <c r="X315" s="22"/>
    </row>
    <row r="316" spans="10:24">
      <c r="J316" s="20" t="e">
        <f>VLOOKUP(G316,MD!M$2:O$93,3,FALSE)</f>
        <v>#N/A</v>
      </c>
      <c r="K316" s="29"/>
      <c r="P316" s="22"/>
      <c r="X316" s="22"/>
    </row>
    <row r="317" spans="10:24">
      <c r="J317" s="20" t="e">
        <f>VLOOKUP(G317,MD!M$2:O$93,3,FALSE)</f>
        <v>#N/A</v>
      </c>
      <c r="K317" s="29"/>
      <c r="P317" s="22"/>
      <c r="X317" s="22"/>
    </row>
    <row r="318" spans="10:24">
      <c r="J318" s="20" t="e">
        <f>VLOOKUP(G318,MD!M$2:O$93,3,FALSE)</f>
        <v>#N/A</v>
      </c>
      <c r="K318" s="29"/>
      <c r="P318" s="22"/>
      <c r="X318" s="22"/>
    </row>
    <row r="319" spans="10:24">
      <c r="J319" s="20" t="e">
        <f>VLOOKUP(G319,MD!M$2:O$93,3,FALSE)</f>
        <v>#N/A</v>
      </c>
      <c r="K319" s="29"/>
      <c r="P319" s="22"/>
      <c r="X319" s="22"/>
    </row>
    <row r="320" spans="10:24">
      <c r="J320" s="20" t="e">
        <f>VLOOKUP(G320,MD!M$2:O$93,3,FALSE)</f>
        <v>#N/A</v>
      </c>
      <c r="K320" s="29"/>
      <c r="P320" s="22"/>
      <c r="X320" s="22"/>
    </row>
    <row r="321" spans="10:24">
      <c r="J321" s="20" t="e">
        <f>VLOOKUP(G321,MD!M$2:O$93,3,FALSE)</f>
        <v>#N/A</v>
      </c>
      <c r="K321" s="29"/>
      <c r="P321" s="22"/>
      <c r="X321" s="22"/>
    </row>
    <row r="322" spans="10:24">
      <c r="J322" s="20" t="e">
        <f>VLOOKUP(G322,MD!M$2:O$93,3,FALSE)</f>
        <v>#N/A</v>
      </c>
      <c r="K322" s="29"/>
      <c r="P322" s="22"/>
      <c r="X322" s="22"/>
    </row>
    <row r="323" spans="10:24">
      <c r="J323" s="20" t="e">
        <f>VLOOKUP(G323,MD!M$2:O$93,3,FALSE)</f>
        <v>#N/A</v>
      </c>
      <c r="K323" s="29"/>
      <c r="P323" s="22"/>
      <c r="X323" s="22"/>
    </row>
    <row r="324" spans="10:24">
      <c r="J324" s="20" t="e">
        <f>VLOOKUP(G324,MD!M$2:O$93,3,FALSE)</f>
        <v>#N/A</v>
      </c>
      <c r="K324" s="29"/>
      <c r="P324" s="22"/>
      <c r="X324" s="22"/>
    </row>
    <row r="325" spans="10:24">
      <c r="J325" s="20" t="e">
        <f>VLOOKUP(G325,MD!M$2:O$93,3,FALSE)</f>
        <v>#N/A</v>
      </c>
      <c r="K325" s="29"/>
      <c r="P325" s="22"/>
      <c r="X325" s="22"/>
    </row>
    <row r="326" spans="10:24">
      <c r="J326" s="20" t="e">
        <f>VLOOKUP(G326,MD!M$2:O$93,3,FALSE)</f>
        <v>#N/A</v>
      </c>
      <c r="K326" s="29"/>
      <c r="P326" s="22"/>
      <c r="X326" s="22"/>
    </row>
    <row r="327" spans="10:24">
      <c r="J327" s="20" t="e">
        <f>VLOOKUP(G327,MD!M$2:O$93,3,FALSE)</f>
        <v>#N/A</v>
      </c>
      <c r="K327" s="29"/>
      <c r="P327" s="22"/>
      <c r="X327" s="22"/>
    </row>
    <row r="328" spans="10:24">
      <c r="J328" s="20" t="e">
        <f>VLOOKUP(G328,MD!M$2:O$93,3,FALSE)</f>
        <v>#N/A</v>
      </c>
      <c r="K328" s="29"/>
      <c r="P328" s="22"/>
      <c r="X328" s="22"/>
    </row>
    <row r="329" spans="10:24">
      <c r="J329" s="20" t="e">
        <f>VLOOKUP(G329,MD!M$2:O$93,3,FALSE)</f>
        <v>#N/A</v>
      </c>
      <c r="K329" s="29"/>
      <c r="P329" s="22"/>
      <c r="X329" s="22"/>
    </row>
    <row r="330" spans="10:24">
      <c r="J330" s="20" t="e">
        <f>VLOOKUP(G330,MD!M$2:O$93,3,FALSE)</f>
        <v>#N/A</v>
      </c>
      <c r="K330" s="29"/>
      <c r="P330" s="22"/>
      <c r="X330" s="22"/>
    </row>
    <row r="331" spans="10:24">
      <c r="J331" s="20" t="e">
        <f>VLOOKUP(G331,MD!M$2:O$93,3,FALSE)</f>
        <v>#N/A</v>
      </c>
      <c r="K331" s="29"/>
      <c r="P331" s="22"/>
      <c r="X331" s="22"/>
    </row>
    <row r="332" spans="10:24">
      <c r="J332" s="20" t="e">
        <f>VLOOKUP(G332,MD!M$2:O$93,3,FALSE)</f>
        <v>#N/A</v>
      </c>
      <c r="K332" s="29"/>
      <c r="P332" s="22"/>
      <c r="X332" s="22"/>
    </row>
    <row r="333" spans="10:24">
      <c r="J333" s="20" t="e">
        <f>VLOOKUP(G333,MD!M$2:O$93,3,FALSE)</f>
        <v>#N/A</v>
      </c>
      <c r="K333" s="29"/>
      <c r="P333" s="22"/>
      <c r="X333" s="22"/>
    </row>
    <row r="334" spans="10:24">
      <c r="J334" s="20" t="e">
        <f>VLOOKUP(G334,MD!M$2:O$93,3,FALSE)</f>
        <v>#N/A</v>
      </c>
      <c r="K334" s="29"/>
      <c r="P334" s="22"/>
      <c r="X334" s="22"/>
    </row>
    <row r="335" spans="10:24">
      <c r="J335" s="20" t="e">
        <f>VLOOKUP(G335,MD!M$2:O$93,3,FALSE)</f>
        <v>#N/A</v>
      </c>
      <c r="K335" s="29"/>
      <c r="P335" s="22"/>
      <c r="X335" s="22"/>
    </row>
    <row r="336" spans="10:24">
      <c r="J336" s="20" t="e">
        <f>VLOOKUP(G336,MD!M$2:O$93,3,FALSE)</f>
        <v>#N/A</v>
      </c>
      <c r="K336" s="29"/>
      <c r="P336" s="22"/>
      <c r="X336" s="22"/>
    </row>
    <row r="337" spans="10:24">
      <c r="J337" s="20" t="e">
        <f>VLOOKUP(G337,MD!M$2:O$93,3,FALSE)</f>
        <v>#N/A</v>
      </c>
      <c r="K337" s="29"/>
      <c r="P337" s="22"/>
      <c r="X337" s="22"/>
    </row>
    <row r="338" spans="10:24">
      <c r="J338" s="20" t="e">
        <f>VLOOKUP(G338,MD!M$2:O$93,3,FALSE)</f>
        <v>#N/A</v>
      </c>
      <c r="K338" s="29"/>
      <c r="P338" s="22"/>
      <c r="X338" s="22"/>
    </row>
    <row r="339" spans="10:24">
      <c r="J339" s="20" t="e">
        <f>VLOOKUP(G339,MD!M$2:O$93,3,FALSE)</f>
        <v>#N/A</v>
      </c>
      <c r="K339" s="29"/>
      <c r="P339" s="22"/>
      <c r="X339" s="22"/>
    </row>
    <row r="340" spans="10:24">
      <c r="J340" s="20" t="e">
        <f>VLOOKUP(G340,MD!M$2:O$93,3,FALSE)</f>
        <v>#N/A</v>
      </c>
      <c r="K340" s="29"/>
      <c r="P340" s="22"/>
      <c r="X340" s="22"/>
    </row>
    <row r="341" spans="10:24">
      <c r="J341" s="20" t="e">
        <f>VLOOKUP(G341,MD!M$2:O$93,3,FALSE)</f>
        <v>#N/A</v>
      </c>
      <c r="K341" s="29"/>
      <c r="P341" s="22"/>
      <c r="X341" s="22"/>
    </row>
    <row r="342" spans="10:24">
      <c r="J342" s="20" t="e">
        <f>VLOOKUP(G342,MD!M$2:O$93,3,FALSE)</f>
        <v>#N/A</v>
      </c>
      <c r="K342" s="29"/>
      <c r="P342" s="22"/>
      <c r="X342" s="22"/>
    </row>
    <row r="343" spans="10:24">
      <c r="J343" s="20" t="e">
        <f>VLOOKUP(G343,MD!M$2:O$93,3,FALSE)</f>
        <v>#N/A</v>
      </c>
      <c r="K343" s="29"/>
      <c r="P343" s="22"/>
      <c r="X343" s="22"/>
    </row>
    <row r="344" spans="10:24">
      <c r="J344" s="20" t="e">
        <f>VLOOKUP(G344,MD!M$2:O$93,3,FALSE)</f>
        <v>#N/A</v>
      </c>
      <c r="K344" s="29"/>
      <c r="P344" s="22"/>
      <c r="X344" s="22"/>
    </row>
    <row r="345" spans="10:24">
      <c r="J345" s="20" t="e">
        <f>VLOOKUP(G345,MD!M$2:O$93,3,FALSE)</f>
        <v>#N/A</v>
      </c>
      <c r="K345" s="29"/>
      <c r="P345" s="22"/>
      <c r="X345" s="22"/>
    </row>
    <row r="346" spans="10:24">
      <c r="J346" s="20" t="e">
        <f>VLOOKUP(G346,MD!M$2:O$93,3,FALSE)</f>
        <v>#N/A</v>
      </c>
      <c r="K346" s="29"/>
      <c r="P346" s="22"/>
      <c r="X346" s="22"/>
    </row>
    <row r="347" spans="10:24">
      <c r="J347" s="20" t="e">
        <f>VLOOKUP(G347,MD!M$2:O$93,3,FALSE)</f>
        <v>#N/A</v>
      </c>
      <c r="K347" s="29"/>
      <c r="P347" s="22"/>
      <c r="X347" s="22"/>
    </row>
    <row r="348" spans="10:24">
      <c r="J348" s="20" t="e">
        <f>VLOOKUP(G348,MD!M$2:O$93,3,FALSE)</f>
        <v>#N/A</v>
      </c>
      <c r="K348" s="29"/>
      <c r="P348" s="22"/>
      <c r="X348" s="22"/>
    </row>
    <row r="349" spans="10:24">
      <c r="J349" s="20" t="e">
        <f>VLOOKUP(G349,MD!M$2:O$93,3,FALSE)</f>
        <v>#N/A</v>
      </c>
      <c r="K349" s="29"/>
      <c r="P349" s="22"/>
      <c r="X349" s="22"/>
    </row>
    <row r="350" spans="10:24">
      <c r="J350" s="20" t="e">
        <f>VLOOKUP(G350,MD!M$2:O$93,3,FALSE)</f>
        <v>#N/A</v>
      </c>
      <c r="K350" s="29"/>
      <c r="P350" s="22"/>
      <c r="X350" s="22"/>
    </row>
    <row r="351" spans="10:24">
      <c r="J351" s="20" t="e">
        <f>VLOOKUP(G351,MD!M$2:O$93,3,FALSE)</f>
        <v>#N/A</v>
      </c>
      <c r="K351" s="29"/>
      <c r="P351" s="22"/>
      <c r="X351" s="22"/>
    </row>
    <row r="352" spans="10:24">
      <c r="J352" s="20" t="e">
        <f>VLOOKUP(G352,MD!M$2:O$93,3,FALSE)</f>
        <v>#N/A</v>
      </c>
      <c r="K352" s="29"/>
      <c r="P352" s="22"/>
      <c r="X352" s="22"/>
    </row>
    <row r="353" spans="10:24">
      <c r="J353" s="20" t="e">
        <f>VLOOKUP(G353,MD!M$2:O$93,3,FALSE)</f>
        <v>#N/A</v>
      </c>
      <c r="K353" s="29"/>
      <c r="P353" s="22"/>
      <c r="X353" s="22"/>
    </row>
    <row r="354" spans="10:24">
      <c r="J354" s="20" t="e">
        <f>VLOOKUP(G354,MD!M$2:O$93,3,FALSE)</f>
        <v>#N/A</v>
      </c>
      <c r="K354" s="29"/>
      <c r="P354" s="22"/>
      <c r="X354" s="22"/>
    </row>
    <row r="355" spans="10:24">
      <c r="J355" s="20" t="e">
        <f>VLOOKUP(G355,MD!M$2:O$93,3,FALSE)</f>
        <v>#N/A</v>
      </c>
      <c r="K355" s="29"/>
      <c r="P355" s="22"/>
      <c r="X355" s="22"/>
    </row>
    <row r="356" spans="10:24">
      <c r="J356" s="20" t="e">
        <f>VLOOKUP(G356,MD!M$2:O$93,3,FALSE)</f>
        <v>#N/A</v>
      </c>
      <c r="K356" s="29"/>
      <c r="P356" s="22"/>
      <c r="X356" s="22"/>
    </row>
    <row r="357" spans="10:24">
      <c r="J357" s="20" t="e">
        <f>VLOOKUP(G357,MD!M$2:O$93,3,FALSE)</f>
        <v>#N/A</v>
      </c>
      <c r="K357" s="29"/>
      <c r="P357" s="22"/>
      <c r="X357" s="22"/>
    </row>
    <row r="358" spans="10:24">
      <c r="J358" s="20" t="e">
        <f>VLOOKUP(G358,MD!M$2:O$93,3,FALSE)</f>
        <v>#N/A</v>
      </c>
      <c r="K358" s="29"/>
      <c r="P358" s="22"/>
      <c r="X358" s="22"/>
    </row>
    <row r="359" spans="10:24">
      <c r="J359" s="20" t="e">
        <f>VLOOKUP(G359,MD!M$2:O$93,3,FALSE)</f>
        <v>#N/A</v>
      </c>
      <c r="K359" s="29"/>
      <c r="P359" s="22"/>
      <c r="X359" s="22"/>
    </row>
    <row r="360" spans="10:24">
      <c r="J360" s="20" t="e">
        <f>VLOOKUP(G360,MD!M$2:O$93,3,FALSE)</f>
        <v>#N/A</v>
      </c>
      <c r="K360" s="29"/>
      <c r="P360" s="22"/>
      <c r="X360" s="22"/>
    </row>
    <row r="361" spans="10:24">
      <c r="J361" s="20" t="e">
        <f>VLOOKUP(G361,MD!M$2:O$93,3,FALSE)</f>
        <v>#N/A</v>
      </c>
      <c r="K361" s="29"/>
      <c r="P361" s="22"/>
      <c r="X361" s="22"/>
    </row>
    <row r="362" spans="10:24">
      <c r="J362" s="20" t="e">
        <f>VLOOKUP(G362,MD!M$2:O$93,3,FALSE)</f>
        <v>#N/A</v>
      </c>
      <c r="K362" s="29"/>
      <c r="P362" s="22"/>
      <c r="X362" s="22"/>
    </row>
    <row r="363" spans="10:24">
      <c r="J363" s="20" t="e">
        <f>VLOOKUP(G363,MD!M$2:O$93,3,FALSE)</f>
        <v>#N/A</v>
      </c>
      <c r="K363" s="29"/>
      <c r="P363" s="22"/>
      <c r="X363" s="22"/>
    </row>
    <row r="364" spans="10:24">
      <c r="J364" s="20" t="e">
        <f>VLOOKUP(G364,MD!M$2:O$93,3,FALSE)</f>
        <v>#N/A</v>
      </c>
      <c r="K364" s="29"/>
      <c r="P364" s="22"/>
      <c r="X364" s="22"/>
    </row>
    <row r="365" spans="10:24">
      <c r="J365" s="20" t="e">
        <f>VLOOKUP(G365,MD!M$2:O$93,3,FALSE)</f>
        <v>#N/A</v>
      </c>
      <c r="K365" s="29"/>
      <c r="P365" s="22"/>
      <c r="X365" s="22"/>
    </row>
    <row r="366" spans="10:24">
      <c r="J366" s="20" t="e">
        <f>VLOOKUP(G366,MD!M$2:O$93,3,FALSE)</f>
        <v>#N/A</v>
      </c>
      <c r="K366" s="29"/>
      <c r="P366" s="22"/>
      <c r="X366" s="22"/>
    </row>
    <row r="367" spans="10:24">
      <c r="J367" s="20" t="e">
        <f>VLOOKUP(G367,MD!M$2:O$93,3,FALSE)</f>
        <v>#N/A</v>
      </c>
      <c r="K367" s="29"/>
      <c r="P367" s="22"/>
      <c r="X367" s="22"/>
    </row>
    <row r="368" spans="10:24">
      <c r="J368" s="20" t="e">
        <f>VLOOKUP(G368,MD!M$2:O$93,3,FALSE)</f>
        <v>#N/A</v>
      </c>
      <c r="K368" s="29"/>
      <c r="P368" s="22"/>
      <c r="X368" s="22"/>
    </row>
    <row r="369" spans="10:24">
      <c r="J369" s="20" t="e">
        <f>VLOOKUP(G369,MD!M$2:O$93,3,FALSE)</f>
        <v>#N/A</v>
      </c>
      <c r="K369" s="29"/>
      <c r="P369" s="22"/>
      <c r="X369" s="22"/>
    </row>
    <row r="370" spans="10:24">
      <c r="J370" s="20" t="e">
        <f>VLOOKUP(G370,MD!M$2:O$93,3,FALSE)</f>
        <v>#N/A</v>
      </c>
      <c r="K370" s="29"/>
      <c r="P370" s="22"/>
      <c r="X370" s="22"/>
    </row>
    <row r="371" spans="10:24">
      <c r="J371" s="20" t="e">
        <f>VLOOKUP(G371,MD!M$2:O$93,3,FALSE)</f>
        <v>#N/A</v>
      </c>
      <c r="K371" s="29"/>
      <c r="P371" s="22"/>
      <c r="X371" s="22"/>
    </row>
    <row r="372" spans="10:24">
      <c r="J372" s="20" t="e">
        <f>VLOOKUP(G372,MD!M$2:O$93,3,FALSE)</f>
        <v>#N/A</v>
      </c>
      <c r="K372" s="29"/>
      <c r="P372" s="22"/>
      <c r="X372" s="22"/>
    </row>
    <row r="373" spans="10:24">
      <c r="J373" s="20" t="e">
        <f>VLOOKUP(G373,MD!M$2:O$93,3,FALSE)</f>
        <v>#N/A</v>
      </c>
      <c r="K373" s="29"/>
      <c r="P373" s="22"/>
      <c r="X373" s="22"/>
    </row>
    <row r="374" spans="10:24">
      <c r="J374" s="20" t="e">
        <f>VLOOKUP(G374,MD!M$2:O$93,3,FALSE)</f>
        <v>#N/A</v>
      </c>
      <c r="K374" s="29"/>
      <c r="P374" s="22"/>
      <c r="X374" s="22"/>
    </row>
    <row r="375" spans="10:24">
      <c r="J375" s="20" t="e">
        <f>VLOOKUP(G375,MD!M$2:O$93,3,FALSE)</f>
        <v>#N/A</v>
      </c>
      <c r="K375" s="29"/>
      <c r="P375" s="22"/>
      <c r="X375" s="22"/>
    </row>
    <row r="376" spans="10:24">
      <c r="J376" s="20" t="e">
        <f>VLOOKUP(G376,MD!M$2:O$93,3,FALSE)</f>
        <v>#N/A</v>
      </c>
      <c r="K376" s="29"/>
      <c r="P376" s="22"/>
      <c r="X376" s="22"/>
    </row>
    <row r="377" spans="10:24">
      <c r="J377" s="20" t="e">
        <f>VLOOKUP(G377,MD!M$2:O$93,3,FALSE)</f>
        <v>#N/A</v>
      </c>
      <c r="K377" s="29"/>
      <c r="P377" s="22"/>
      <c r="X377" s="22"/>
    </row>
    <row r="378" spans="10:24">
      <c r="J378" s="20" t="e">
        <f>VLOOKUP(G378,MD!M$2:O$93,3,FALSE)</f>
        <v>#N/A</v>
      </c>
      <c r="K378" s="29"/>
      <c r="P378" s="22"/>
      <c r="X378" s="22"/>
    </row>
    <row r="379" spans="10:24">
      <c r="J379" s="20" t="e">
        <f>VLOOKUP(G379,MD!M$2:O$93,3,FALSE)</f>
        <v>#N/A</v>
      </c>
      <c r="K379" s="29"/>
      <c r="P379" s="22"/>
      <c r="X379" s="22"/>
    </row>
    <row r="380" spans="10:24">
      <c r="J380" s="20" t="e">
        <f>VLOOKUP(G380,MD!M$2:O$93,3,FALSE)</f>
        <v>#N/A</v>
      </c>
      <c r="K380" s="29"/>
      <c r="P380" s="22"/>
      <c r="X380" s="22"/>
    </row>
    <row r="381" spans="10:24">
      <c r="J381" s="20" t="e">
        <f>VLOOKUP(G381,MD!M$2:O$93,3,FALSE)</f>
        <v>#N/A</v>
      </c>
      <c r="K381" s="29"/>
      <c r="P381" s="22"/>
      <c r="X381" s="22"/>
    </row>
    <row r="382" spans="10:24">
      <c r="J382" s="20" t="e">
        <f>VLOOKUP(G382,MD!M$2:O$93,3,FALSE)</f>
        <v>#N/A</v>
      </c>
      <c r="K382" s="29"/>
      <c r="P382" s="22"/>
      <c r="X382" s="22"/>
    </row>
    <row r="383" spans="10:24">
      <c r="J383" s="20" t="e">
        <f>VLOOKUP(G383,MD!M$2:O$93,3,FALSE)</f>
        <v>#N/A</v>
      </c>
      <c r="K383" s="29"/>
      <c r="P383" s="22"/>
      <c r="X383" s="22"/>
    </row>
    <row r="384" spans="10:24">
      <c r="J384" s="20" t="e">
        <f>VLOOKUP(G384,MD!M$2:O$93,3,FALSE)</f>
        <v>#N/A</v>
      </c>
      <c r="K384" s="29"/>
      <c r="P384" s="22"/>
      <c r="X384" s="22"/>
    </row>
    <row r="385" spans="10:24">
      <c r="J385" s="20" t="e">
        <f>VLOOKUP(G385,MD!M$2:O$93,3,FALSE)</f>
        <v>#N/A</v>
      </c>
      <c r="K385" s="29"/>
      <c r="P385" s="22"/>
      <c r="X385" s="22"/>
    </row>
    <row r="386" spans="10:24">
      <c r="J386" s="20" t="e">
        <f>VLOOKUP(G386,MD!M$2:O$93,3,FALSE)</f>
        <v>#N/A</v>
      </c>
      <c r="K386" s="29"/>
      <c r="P386" s="22"/>
      <c r="X386" s="22"/>
    </row>
    <row r="387" spans="10:24">
      <c r="J387" s="20" t="e">
        <f>VLOOKUP(G387,MD!M$2:O$93,3,FALSE)</f>
        <v>#N/A</v>
      </c>
      <c r="K387" s="29"/>
      <c r="P387" s="22"/>
      <c r="X387" s="22"/>
    </row>
    <row r="388" spans="10:24">
      <c r="J388" s="20" t="e">
        <f>VLOOKUP(G388,MD!M$2:O$93,3,FALSE)</f>
        <v>#N/A</v>
      </c>
      <c r="K388" s="29"/>
      <c r="P388" s="22"/>
      <c r="X388" s="22"/>
    </row>
    <row r="389" spans="10:24">
      <c r="J389" s="20" t="e">
        <f>VLOOKUP(G389,MD!M$2:O$93,3,FALSE)</f>
        <v>#N/A</v>
      </c>
      <c r="K389" s="29"/>
      <c r="P389" s="22"/>
      <c r="X389" s="22"/>
    </row>
    <row r="390" spans="10:24">
      <c r="J390" s="20" t="e">
        <f>VLOOKUP(G390,MD!M$2:O$93,3,FALSE)</f>
        <v>#N/A</v>
      </c>
      <c r="K390" s="29"/>
      <c r="P390" s="22"/>
      <c r="X390" s="22"/>
    </row>
    <row r="391" spans="10:24">
      <c r="J391" s="20" t="e">
        <f>VLOOKUP(G391,MD!M$2:O$93,3,FALSE)</f>
        <v>#N/A</v>
      </c>
      <c r="K391" s="29"/>
      <c r="P391" s="22"/>
      <c r="X391" s="22"/>
    </row>
    <row r="392" spans="10:24">
      <c r="J392" s="20" t="e">
        <f>VLOOKUP(G392,MD!M$2:O$93,3,FALSE)</f>
        <v>#N/A</v>
      </c>
      <c r="K392" s="29"/>
      <c r="P392" s="22"/>
      <c r="X392" s="22"/>
    </row>
    <row r="393" spans="10:24">
      <c r="J393" s="20" t="e">
        <f>VLOOKUP(G393,MD!M$2:O$93,3,FALSE)</f>
        <v>#N/A</v>
      </c>
      <c r="K393" s="29"/>
      <c r="P393" s="22"/>
      <c r="X393" s="22"/>
    </row>
    <row r="394" spans="10:24">
      <c r="J394" s="20" t="e">
        <f>VLOOKUP(G394,MD!M$2:O$93,3,FALSE)</f>
        <v>#N/A</v>
      </c>
      <c r="K394" s="29"/>
      <c r="P394" s="22"/>
      <c r="X394" s="22"/>
    </row>
    <row r="395" spans="10:24">
      <c r="J395" s="20" t="e">
        <f>VLOOKUP(G395,MD!M$2:O$93,3,FALSE)</f>
        <v>#N/A</v>
      </c>
      <c r="K395" s="29"/>
      <c r="P395" s="22"/>
      <c r="X395" s="22"/>
    </row>
    <row r="396" spans="10:24">
      <c r="J396" s="20" t="e">
        <f>VLOOKUP(G396,MD!M$2:O$93,3,FALSE)</f>
        <v>#N/A</v>
      </c>
      <c r="K396" s="29"/>
      <c r="P396" s="22"/>
      <c r="X396" s="22"/>
    </row>
    <row r="397" spans="10:24">
      <c r="J397" s="20" t="e">
        <f>VLOOKUP(G397,MD!M$2:O$93,3,FALSE)</f>
        <v>#N/A</v>
      </c>
      <c r="K397" s="29"/>
      <c r="P397" s="22"/>
      <c r="X397" s="22"/>
    </row>
    <row r="398" spans="10:24">
      <c r="J398" s="20" t="e">
        <f>VLOOKUP(G398,MD!M$2:O$93,3,FALSE)</f>
        <v>#N/A</v>
      </c>
      <c r="K398" s="29"/>
      <c r="P398" s="22"/>
      <c r="X398" s="22"/>
    </row>
    <row r="399" spans="10:24">
      <c r="J399" s="20" t="e">
        <f>VLOOKUP(G399,MD!M$2:O$93,3,FALSE)</f>
        <v>#N/A</v>
      </c>
      <c r="K399" s="29"/>
      <c r="P399" s="22"/>
      <c r="X399" s="22"/>
    </row>
    <row r="400" spans="10:24">
      <c r="J400" s="20" t="e">
        <f>VLOOKUP(G400,MD!M$2:O$93,3,FALSE)</f>
        <v>#N/A</v>
      </c>
      <c r="K400" s="29"/>
      <c r="P400" s="22"/>
      <c r="X400" s="22"/>
    </row>
    <row r="401" spans="10:24">
      <c r="J401" s="20" t="e">
        <f>VLOOKUP(G401,MD!M$2:O$93,3,FALSE)</f>
        <v>#N/A</v>
      </c>
      <c r="K401" s="29"/>
      <c r="P401" s="22"/>
      <c r="X401" s="22"/>
    </row>
    <row r="402" spans="10:24">
      <c r="J402" s="20" t="e">
        <f>VLOOKUP(G402,MD!M$2:O$93,3,FALSE)</f>
        <v>#N/A</v>
      </c>
      <c r="K402" s="29"/>
      <c r="P402" s="22"/>
      <c r="X402" s="22"/>
    </row>
    <row r="403" spans="10:24">
      <c r="J403" s="20" t="e">
        <f>VLOOKUP(G403,MD!M$2:O$93,3,FALSE)</f>
        <v>#N/A</v>
      </c>
      <c r="K403" s="29"/>
      <c r="P403" s="22"/>
      <c r="X403" s="22"/>
    </row>
    <row r="404" spans="10:24">
      <c r="J404" s="20" t="e">
        <f>VLOOKUP(G404,MD!M$2:O$93,3,FALSE)</f>
        <v>#N/A</v>
      </c>
      <c r="K404" s="29"/>
      <c r="P404" s="22"/>
      <c r="X404" s="22"/>
    </row>
    <row r="405" spans="10:24">
      <c r="J405" s="20" t="e">
        <f>VLOOKUP(G405,MD!M$2:O$93,3,FALSE)</f>
        <v>#N/A</v>
      </c>
      <c r="K405" s="29"/>
      <c r="P405" s="22"/>
      <c r="X405" s="22"/>
    </row>
    <row r="406" spans="10:24">
      <c r="J406" s="20" t="e">
        <f>VLOOKUP(G406,MD!M$2:O$93,3,FALSE)</f>
        <v>#N/A</v>
      </c>
      <c r="K406" s="29"/>
      <c r="P406" s="22"/>
      <c r="X406" s="22"/>
    </row>
    <row r="407" spans="10:24">
      <c r="J407" s="20" t="e">
        <f>VLOOKUP(G407,MD!M$2:O$93,3,FALSE)</f>
        <v>#N/A</v>
      </c>
      <c r="K407" s="29"/>
      <c r="P407" s="22"/>
      <c r="X407" s="22"/>
    </row>
    <row r="408" spans="10:24">
      <c r="J408" s="20" t="e">
        <f>VLOOKUP(G408,MD!M$2:O$93,3,FALSE)</f>
        <v>#N/A</v>
      </c>
      <c r="K408" s="29"/>
      <c r="P408" s="22"/>
      <c r="X408" s="22"/>
    </row>
    <row r="409" spans="10:24">
      <c r="J409" s="20" t="e">
        <f>VLOOKUP(G409,MD!M$2:O$93,3,FALSE)</f>
        <v>#N/A</v>
      </c>
      <c r="K409" s="29"/>
      <c r="P409" s="22"/>
      <c r="X409" s="22"/>
    </row>
    <row r="410" spans="10:24">
      <c r="J410" s="20" t="e">
        <f>VLOOKUP(G410,MD!M$2:O$93,3,FALSE)</f>
        <v>#N/A</v>
      </c>
      <c r="K410" s="29"/>
      <c r="P410" s="22"/>
      <c r="X410" s="22"/>
    </row>
    <row r="411" spans="10:24">
      <c r="J411" s="20" t="e">
        <f>VLOOKUP(G411,MD!M$2:O$93,3,FALSE)</f>
        <v>#N/A</v>
      </c>
      <c r="K411" s="29"/>
      <c r="P411" s="22"/>
      <c r="X411" s="22"/>
    </row>
    <row r="412" spans="10:24">
      <c r="J412" s="20" t="e">
        <f>VLOOKUP(G412,MD!M$2:O$93,3,FALSE)</f>
        <v>#N/A</v>
      </c>
      <c r="K412" s="29"/>
      <c r="P412" s="22"/>
      <c r="X412" s="22"/>
    </row>
    <row r="413" spans="10:24">
      <c r="J413" s="20" t="e">
        <f>VLOOKUP(G413,MD!M$2:O$93,3,FALSE)</f>
        <v>#N/A</v>
      </c>
      <c r="K413" s="29"/>
      <c r="P413" s="22"/>
      <c r="X413" s="22"/>
    </row>
    <row r="414" spans="10:24">
      <c r="J414" s="20" t="e">
        <f>VLOOKUP(G414,MD!M$2:O$93,3,FALSE)</f>
        <v>#N/A</v>
      </c>
      <c r="K414" s="29"/>
      <c r="P414" s="22"/>
      <c r="X414" s="22"/>
    </row>
    <row r="415" spans="10:24">
      <c r="J415" s="20" t="e">
        <f>VLOOKUP(G415,MD!M$2:O$93,3,FALSE)</f>
        <v>#N/A</v>
      </c>
      <c r="K415" s="29"/>
      <c r="P415" s="22"/>
      <c r="X415" s="22"/>
    </row>
    <row r="416" spans="10:24">
      <c r="J416" s="20" t="e">
        <f>VLOOKUP(G416,MD!M$2:O$93,3,FALSE)</f>
        <v>#N/A</v>
      </c>
      <c r="K416" s="29"/>
      <c r="P416" s="22"/>
      <c r="X416" s="22"/>
    </row>
    <row r="417" spans="10:24">
      <c r="J417" s="20" t="e">
        <f>VLOOKUP(G417,MD!M$2:O$93,3,FALSE)</f>
        <v>#N/A</v>
      </c>
      <c r="K417" s="29"/>
      <c r="P417" s="22"/>
      <c r="X417" s="22"/>
    </row>
    <row r="418" spans="10:24">
      <c r="J418" s="20" t="e">
        <f>VLOOKUP(G418,MD!M$2:O$93,3,FALSE)</f>
        <v>#N/A</v>
      </c>
      <c r="K418" s="29"/>
      <c r="P418" s="22"/>
      <c r="X418" s="22"/>
    </row>
    <row r="419" spans="10:24">
      <c r="J419" s="20" t="e">
        <f>VLOOKUP(G419,MD!M$2:O$93,3,FALSE)</f>
        <v>#N/A</v>
      </c>
      <c r="K419" s="29"/>
      <c r="P419" s="22"/>
      <c r="X419" s="22"/>
    </row>
    <row r="420" spans="10:24">
      <c r="J420" s="20" t="e">
        <f>VLOOKUP(G420,MD!M$2:O$93,3,FALSE)</f>
        <v>#N/A</v>
      </c>
      <c r="K420" s="29"/>
      <c r="P420" s="22"/>
      <c r="X420" s="22"/>
    </row>
    <row r="421" spans="10:24">
      <c r="J421" s="20" t="e">
        <f>VLOOKUP(G421,MD!M$2:O$93,3,FALSE)</f>
        <v>#N/A</v>
      </c>
      <c r="K421" s="29"/>
      <c r="P421" s="22"/>
      <c r="X421" s="22"/>
    </row>
    <row r="422" spans="10:24">
      <c r="J422" s="20" t="e">
        <f>VLOOKUP(G422,MD!M$2:O$93,3,FALSE)</f>
        <v>#N/A</v>
      </c>
      <c r="K422" s="29"/>
      <c r="P422" s="22"/>
      <c r="X422" s="22"/>
    </row>
    <row r="423" spans="10:24">
      <c r="J423" s="20" t="e">
        <f>VLOOKUP(G423,MD!M$2:O$93,3,FALSE)</f>
        <v>#N/A</v>
      </c>
      <c r="K423" s="29"/>
      <c r="P423" s="22"/>
      <c r="X423" s="22"/>
    </row>
    <row r="424" spans="10:24">
      <c r="J424" s="20" t="e">
        <f>VLOOKUP(G424,MD!M$2:O$93,3,FALSE)</f>
        <v>#N/A</v>
      </c>
      <c r="K424" s="29"/>
      <c r="P424" s="22"/>
      <c r="X424" s="22"/>
    </row>
    <row r="425" spans="10:24">
      <c r="J425" s="20" t="e">
        <f>VLOOKUP(G425,MD!M$2:O$93,3,FALSE)</f>
        <v>#N/A</v>
      </c>
      <c r="K425" s="29"/>
      <c r="P425" s="22"/>
      <c r="X425" s="22"/>
    </row>
    <row r="426" spans="10:24">
      <c r="J426" s="20" t="e">
        <f>VLOOKUP(G426,MD!M$2:O$93,3,FALSE)</f>
        <v>#N/A</v>
      </c>
      <c r="K426" s="29"/>
      <c r="P426" s="22"/>
      <c r="X426" s="22"/>
    </row>
    <row r="427" spans="10:24">
      <c r="J427" s="20" t="e">
        <f>VLOOKUP(G427,MD!M$2:O$93,3,FALSE)</f>
        <v>#N/A</v>
      </c>
      <c r="K427" s="29"/>
      <c r="P427" s="22"/>
      <c r="X427" s="22"/>
    </row>
    <row r="428" spans="10:24">
      <c r="J428" s="20" t="e">
        <f>VLOOKUP(G428,MD!M$2:O$93,3,FALSE)</f>
        <v>#N/A</v>
      </c>
      <c r="K428" s="29"/>
      <c r="P428" s="22"/>
      <c r="X428" s="22"/>
    </row>
    <row r="429" spans="10:24">
      <c r="J429" s="20" t="e">
        <f>VLOOKUP(G429,MD!M$2:O$93,3,FALSE)</f>
        <v>#N/A</v>
      </c>
      <c r="K429" s="29"/>
      <c r="P429" s="22"/>
      <c r="X429" s="22"/>
    </row>
    <row r="430" spans="10:24">
      <c r="J430" s="20" t="e">
        <f>VLOOKUP(G430,MD!M$2:O$93,3,FALSE)</f>
        <v>#N/A</v>
      </c>
      <c r="K430" s="29"/>
      <c r="P430" s="22"/>
      <c r="X430" s="22"/>
    </row>
    <row r="431" spans="10:24">
      <c r="J431" s="20" t="e">
        <f>VLOOKUP(G431,MD!M$2:O$93,3,FALSE)</f>
        <v>#N/A</v>
      </c>
      <c r="K431" s="29"/>
      <c r="P431" s="22"/>
      <c r="X431" s="22"/>
    </row>
    <row r="432" spans="10:24">
      <c r="J432" s="20" t="e">
        <f>VLOOKUP(G432,MD!M$2:O$93,3,FALSE)</f>
        <v>#N/A</v>
      </c>
      <c r="K432" s="29"/>
      <c r="P432" s="22"/>
      <c r="X432" s="22"/>
    </row>
    <row r="433" spans="10:24">
      <c r="J433" s="20" t="e">
        <f>VLOOKUP(G433,MD!M$2:O$93,3,FALSE)</f>
        <v>#N/A</v>
      </c>
      <c r="K433" s="29"/>
      <c r="P433" s="22"/>
      <c r="X433" s="22"/>
    </row>
    <row r="434" spans="10:24">
      <c r="J434" s="20" t="e">
        <f>VLOOKUP(G434,MD!M$2:O$93,3,FALSE)</f>
        <v>#N/A</v>
      </c>
      <c r="K434" s="29"/>
      <c r="P434" s="22"/>
      <c r="X434" s="22"/>
    </row>
    <row r="435" spans="10:24">
      <c r="J435" s="20" t="e">
        <f>VLOOKUP(G435,MD!M$2:O$93,3,FALSE)</f>
        <v>#N/A</v>
      </c>
      <c r="K435" s="29"/>
      <c r="P435" s="22"/>
      <c r="X435" s="22"/>
    </row>
    <row r="436" spans="10:24">
      <c r="J436" s="20" t="e">
        <f>VLOOKUP(G436,MD!M$2:O$93,3,FALSE)</f>
        <v>#N/A</v>
      </c>
      <c r="K436" s="29"/>
      <c r="P436" s="22"/>
      <c r="X436" s="22"/>
    </row>
    <row r="437" spans="10:24">
      <c r="J437" s="20" t="e">
        <f>VLOOKUP(G437,MD!M$2:O$93,3,FALSE)</f>
        <v>#N/A</v>
      </c>
      <c r="K437" s="29"/>
      <c r="P437" s="22"/>
      <c r="X437" s="22"/>
    </row>
    <row r="438" spans="10:24">
      <c r="J438" s="20" t="e">
        <f>VLOOKUP(G438,MD!M$2:O$93,3,FALSE)</f>
        <v>#N/A</v>
      </c>
      <c r="K438" s="29"/>
      <c r="P438" s="22"/>
      <c r="X438" s="22"/>
    </row>
    <row r="439" spans="10:24">
      <c r="J439" s="20" t="e">
        <f>VLOOKUP(G439,MD!M$2:O$93,3,FALSE)</f>
        <v>#N/A</v>
      </c>
      <c r="K439" s="29"/>
      <c r="P439" s="22"/>
      <c r="X439" s="22"/>
    </row>
    <row r="440" spans="10:24">
      <c r="J440" s="20" t="e">
        <f>VLOOKUP(G440,MD!M$2:O$93,3,FALSE)</f>
        <v>#N/A</v>
      </c>
      <c r="K440" s="29"/>
      <c r="P440" s="22"/>
      <c r="X440" s="22"/>
    </row>
    <row r="441" spans="10:24">
      <c r="J441" s="20" t="e">
        <f>VLOOKUP(G441,MD!M$2:O$93,3,FALSE)</f>
        <v>#N/A</v>
      </c>
      <c r="K441" s="29"/>
      <c r="P441" s="22"/>
      <c r="X441" s="22"/>
    </row>
    <row r="442" spans="10:24">
      <c r="J442" s="20" t="e">
        <f>VLOOKUP(G442,MD!M$2:O$93,3,FALSE)</f>
        <v>#N/A</v>
      </c>
      <c r="K442" s="29"/>
      <c r="P442" s="22"/>
      <c r="X442" s="22"/>
    </row>
    <row r="443" spans="10:24">
      <c r="J443" s="20" t="e">
        <f>VLOOKUP(G443,MD!M$2:O$93,3,FALSE)</f>
        <v>#N/A</v>
      </c>
      <c r="K443" s="29"/>
      <c r="P443" s="22"/>
      <c r="X443" s="22"/>
    </row>
    <row r="444" spans="10:24">
      <c r="J444" s="20" t="e">
        <f>VLOOKUP(G444,MD!M$2:O$93,3,FALSE)</f>
        <v>#N/A</v>
      </c>
      <c r="K444" s="29"/>
      <c r="P444" s="22"/>
      <c r="X444" s="22"/>
    </row>
    <row r="445" spans="10:24">
      <c r="J445" s="20" t="e">
        <f>VLOOKUP(G445,MD!M$2:O$93,3,FALSE)</f>
        <v>#N/A</v>
      </c>
      <c r="K445" s="29"/>
      <c r="P445" s="22"/>
      <c r="X445" s="22"/>
    </row>
    <row r="446" spans="10:24">
      <c r="J446" s="20" t="e">
        <f>VLOOKUP(G446,MD!M$2:O$93,3,FALSE)</f>
        <v>#N/A</v>
      </c>
      <c r="K446" s="29"/>
      <c r="P446" s="22"/>
      <c r="X446" s="22"/>
    </row>
    <row r="447" spans="10:24">
      <c r="J447" s="20" t="e">
        <f>VLOOKUP(G447,MD!M$2:O$93,3,FALSE)</f>
        <v>#N/A</v>
      </c>
      <c r="K447" s="29"/>
      <c r="P447" s="22"/>
      <c r="X447" s="22"/>
    </row>
    <row r="448" spans="10:24">
      <c r="J448" s="20" t="e">
        <f>VLOOKUP(G448,MD!M$2:O$93,3,FALSE)</f>
        <v>#N/A</v>
      </c>
      <c r="K448" s="29"/>
      <c r="P448" s="22"/>
      <c r="X448" s="22"/>
    </row>
    <row r="449" spans="10:24">
      <c r="J449" s="20" t="e">
        <f>VLOOKUP(G449,MD!M$2:O$93,3,FALSE)</f>
        <v>#N/A</v>
      </c>
      <c r="K449" s="29"/>
      <c r="P449" s="22"/>
      <c r="X449" s="22"/>
    </row>
    <row r="450" spans="10:24">
      <c r="J450" s="20" t="e">
        <f>VLOOKUP(G450,MD!M$2:O$93,3,FALSE)</f>
        <v>#N/A</v>
      </c>
      <c r="K450" s="29"/>
      <c r="P450" s="22"/>
      <c r="X450" s="22"/>
    </row>
    <row r="451" spans="10:24">
      <c r="J451" s="20" t="e">
        <f>VLOOKUP(G451,MD!M$2:O$93,3,FALSE)</f>
        <v>#N/A</v>
      </c>
      <c r="K451" s="29"/>
      <c r="P451" s="22"/>
      <c r="X451" s="22"/>
    </row>
    <row r="452" spans="10:24">
      <c r="J452" s="20" t="e">
        <f>VLOOKUP(G452,MD!M$2:O$93,3,FALSE)</f>
        <v>#N/A</v>
      </c>
      <c r="K452" s="29"/>
      <c r="P452" s="22"/>
      <c r="X452" s="22"/>
    </row>
    <row r="453" spans="10:24">
      <c r="J453" s="20" t="e">
        <f>VLOOKUP(G453,MD!M$2:O$93,3,FALSE)</f>
        <v>#N/A</v>
      </c>
      <c r="K453" s="29"/>
      <c r="P453" s="22"/>
      <c r="X453" s="22"/>
    </row>
    <row r="454" spans="10:24">
      <c r="J454" s="20" t="e">
        <f>VLOOKUP(G454,MD!M$2:O$93,3,FALSE)</f>
        <v>#N/A</v>
      </c>
      <c r="K454" s="29"/>
      <c r="P454" s="22"/>
      <c r="X454" s="22"/>
    </row>
    <row r="455" spans="10:24">
      <c r="J455" s="20" t="e">
        <f>VLOOKUP(G455,MD!M$2:O$93,3,FALSE)</f>
        <v>#N/A</v>
      </c>
      <c r="K455" s="29"/>
      <c r="P455" s="22"/>
      <c r="X455" s="22"/>
    </row>
    <row r="456" spans="10:24">
      <c r="J456" s="20" t="e">
        <f>VLOOKUP(G456,MD!M$2:O$93,3,FALSE)</f>
        <v>#N/A</v>
      </c>
      <c r="K456" s="29"/>
      <c r="P456" s="22"/>
      <c r="X456" s="22"/>
    </row>
    <row r="457" spans="10:24">
      <c r="J457" s="20" t="e">
        <f>VLOOKUP(G457,MD!M$2:O$93,3,FALSE)</f>
        <v>#N/A</v>
      </c>
      <c r="K457" s="29"/>
      <c r="P457" s="22"/>
      <c r="X457" s="22"/>
    </row>
    <row r="458" spans="10:24">
      <c r="J458" s="20" t="e">
        <f>VLOOKUP(G458,MD!M$2:O$93,3,FALSE)</f>
        <v>#N/A</v>
      </c>
      <c r="K458" s="29"/>
      <c r="P458" s="22"/>
      <c r="X458" s="22"/>
    </row>
    <row r="459" spans="10:24">
      <c r="J459" s="20" t="e">
        <f>VLOOKUP(G459,MD!M$2:O$93,3,FALSE)</f>
        <v>#N/A</v>
      </c>
      <c r="K459" s="29"/>
      <c r="P459" s="22"/>
      <c r="X459" s="22"/>
    </row>
    <row r="460" spans="10:24">
      <c r="J460" s="20" t="e">
        <f>VLOOKUP(G460,MD!M$2:O$93,3,FALSE)</f>
        <v>#N/A</v>
      </c>
      <c r="K460" s="29"/>
      <c r="P460" s="22"/>
      <c r="X460" s="22"/>
    </row>
    <row r="461" spans="10:24">
      <c r="J461" s="20" t="e">
        <f>VLOOKUP(G461,MD!M$2:O$93,3,FALSE)</f>
        <v>#N/A</v>
      </c>
      <c r="K461" s="29"/>
      <c r="P461" s="22"/>
      <c r="X461" s="22"/>
    </row>
    <row r="462" spans="10:24">
      <c r="J462" s="20" t="e">
        <f>VLOOKUP(G462,MD!M$2:O$93,3,FALSE)</f>
        <v>#N/A</v>
      </c>
      <c r="K462" s="29"/>
      <c r="P462" s="22"/>
      <c r="X462" s="22"/>
    </row>
    <row r="463" spans="10:24">
      <c r="J463" s="20" t="e">
        <f>VLOOKUP(G463,MD!M$2:O$93,3,FALSE)</f>
        <v>#N/A</v>
      </c>
      <c r="K463" s="29"/>
      <c r="P463" s="22"/>
      <c r="X463" s="22"/>
    </row>
    <row r="464" spans="10:24">
      <c r="J464" s="20" t="e">
        <f>VLOOKUP(G464,MD!M$2:O$93,3,FALSE)</f>
        <v>#N/A</v>
      </c>
      <c r="K464" s="29"/>
      <c r="P464" s="22"/>
      <c r="X464" s="22"/>
    </row>
    <row r="465" spans="10:24">
      <c r="J465" s="20" t="e">
        <f>VLOOKUP(G465,MD!M$2:O$93,3,FALSE)</f>
        <v>#N/A</v>
      </c>
      <c r="K465" s="29"/>
      <c r="P465" s="22"/>
      <c r="X465" s="22"/>
    </row>
    <row r="466" spans="10:24">
      <c r="J466" s="20" t="e">
        <f>VLOOKUP(G466,MD!M$2:O$93,3,FALSE)</f>
        <v>#N/A</v>
      </c>
      <c r="K466" s="29"/>
      <c r="P466" s="22"/>
      <c r="X466" s="22"/>
    </row>
    <row r="467" spans="10:24">
      <c r="J467" s="20" t="e">
        <f>VLOOKUP(G467,MD!M$2:O$93,3,FALSE)</f>
        <v>#N/A</v>
      </c>
      <c r="K467" s="29"/>
      <c r="P467" s="22"/>
      <c r="X467" s="22"/>
    </row>
    <row r="468" spans="10:24">
      <c r="J468" s="20" t="e">
        <f>VLOOKUP(G468,MD!M$2:O$93,3,FALSE)</f>
        <v>#N/A</v>
      </c>
      <c r="K468" s="29"/>
      <c r="P468" s="22"/>
      <c r="X468" s="22"/>
    </row>
    <row r="469" spans="10:24">
      <c r="J469" s="20" t="e">
        <f>VLOOKUP(G469,MD!M$2:O$93,3,FALSE)</f>
        <v>#N/A</v>
      </c>
      <c r="K469" s="29"/>
      <c r="P469" s="22"/>
      <c r="X469" s="22"/>
    </row>
    <row r="470" spans="10:24">
      <c r="J470" s="20" t="e">
        <f>VLOOKUP(G470,MD!M$2:O$93,3,FALSE)</f>
        <v>#N/A</v>
      </c>
      <c r="K470" s="29"/>
      <c r="P470" s="22"/>
      <c r="X470" s="22"/>
    </row>
    <row r="471" spans="10:24">
      <c r="J471" s="20" t="e">
        <f>VLOOKUP(G471,MD!M$2:O$93,3,FALSE)</f>
        <v>#N/A</v>
      </c>
      <c r="K471" s="29"/>
      <c r="P471" s="22"/>
      <c r="X471" s="22"/>
    </row>
    <row r="472" spans="10:24">
      <c r="J472" s="20" t="e">
        <f>VLOOKUP(G472,MD!M$2:O$93,3,FALSE)</f>
        <v>#N/A</v>
      </c>
      <c r="K472" s="29"/>
      <c r="P472" s="22"/>
      <c r="X472" s="22"/>
    </row>
    <row r="473" spans="10:24">
      <c r="J473" s="20" t="e">
        <f>VLOOKUP(G473,MD!M$2:O$93,3,FALSE)</f>
        <v>#N/A</v>
      </c>
      <c r="K473" s="29"/>
      <c r="P473" s="22"/>
      <c r="X473" s="22"/>
    </row>
    <row r="474" spans="10:24">
      <c r="J474" s="20" t="e">
        <f>VLOOKUP(G474,MD!M$2:O$93,3,FALSE)</f>
        <v>#N/A</v>
      </c>
      <c r="K474" s="29"/>
      <c r="P474" s="22"/>
      <c r="X474" s="22"/>
    </row>
    <row r="475" spans="10:24">
      <c r="J475" s="20" t="e">
        <f>VLOOKUP(G475,MD!M$2:O$93,3,FALSE)</f>
        <v>#N/A</v>
      </c>
      <c r="K475" s="29"/>
      <c r="P475" s="22"/>
      <c r="X475" s="22"/>
    </row>
    <row r="476" spans="10:24">
      <c r="J476" s="20" t="e">
        <f>VLOOKUP(G476,MD!M$2:O$93,3,FALSE)</f>
        <v>#N/A</v>
      </c>
      <c r="K476" s="29"/>
      <c r="P476" s="22"/>
      <c r="X476" s="22"/>
    </row>
    <row r="477" spans="10:24">
      <c r="J477" s="20" t="e">
        <f>VLOOKUP(G477,MD!M$2:O$93,3,FALSE)</f>
        <v>#N/A</v>
      </c>
      <c r="K477" s="29"/>
      <c r="P477" s="22"/>
      <c r="X477" s="22"/>
    </row>
    <row r="478" spans="10:24">
      <c r="J478" s="20" t="e">
        <f>VLOOKUP(G478,MD!M$2:O$93,3,FALSE)</f>
        <v>#N/A</v>
      </c>
      <c r="K478" s="29"/>
      <c r="P478" s="22"/>
      <c r="X478" s="22"/>
    </row>
    <row r="479" spans="10:24">
      <c r="J479" s="20" t="e">
        <f>VLOOKUP(G479,MD!M$2:O$93,3,FALSE)</f>
        <v>#N/A</v>
      </c>
      <c r="K479" s="29"/>
      <c r="P479" s="22"/>
      <c r="X479" s="22"/>
    </row>
    <row r="480" spans="10:24">
      <c r="J480" s="20" t="e">
        <f>VLOOKUP(G480,MD!M$2:O$93,3,FALSE)</f>
        <v>#N/A</v>
      </c>
      <c r="K480" s="29"/>
      <c r="P480" s="22"/>
      <c r="X480" s="22"/>
    </row>
    <row r="481" spans="10:24">
      <c r="J481" s="20" t="e">
        <f>VLOOKUP(G481,MD!M$2:O$93,3,FALSE)</f>
        <v>#N/A</v>
      </c>
      <c r="K481" s="29"/>
      <c r="P481" s="22"/>
      <c r="X481" s="22"/>
    </row>
    <row r="482" spans="10:24">
      <c r="J482" s="20" t="e">
        <f>VLOOKUP(G482,MD!M$2:O$93,3,FALSE)</f>
        <v>#N/A</v>
      </c>
      <c r="K482" s="29"/>
      <c r="P482" s="22"/>
      <c r="X482" s="22"/>
    </row>
    <row r="483" spans="10:24">
      <c r="J483" s="20" t="e">
        <f>VLOOKUP(G483,MD!M$2:O$93,3,FALSE)</f>
        <v>#N/A</v>
      </c>
      <c r="K483" s="29"/>
      <c r="P483" s="22"/>
      <c r="X483" s="22"/>
    </row>
    <row r="484" spans="10:24">
      <c r="J484" s="20" t="e">
        <f>VLOOKUP(G484,MD!M$2:O$93,3,FALSE)</f>
        <v>#N/A</v>
      </c>
      <c r="K484" s="29"/>
      <c r="P484" s="22"/>
      <c r="X484" s="22"/>
    </row>
    <row r="485" spans="10:24">
      <c r="J485" s="20" t="e">
        <f>VLOOKUP(G485,MD!M$2:O$93,3,FALSE)</f>
        <v>#N/A</v>
      </c>
      <c r="K485" s="29"/>
      <c r="P485" s="22"/>
      <c r="X485" s="22"/>
    </row>
    <row r="486" spans="10:24">
      <c r="J486" s="20" t="e">
        <f>VLOOKUP(G486,MD!M$2:O$93,3,FALSE)</f>
        <v>#N/A</v>
      </c>
      <c r="K486" s="29"/>
      <c r="P486" s="22"/>
      <c r="X486" s="22"/>
    </row>
    <row r="487" spans="10:24">
      <c r="J487" s="20" t="e">
        <f>VLOOKUP(G487,MD!M$2:O$93,3,FALSE)</f>
        <v>#N/A</v>
      </c>
      <c r="K487" s="29"/>
      <c r="P487" s="22"/>
      <c r="X487" s="22"/>
    </row>
    <row r="488" spans="10:24">
      <c r="J488" s="20" t="e">
        <f>VLOOKUP(G488,MD!M$2:O$93,3,FALSE)</f>
        <v>#N/A</v>
      </c>
      <c r="K488" s="29"/>
      <c r="P488" s="22"/>
      <c r="X488" s="22"/>
    </row>
    <row r="489" spans="10:24">
      <c r="J489" s="20" t="e">
        <f>VLOOKUP(G489,MD!M$2:O$93,3,FALSE)</f>
        <v>#N/A</v>
      </c>
      <c r="K489" s="29"/>
      <c r="P489" s="22"/>
      <c r="X489" s="22"/>
    </row>
    <row r="490" spans="10:24">
      <c r="J490" s="20" t="e">
        <f>VLOOKUP(G490,MD!M$2:O$93,3,FALSE)</f>
        <v>#N/A</v>
      </c>
      <c r="K490" s="29"/>
      <c r="P490" s="22"/>
      <c r="X490" s="22"/>
    </row>
    <row r="491" spans="10:24">
      <c r="J491" s="20" t="e">
        <f>VLOOKUP(G491,MD!M$2:O$93,3,FALSE)</f>
        <v>#N/A</v>
      </c>
      <c r="K491" s="29"/>
      <c r="P491" s="22"/>
      <c r="X491" s="22"/>
    </row>
    <row r="492" spans="10:24">
      <c r="J492" s="20" t="e">
        <f>VLOOKUP(G492,MD!M$2:O$93,3,FALSE)</f>
        <v>#N/A</v>
      </c>
      <c r="K492" s="29"/>
      <c r="P492" s="22"/>
      <c r="X492" s="22"/>
    </row>
    <row r="493" spans="10:24">
      <c r="J493" s="20" t="e">
        <f>VLOOKUP(G493,MD!M$2:O$93,3,FALSE)</f>
        <v>#N/A</v>
      </c>
      <c r="K493" s="29"/>
      <c r="P493" s="22"/>
      <c r="X493" s="22"/>
    </row>
    <row r="494" spans="10:24">
      <c r="J494" s="20" t="e">
        <f>VLOOKUP(G494,MD!M$2:O$93,3,FALSE)</f>
        <v>#N/A</v>
      </c>
      <c r="K494" s="29"/>
      <c r="P494" s="22"/>
      <c r="X494" s="22"/>
    </row>
    <row r="495" spans="10:24">
      <c r="J495" s="20" t="e">
        <f>VLOOKUP(G495,MD!M$2:O$93,3,FALSE)</f>
        <v>#N/A</v>
      </c>
      <c r="K495" s="29"/>
      <c r="P495" s="22"/>
      <c r="X495" s="22"/>
    </row>
    <row r="496" spans="10:24">
      <c r="J496" s="20" t="e">
        <f>VLOOKUP(G496,MD!M$2:O$93,3,FALSE)</f>
        <v>#N/A</v>
      </c>
      <c r="K496" s="29"/>
      <c r="P496" s="22"/>
      <c r="X496" s="22"/>
    </row>
    <row r="497" spans="10:24">
      <c r="J497" s="20" t="e">
        <f>VLOOKUP(G497,MD!M$2:O$93,3,FALSE)</f>
        <v>#N/A</v>
      </c>
      <c r="K497" s="29"/>
      <c r="P497" s="22"/>
      <c r="X497" s="22"/>
    </row>
    <row r="498" spans="10:24">
      <c r="J498" s="20" t="e">
        <f>VLOOKUP(G498,MD!M$2:O$93,3,FALSE)</f>
        <v>#N/A</v>
      </c>
      <c r="K498" s="29"/>
      <c r="P498" s="22"/>
      <c r="X498" s="22"/>
    </row>
    <row r="499" spans="10:24">
      <c r="J499" s="20" t="e">
        <f>VLOOKUP(G499,MD!M$2:O$93,3,FALSE)</f>
        <v>#N/A</v>
      </c>
      <c r="K499" s="29"/>
      <c r="P499" s="22"/>
      <c r="X499" s="22"/>
    </row>
    <row r="500" spans="10:24">
      <c r="J500" s="20" t="e">
        <f>VLOOKUP(G500,MD!M$2:O$93,3,FALSE)</f>
        <v>#N/A</v>
      </c>
      <c r="K500" s="29"/>
      <c r="P500" s="22"/>
      <c r="X500" s="22"/>
    </row>
    <row r="501" spans="10:24">
      <c r="J501" s="20" t="e">
        <f>VLOOKUP(G501,MD!M$2:O$93,3,FALSE)</f>
        <v>#N/A</v>
      </c>
      <c r="K501" s="29"/>
      <c r="P501" s="22"/>
      <c r="X501" s="22"/>
    </row>
    <row r="502" spans="10:24">
      <c r="J502" s="20" t="e">
        <f>VLOOKUP(G502,MD!M$2:O$93,3,FALSE)</f>
        <v>#N/A</v>
      </c>
      <c r="K502" s="29"/>
      <c r="P502" s="22"/>
      <c r="X502" s="22"/>
    </row>
    <row r="503" spans="10:24">
      <c r="J503" s="20" t="e">
        <f>VLOOKUP(G503,MD!M$2:O$93,3,FALSE)</f>
        <v>#N/A</v>
      </c>
      <c r="K503" s="29"/>
      <c r="P503" s="22"/>
      <c r="X503" s="22"/>
    </row>
    <row r="504" spans="10:24">
      <c r="J504" s="20" t="e">
        <f>VLOOKUP(G504,MD!M$2:O$93,3,FALSE)</f>
        <v>#N/A</v>
      </c>
      <c r="K504" s="29"/>
      <c r="P504" s="22"/>
      <c r="X504" s="22"/>
    </row>
    <row r="505" spans="10:24">
      <c r="J505" s="20" t="e">
        <f>VLOOKUP(G505,MD!M$2:O$93,3,FALSE)</f>
        <v>#N/A</v>
      </c>
      <c r="K505" s="29"/>
      <c r="P505" s="22"/>
      <c r="X505" s="22"/>
    </row>
    <row r="506" spans="10:24">
      <c r="J506" s="20" t="e">
        <f>VLOOKUP(G506,MD!M$2:O$93,3,FALSE)</f>
        <v>#N/A</v>
      </c>
      <c r="K506" s="29"/>
      <c r="P506" s="22"/>
      <c r="X506" s="22"/>
    </row>
    <row r="507" spans="10:24">
      <c r="J507" s="20" t="e">
        <f>VLOOKUP(G507,MD!M$2:O$93,3,FALSE)</f>
        <v>#N/A</v>
      </c>
      <c r="K507" s="29"/>
      <c r="P507" s="22"/>
      <c r="X507" s="22"/>
    </row>
    <row r="508" spans="10:24">
      <c r="J508" s="20" t="e">
        <f>VLOOKUP(G508,MD!M$2:O$93,3,FALSE)</f>
        <v>#N/A</v>
      </c>
      <c r="K508" s="29"/>
      <c r="P508" s="22"/>
      <c r="X508" s="22"/>
    </row>
    <row r="509" spans="10:24">
      <c r="J509" s="20" t="e">
        <f>VLOOKUP(G509,MD!M$2:O$93,3,FALSE)</f>
        <v>#N/A</v>
      </c>
      <c r="K509" s="29"/>
      <c r="P509" s="22"/>
      <c r="X509" s="22"/>
    </row>
    <row r="510" spans="10:24">
      <c r="J510" s="20" t="e">
        <f>VLOOKUP(G510,MD!M$2:O$93,3,FALSE)</f>
        <v>#N/A</v>
      </c>
      <c r="K510" s="29"/>
      <c r="P510" s="22"/>
      <c r="X510" s="22"/>
    </row>
    <row r="511" spans="10:24">
      <c r="J511" s="20" t="e">
        <f>VLOOKUP(G511,MD!M$2:O$93,3,FALSE)</f>
        <v>#N/A</v>
      </c>
      <c r="K511" s="29"/>
      <c r="P511" s="22"/>
      <c r="X511" s="22"/>
    </row>
    <row r="512" spans="10:24">
      <c r="J512" s="20" t="e">
        <f>VLOOKUP(G512,MD!M$2:O$93,3,FALSE)</f>
        <v>#N/A</v>
      </c>
      <c r="K512" s="29"/>
      <c r="P512" s="22"/>
      <c r="X512" s="22"/>
    </row>
    <row r="513" spans="10:24">
      <c r="J513" s="20" t="e">
        <f>VLOOKUP(G513,MD!M$2:O$93,3,FALSE)</f>
        <v>#N/A</v>
      </c>
      <c r="K513" s="29"/>
      <c r="P513" s="22"/>
      <c r="X513" s="22"/>
    </row>
    <row r="514" spans="10:24">
      <c r="J514" s="20" t="e">
        <f>VLOOKUP(G514,MD!M$2:O$93,3,FALSE)</f>
        <v>#N/A</v>
      </c>
      <c r="K514" s="29"/>
      <c r="P514" s="22"/>
      <c r="X514" s="22"/>
    </row>
    <row r="515" spans="10:24">
      <c r="J515" s="20" t="e">
        <f>VLOOKUP(G515,MD!M$2:O$93,3,FALSE)</f>
        <v>#N/A</v>
      </c>
      <c r="K515" s="29"/>
      <c r="P515" s="22"/>
      <c r="X515" s="22"/>
    </row>
    <row r="516" spans="10:24">
      <c r="J516" s="20" t="e">
        <f>VLOOKUP(G516,MD!M$2:O$93,3,FALSE)</f>
        <v>#N/A</v>
      </c>
      <c r="K516" s="29"/>
      <c r="P516" s="22"/>
      <c r="X516" s="22"/>
    </row>
    <row r="517" spans="10:24">
      <c r="J517" s="20" t="e">
        <f>VLOOKUP(G517,MD!M$2:O$93,3,FALSE)</f>
        <v>#N/A</v>
      </c>
      <c r="K517" s="29"/>
      <c r="P517" s="22"/>
      <c r="X517" s="22"/>
    </row>
    <row r="518" spans="10:24">
      <c r="J518" s="20" t="e">
        <f>VLOOKUP(G518,MD!M$2:O$93,3,FALSE)</f>
        <v>#N/A</v>
      </c>
      <c r="K518" s="29"/>
      <c r="P518" s="22"/>
      <c r="X518" s="22"/>
    </row>
    <row r="519" spans="10:24">
      <c r="J519" s="20" t="e">
        <f>VLOOKUP(G519,MD!M$2:O$93,3,FALSE)</f>
        <v>#N/A</v>
      </c>
      <c r="K519" s="29"/>
      <c r="P519" s="22"/>
      <c r="X519" s="22"/>
    </row>
    <row r="520" spans="10:24">
      <c r="J520" s="20" t="e">
        <f>VLOOKUP(G520,MD!M$2:O$93,3,FALSE)</f>
        <v>#N/A</v>
      </c>
      <c r="K520" s="29"/>
      <c r="P520" s="22"/>
      <c r="X520" s="22"/>
    </row>
    <row r="521" spans="10:24">
      <c r="J521" s="20" t="e">
        <f>VLOOKUP(G521,MD!M$2:O$93,3,FALSE)</f>
        <v>#N/A</v>
      </c>
      <c r="K521" s="29"/>
      <c r="P521" s="22"/>
      <c r="X521" s="22"/>
    </row>
    <row r="522" spans="10:24">
      <c r="J522" s="20" t="e">
        <f>VLOOKUP(G522,MD!M$2:O$93,3,FALSE)</f>
        <v>#N/A</v>
      </c>
      <c r="K522" s="29"/>
      <c r="P522" s="22"/>
      <c r="X522" s="22"/>
    </row>
    <row r="523" spans="10:24">
      <c r="J523" s="20" t="e">
        <f>VLOOKUP(G523,MD!M$2:O$93,3,FALSE)</f>
        <v>#N/A</v>
      </c>
      <c r="K523" s="29"/>
      <c r="P523" s="22"/>
      <c r="X523" s="22"/>
    </row>
    <row r="524" spans="10:24">
      <c r="J524" s="20" t="e">
        <f>VLOOKUP(G524,MD!M$2:O$93,3,FALSE)</f>
        <v>#N/A</v>
      </c>
      <c r="K524" s="29"/>
      <c r="P524" s="22"/>
      <c r="X524" s="22"/>
    </row>
    <row r="525" spans="10:24">
      <c r="J525" s="20" t="e">
        <f>VLOOKUP(G525,MD!M$2:O$93,3,FALSE)</f>
        <v>#N/A</v>
      </c>
      <c r="K525" s="29"/>
      <c r="P525" s="22"/>
      <c r="X525" s="22"/>
    </row>
    <row r="526" spans="10:24">
      <c r="J526" s="20" t="e">
        <f>VLOOKUP(G526,MD!M$2:O$93,3,FALSE)</f>
        <v>#N/A</v>
      </c>
      <c r="K526" s="29"/>
      <c r="P526" s="22"/>
      <c r="X526" s="22"/>
    </row>
    <row r="527" spans="10:24">
      <c r="J527" s="20" t="e">
        <f>VLOOKUP(G527,MD!M$2:O$93,3,FALSE)</f>
        <v>#N/A</v>
      </c>
      <c r="K527" s="29"/>
      <c r="P527" s="22"/>
      <c r="X527" s="22"/>
    </row>
    <row r="528" spans="10:24">
      <c r="J528" s="20" t="e">
        <f>VLOOKUP(G528,MD!M$2:O$93,3,FALSE)</f>
        <v>#N/A</v>
      </c>
      <c r="K528" s="29"/>
      <c r="P528" s="22"/>
      <c r="X528" s="22"/>
    </row>
    <row r="529" spans="10:24">
      <c r="J529" s="20" t="e">
        <f>VLOOKUP(G529,MD!M$2:O$93,3,FALSE)</f>
        <v>#N/A</v>
      </c>
      <c r="K529" s="29"/>
      <c r="P529" s="22"/>
      <c r="X529" s="22"/>
    </row>
    <row r="530" spans="10:24">
      <c r="J530" s="20" t="e">
        <f>VLOOKUP(G530,MD!M$2:O$93,3,FALSE)</f>
        <v>#N/A</v>
      </c>
      <c r="K530" s="29"/>
      <c r="P530" s="22"/>
      <c r="X530" s="22"/>
    </row>
    <row r="531" spans="10:24">
      <c r="J531" s="20" t="e">
        <f>VLOOKUP(G531,MD!M$2:O$93,3,FALSE)</f>
        <v>#N/A</v>
      </c>
      <c r="K531" s="29"/>
      <c r="P531" s="22"/>
      <c r="X531" s="22"/>
    </row>
    <row r="532" spans="10:24">
      <c r="J532" s="20" t="e">
        <f>VLOOKUP(G532,MD!M$2:O$93,3,FALSE)</f>
        <v>#N/A</v>
      </c>
      <c r="K532" s="29"/>
      <c r="P532" s="22"/>
      <c r="X532" s="22"/>
    </row>
    <row r="533" spans="10:24">
      <c r="J533" s="20" t="e">
        <f>VLOOKUP(G533,MD!M$2:O$93,3,FALSE)</f>
        <v>#N/A</v>
      </c>
      <c r="K533" s="29"/>
      <c r="P533" s="22"/>
      <c r="X533" s="22"/>
    </row>
    <row r="534" spans="10:24">
      <c r="J534" s="20" t="e">
        <f>VLOOKUP(G534,MD!M$2:O$93,3,FALSE)</f>
        <v>#N/A</v>
      </c>
      <c r="K534" s="29"/>
      <c r="P534" s="22"/>
      <c r="X534" s="22"/>
    </row>
    <row r="535" spans="10:24">
      <c r="J535" s="20" t="e">
        <f>VLOOKUP(G535,MD!M$2:O$93,3,FALSE)</f>
        <v>#N/A</v>
      </c>
      <c r="K535" s="29"/>
      <c r="P535" s="22"/>
      <c r="X535" s="22"/>
    </row>
    <row r="536" spans="10:24">
      <c r="J536" s="20" t="e">
        <f>VLOOKUP(G536,MD!M$2:O$93,3,FALSE)</f>
        <v>#N/A</v>
      </c>
      <c r="K536" s="29"/>
      <c r="P536" s="22"/>
      <c r="X536" s="22"/>
    </row>
    <row r="537" spans="10:24">
      <c r="J537" s="20" t="e">
        <f>VLOOKUP(G537,MD!M$2:O$93,3,FALSE)</f>
        <v>#N/A</v>
      </c>
      <c r="K537" s="29"/>
      <c r="P537" s="22"/>
      <c r="X537" s="22"/>
    </row>
    <row r="538" spans="10:24">
      <c r="J538" s="20" t="e">
        <f>VLOOKUP(G538,MD!M$2:O$93,3,FALSE)</f>
        <v>#N/A</v>
      </c>
      <c r="K538" s="29"/>
      <c r="P538" s="22"/>
      <c r="X538" s="22"/>
    </row>
    <row r="539" spans="10:24">
      <c r="J539" s="20" t="e">
        <f>VLOOKUP(G539,MD!M$2:O$93,3,FALSE)</f>
        <v>#N/A</v>
      </c>
      <c r="K539" s="29"/>
      <c r="P539" s="22"/>
      <c r="X539" s="22"/>
    </row>
    <row r="540" spans="10:24">
      <c r="J540" s="20" t="e">
        <f>VLOOKUP(G540,MD!M$2:O$93,3,FALSE)</f>
        <v>#N/A</v>
      </c>
      <c r="K540" s="29"/>
      <c r="P540" s="22"/>
      <c r="X540" s="22"/>
    </row>
    <row r="541" spans="10:24">
      <c r="J541" s="20" t="e">
        <f>VLOOKUP(G541,MD!M$2:O$93,3,FALSE)</f>
        <v>#N/A</v>
      </c>
      <c r="K541" s="29"/>
      <c r="P541" s="22"/>
      <c r="X541" s="22"/>
    </row>
    <row r="542" spans="10:24">
      <c r="J542" s="20" t="e">
        <f>VLOOKUP(G542,MD!M$2:O$93,3,FALSE)</f>
        <v>#N/A</v>
      </c>
      <c r="K542" s="29"/>
      <c r="P542" s="22"/>
      <c r="X542" s="22"/>
    </row>
    <row r="543" spans="10:24">
      <c r="J543" s="20" t="e">
        <f>VLOOKUP(G543,MD!M$2:O$93,3,FALSE)</f>
        <v>#N/A</v>
      </c>
      <c r="K543" s="29"/>
      <c r="P543" s="22"/>
      <c r="X543" s="22"/>
    </row>
    <row r="544" spans="10:24">
      <c r="J544" s="20" t="e">
        <f>VLOOKUP(G544,MD!M$2:O$93,3,FALSE)</f>
        <v>#N/A</v>
      </c>
      <c r="K544" s="29"/>
      <c r="P544" s="22"/>
      <c r="X544" s="22"/>
    </row>
    <row r="545" spans="10:24">
      <c r="J545" s="20" t="e">
        <f>VLOOKUP(G545,MD!M$2:O$93,3,FALSE)</f>
        <v>#N/A</v>
      </c>
      <c r="K545" s="29"/>
      <c r="P545" s="22"/>
      <c r="X545" s="22"/>
    </row>
    <row r="546" spans="10:24">
      <c r="J546" s="20" t="e">
        <f>VLOOKUP(G546,MD!M$2:O$93,3,FALSE)</f>
        <v>#N/A</v>
      </c>
      <c r="K546" s="29"/>
      <c r="P546" s="22"/>
      <c r="X546" s="22"/>
    </row>
    <row r="547" spans="10:24">
      <c r="J547" s="20" t="e">
        <f>VLOOKUP(G547,MD!M$2:O$93,3,FALSE)</f>
        <v>#N/A</v>
      </c>
      <c r="K547" s="29"/>
      <c r="P547" s="22"/>
      <c r="X547" s="22"/>
    </row>
    <row r="548" spans="10:24">
      <c r="J548" s="20" t="e">
        <f>VLOOKUP(G548,MD!M$2:O$93,3,FALSE)</f>
        <v>#N/A</v>
      </c>
      <c r="K548" s="29"/>
      <c r="P548" s="22"/>
      <c r="X548" s="22"/>
    </row>
    <row r="549" spans="10:24">
      <c r="J549" s="20" t="e">
        <f>VLOOKUP(G549,MD!M$2:O$93,3,FALSE)</f>
        <v>#N/A</v>
      </c>
      <c r="K549" s="29"/>
      <c r="P549" s="22"/>
      <c r="X549" s="22"/>
    </row>
    <row r="550" spans="10:24">
      <c r="J550" s="20" t="e">
        <f>VLOOKUP(G550,MD!M$2:O$93,3,FALSE)</f>
        <v>#N/A</v>
      </c>
      <c r="K550" s="29"/>
      <c r="P550" s="22"/>
      <c r="X550" s="22"/>
    </row>
    <row r="551" spans="10:24">
      <c r="J551" s="20" t="e">
        <f>VLOOKUP(G551,MD!M$2:O$93,3,FALSE)</f>
        <v>#N/A</v>
      </c>
      <c r="K551" s="29"/>
      <c r="P551" s="22"/>
      <c r="X551" s="22"/>
    </row>
    <row r="552" spans="10:24">
      <c r="J552" s="20" t="e">
        <f>VLOOKUP(G552,MD!M$2:O$93,3,FALSE)</f>
        <v>#N/A</v>
      </c>
      <c r="K552" s="29"/>
      <c r="P552" s="22"/>
      <c r="X552" s="22"/>
    </row>
    <row r="553" spans="10:24">
      <c r="J553" s="20" t="e">
        <f>VLOOKUP(G553,MD!M$2:O$93,3,FALSE)</f>
        <v>#N/A</v>
      </c>
      <c r="K553" s="29"/>
      <c r="P553" s="22"/>
      <c r="X553" s="22"/>
    </row>
    <row r="554" spans="10:24">
      <c r="J554" s="20" t="e">
        <f>VLOOKUP(G554,MD!M$2:O$93,3,FALSE)</f>
        <v>#N/A</v>
      </c>
      <c r="K554" s="29"/>
      <c r="P554" s="22"/>
      <c r="X554" s="22"/>
    </row>
    <row r="555" spans="10:24">
      <c r="J555" s="20" t="e">
        <f>VLOOKUP(G555,MD!M$2:O$93,3,FALSE)</f>
        <v>#N/A</v>
      </c>
      <c r="K555" s="29"/>
      <c r="P555" s="22"/>
      <c r="X555" s="22"/>
    </row>
    <row r="556" spans="10:24">
      <c r="J556" s="20" t="e">
        <f>VLOOKUP(G556,MD!M$2:O$93,3,FALSE)</f>
        <v>#N/A</v>
      </c>
      <c r="K556" s="29"/>
      <c r="P556" s="22"/>
      <c r="X556" s="22"/>
    </row>
    <row r="557" spans="10:24">
      <c r="J557" s="20" t="e">
        <f>VLOOKUP(G557,MD!M$2:O$93,3,FALSE)</f>
        <v>#N/A</v>
      </c>
      <c r="K557" s="29"/>
      <c r="P557" s="22"/>
      <c r="X557" s="22"/>
    </row>
    <row r="558" spans="10:24">
      <c r="J558" s="20" t="e">
        <f>VLOOKUP(G558,MD!M$2:O$93,3,FALSE)</f>
        <v>#N/A</v>
      </c>
      <c r="K558" s="29"/>
      <c r="P558" s="22"/>
      <c r="X558" s="22"/>
    </row>
    <row r="559" spans="10:24">
      <c r="J559" s="20" t="e">
        <f>VLOOKUP(G559,MD!M$2:O$93,3,FALSE)</f>
        <v>#N/A</v>
      </c>
      <c r="K559" s="29"/>
      <c r="P559" s="22"/>
      <c r="X559" s="22"/>
    </row>
    <row r="560" spans="10:24">
      <c r="J560" s="20" t="e">
        <f>VLOOKUP(G560,MD!M$2:O$93,3,FALSE)</f>
        <v>#N/A</v>
      </c>
      <c r="K560" s="29"/>
      <c r="P560" s="22"/>
      <c r="X560" s="22"/>
    </row>
    <row r="561" spans="10:24">
      <c r="J561" s="20" t="e">
        <f>VLOOKUP(G561,MD!M$2:O$93,3,FALSE)</f>
        <v>#N/A</v>
      </c>
      <c r="K561" s="29"/>
      <c r="P561" s="22"/>
      <c r="X561" s="22"/>
    </row>
    <row r="562" spans="10:24">
      <c r="J562" s="20" t="e">
        <f>VLOOKUP(G562,MD!M$2:O$93,3,FALSE)</f>
        <v>#N/A</v>
      </c>
      <c r="K562" s="29"/>
      <c r="P562" s="22"/>
      <c r="X562" s="22"/>
    </row>
    <row r="563" spans="10:24">
      <c r="J563" s="20" t="e">
        <f>VLOOKUP(G563,MD!M$2:O$93,3,FALSE)</f>
        <v>#N/A</v>
      </c>
      <c r="K563" s="29"/>
      <c r="P563" s="22"/>
      <c r="X563" s="22"/>
    </row>
    <row r="564" spans="10:24">
      <c r="J564" s="20" t="e">
        <f>VLOOKUP(G564,MD!M$2:O$93,3,FALSE)</f>
        <v>#N/A</v>
      </c>
      <c r="K564" s="29"/>
      <c r="P564" s="22"/>
      <c r="X564" s="22"/>
    </row>
    <row r="565" spans="10:24">
      <c r="J565" s="20" t="e">
        <f>VLOOKUP(G565,MD!M$2:O$93,3,FALSE)</f>
        <v>#N/A</v>
      </c>
      <c r="K565" s="29"/>
      <c r="P565" s="22"/>
      <c r="X565" s="22"/>
    </row>
    <row r="566" spans="10:24">
      <c r="J566" s="20" t="e">
        <f>VLOOKUP(G566,MD!M$2:O$93,3,FALSE)</f>
        <v>#N/A</v>
      </c>
      <c r="K566" s="29"/>
      <c r="P566" s="22"/>
      <c r="X566" s="22"/>
    </row>
    <row r="567" spans="10:24">
      <c r="J567" s="20" t="e">
        <f>VLOOKUP(G567,MD!M$2:O$93,3,FALSE)</f>
        <v>#N/A</v>
      </c>
      <c r="K567" s="29"/>
      <c r="P567" s="22"/>
      <c r="X567" s="22"/>
    </row>
    <row r="568" spans="10:24">
      <c r="J568" s="20" t="e">
        <f>VLOOKUP(G568,MD!M$2:O$93,3,FALSE)</f>
        <v>#N/A</v>
      </c>
      <c r="K568" s="29"/>
      <c r="P568" s="22"/>
      <c r="X568" s="22"/>
    </row>
    <row r="569" spans="10:24">
      <c r="J569" s="20" t="e">
        <f>VLOOKUP(G569,MD!M$2:O$93,3,FALSE)</f>
        <v>#N/A</v>
      </c>
      <c r="K569" s="29"/>
      <c r="P569" s="22"/>
      <c r="X569" s="22"/>
    </row>
    <row r="570" spans="10:24">
      <c r="J570" s="20" t="e">
        <f>VLOOKUP(G570,MD!M$2:O$93,3,FALSE)</f>
        <v>#N/A</v>
      </c>
      <c r="K570" s="29"/>
      <c r="P570" s="22"/>
      <c r="X570" s="22"/>
    </row>
    <row r="571" spans="10:24">
      <c r="J571" s="20" t="e">
        <f>VLOOKUP(G571,MD!M$2:O$93,3,FALSE)</f>
        <v>#N/A</v>
      </c>
      <c r="K571" s="29"/>
      <c r="P571" s="22"/>
      <c r="X571" s="22"/>
    </row>
    <row r="572" spans="10:24">
      <c r="J572" s="20" t="e">
        <f>VLOOKUP(G572,MD!M$2:O$93,3,FALSE)</f>
        <v>#N/A</v>
      </c>
      <c r="K572" s="29"/>
      <c r="P572" s="22"/>
      <c r="X572" s="22"/>
    </row>
    <row r="573" spans="10:24">
      <c r="J573" s="20" t="e">
        <f>VLOOKUP(G573,MD!M$2:O$93,3,FALSE)</f>
        <v>#N/A</v>
      </c>
      <c r="K573" s="29"/>
      <c r="P573" s="22"/>
      <c r="X573" s="22"/>
    </row>
    <row r="574" spans="10:24">
      <c r="J574" s="20" t="e">
        <f>VLOOKUP(G574,MD!M$2:O$93,3,FALSE)</f>
        <v>#N/A</v>
      </c>
      <c r="K574" s="29"/>
      <c r="P574" s="22"/>
      <c r="X574" s="22"/>
    </row>
    <row r="575" spans="10:24">
      <c r="J575" s="20" t="e">
        <f>VLOOKUP(G575,MD!M$2:O$93,3,FALSE)</f>
        <v>#N/A</v>
      </c>
      <c r="K575" s="29"/>
      <c r="P575" s="22"/>
      <c r="X575" s="22"/>
    </row>
    <row r="576" spans="10:24">
      <c r="J576" s="20" t="e">
        <f>VLOOKUP(G576,MD!M$2:O$93,3,FALSE)</f>
        <v>#N/A</v>
      </c>
      <c r="K576" s="29"/>
      <c r="P576" s="22"/>
      <c r="X576" s="22"/>
    </row>
    <row r="577" spans="10:24">
      <c r="J577" s="20" t="e">
        <f>VLOOKUP(G577,MD!M$2:O$93,3,FALSE)</f>
        <v>#N/A</v>
      </c>
      <c r="K577" s="29"/>
      <c r="P577" s="22"/>
      <c r="X577" s="22"/>
    </row>
    <row r="578" spans="10:24">
      <c r="J578" s="20" t="e">
        <f>VLOOKUP(G578,MD!M$2:O$93,3,FALSE)</f>
        <v>#N/A</v>
      </c>
      <c r="K578" s="29"/>
      <c r="P578" s="22"/>
      <c r="X578" s="22"/>
    </row>
    <row r="579" spans="10:24">
      <c r="J579" s="20" t="e">
        <f>VLOOKUP(G579,MD!M$2:O$93,3,FALSE)</f>
        <v>#N/A</v>
      </c>
      <c r="K579" s="29"/>
      <c r="P579" s="22"/>
      <c r="X579" s="22"/>
    </row>
    <row r="580" spans="10:24">
      <c r="J580" s="20" t="e">
        <f>VLOOKUP(G580,MD!M$2:O$93,3,FALSE)</f>
        <v>#N/A</v>
      </c>
      <c r="K580" s="29"/>
      <c r="P580" s="22"/>
      <c r="X580" s="22"/>
    </row>
    <row r="581" spans="10:24">
      <c r="J581" s="20" t="e">
        <f>VLOOKUP(G581,MD!M$2:O$93,3,FALSE)</f>
        <v>#N/A</v>
      </c>
      <c r="K581" s="29"/>
      <c r="P581" s="22"/>
      <c r="X581" s="22"/>
    </row>
    <row r="582" spans="10:24">
      <c r="J582" s="20" t="e">
        <f>VLOOKUP(G582,MD!M$2:O$93,3,FALSE)</f>
        <v>#N/A</v>
      </c>
      <c r="K582" s="29"/>
      <c r="P582" s="22"/>
      <c r="X582" s="22"/>
    </row>
    <row r="583" spans="10:24">
      <c r="J583" s="20" t="e">
        <f>VLOOKUP(G583,MD!M$2:O$93,3,FALSE)</f>
        <v>#N/A</v>
      </c>
      <c r="K583" s="29"/>
      <c r="P583" s="22"/>
      <c r="X583" s="22"/>
    </row>
    <row r="584" spans="10:24">
      <c r="J584" s="20" t="e">
        <f>VLOOKUP(G584,MD!M$2:O$93,3,FALSE)</f>
        <v>#N/A</v>
      </c>
      <c r="K584" s="29"/>
      <c r="P584" s="22"/>
      <c r="X584" s="22"/>
    </row>
    <row r="585" spans="10:24">
      <c r="J585" s="20" t="e">
        <f>VLOOKUP(G585,MD!M$2:O$93,3,FALSE)</f>
        <v>#N/A</v>
      </c>
      <c r="K585" s="29"/>
      <c r="P585" s="22"/>
      <c r="X585" s="22"/>
    </row>
    <row r="586" spans="10:24">
      <c r="J586" s="20" t="e">
        <f>VLOOKUP(G586,MD!M$2:O$93,3,FALSE)</f>
        <v>#N/A</v>
      </c>
      <c r="K586" s="29"/>
      <c r="P586" s="22"/>
      <c r="X586" s="22"/>
    </row>
    <row r="587" spans="10:24">
      <c r="J587" s="20" t="e">
        <f>VLOOKUP(G587,MD!M$2:O$93,3,FALSE)</f>
        <v>#N/A</v>
      </c>
      <c r="K587" s="29"/>
      <c r="P587" s="22"/>
      <c r="X587" s="22"/>
    </row>
    <row r="588" spans="10:24">
      <c r="J588" s="20" t="e">
        <f>VLOOKUP(G588,MD!M$2:O$93,3,FALSE)</f>
        <v>#N/A</v>
      </c>
      <c r="K588" s="29"/>
      <c r="P588" s="22"/>
      <c r="X588" s="22"/>
    </row>
    <row r="589" spans="10:24">
      <c r="J589" s="20" t="e">
        <f>VLOOKUP(G589,MD!M$2:O$93,3,FALSE)</f>
        <v>#N/A</v>
      </c>
      <c r="K589" s="29"/>
      <c r="P589" s="22"/>
      <c r="X589" s="22"/>
    </row>
    <row r="590" spans="10:24">
      <c r="J590" s="20" t="e">
        <f>VLOOKUP(G590,MD!M$2:O$93,3,FALSE)</f>
        <v>#N/A</v>
      </c>
      <c r="K590" s="29"/>
      <c r="P590" s="22"/>
      <c r="X590" s="22"/>
    </row>
    <row r="591" spans="10:24">
      <c r="J591" s="20" t="e">
        <f>VLOOKUP(G591,MD!M$2:O$93,3,FALSE)</f>
        <v>#N/A</v>
      </c>
      <c r="K591" s="29"/>
      <c r="P591" s="22"/>
      <c r="X591" s="22"/>
    </row>
    <row r="592" spans="10:24">
      <c r="J592" s="20" t="e">
        <f>VLOOKUP(G592,MD!M$2:O$93,3,FALSE)</f>
        <v>#N/A</v>
      </c>
      <c r="K592" s="29"/>
      <c r="P592" s="22"/>
      <c r="X592" s="22"/>
    </row>
    <row r="593" spans="10:24">
      <c r="J593" s="20" t="e">
        <f>VLOOKUP(G593,MD!M$2:O$93,3,FALSE)</f>
        <v>#N/A</v>
      </c>
      <c r="K593" s="29"/>
      <c r="P593" s="22"/>
      <c r="X593" s="22"/>
    </row>
    <row r="594" spans="10:24">
      <c r="J594" s="20" t="e">
        <f>VLOOKUP(G594,MD!M$2:O$93,3,FALSE)</f>
        <v>#N/A</v>
      </c>
      <c r="K594" s="29"/>
      <c r="P594" s="22"/>
      <c r="X594" s="22"/>
    </row>
    <row r="595" spans="10:24">
      <c r="J595" s="20" t="e">
        <f>VLOOKUP(G595,MD!M$2:O$93,3,FALSE)</f>
        <v>#N/A</v>
      </c>
      <c r="K595" s="29"/>
      <c r="P595" s="22"/>
      <c r="X595" s="22"/>
    </row>
    <row r="596" spans="10:24">
      <c r="J596" s="20" t="e">
        <f>VLOOKUP(G596,MD!M$2:O$93,3,FALSE)</f>
        <v>#N/A</v>
      </c>
      <c r="K596" s="29"/>
      <c r="P596" s="22"/>
      <c r="X596" s="22"/>
    </row>
    <row r="597" spans="10:24">
      <c r="J597" s="20" t="e">
        <f>VLOOKUP(G597,MD!M$2:O$93,3,FALSE)</f>
        <v>#N/A</v>
      </c>
      <c r="K597" s="29"/>
      <c r="P597" s="22"/>
      <c r="X597" s="22"/>
    </row>
    <row r="598" spans="10:24">
      <c r="J598" s="20" t="e">
        <f>VLOOKUP(G598,MD!M$2:O$93,3,FALSE)</f>
        <v>#N/A</v>
      </c>
      <c r="K598" s="29"/>
      <c r="P598" s="22"/>
      <c r="X598" s="22"/>
    </row>
    <row r="599" spans="10:24">
      <c r="J599" s="20" t="e">
        <f>VLOOKUP(G599,MD!M$2:O$93,3,FALSE)</f>
        <v>#N/A</v>
      </c>
      <c r="K599" s="29"/>
      <c r="P599" s="22"/>
      <c r="X599" s="22"/>
    </row>
    <row r="600" spans="10:24">
      <c r="J600" s="20" t="e">
        <f>VLOOKUP(G600,MD!M$2:O$93,3,FALSE)</f>
        <v>#N/A</v>
      </c>
      <c r="K600" s="29"/>
      <c r="P600" s="22"/>
      <c r="X600" s="22"/>
    </row>
    <row r="601" spans="10:24">
      <c r="J601" s="20" t="e">
        <f>VLOOKUP(G601,MD!M$2:O$93,3,FALSE)</f>
        <v>#N/A</v>
      </c>
      <c r="K601" s="29"/>
      <c r="P601" s="22"/>
      <c r="X601" s="22"/>
    </row>
    <row r="602" spans="10:24">
      <c r="J602" s="20" t="e">
        <f>VLOOKUP(G602,MD!M$2:O$93,3,FALSE)</f>
        <v>#N/A</v>
      </c>
      <c r="K602" s="29"/>
      <c r="P602" s="22"/>
      <c r="X602" s="22"/>
    </row>
    <row r="603" spans="10:24">
      <c r="J603" s="20" t="e">
        <f>VLOOKUP(G603,MD!M$2:O$93,3,FALSE)</f>
        <v>#N/A</v>
      </c>
      <c r="K603" s="29"/>
      <c r="P603" s="22"/>
      <c r="X603" s="22"/>
    </row>
    <row r="604" spans="10:24">
      <c r="J604" s="20" t="e">
        <f>VLOOKUP(G604,MD!M$2:O$93,3,FALSE)</f>
        <v>#N/A</v>
      </c>
      <c r="K604" s="29"/>
      <c r="P604" s="22"/>
      <c r="X604" s="22"/>
    </row>
    <row r="605" spans="10:24">
      <c r="J605" s="20" t="e">
        <f>VLOOKUP(G605,MD!M$2:O$93,3,FALSE)</f>
        <v>#N/A</v>
      </c>
      <c r="K605" s="29"/>
      <c r="P605" s="22"/>
      <c r="X605" s="22"/>
    </row>
    <row r="606" spans="10:24">
      <c r="J606" s="20" t="e">
        <f>VLOOKUP(G606,MD!M$2:O$93,3,FALSE)</f>
        <v>#N/A</v>
      </c>
      <c r="K606" s="29"/>
      <c r="P606" s="22"/>
      <c r="X606" s="22"/>
    </row>
    <row r="607" spans="10:24">
      <c r="J607" s="20" t="e">
        <f>VLOOKUP(G607,MD!M$2:O$93,3,FALSE)</f>
        <v>#N/A</v>
      </c>
      <c r="K607" s="29"/>
      <c r="P607" s="22"/>
      <c r="X607" s="22"/>
    </row>
    <row r="608" spans="10:24">
      <c r="J608" s="20" t="e">
        <f>VLOOKUP(G608,MD!M$2:O$93,3,FALSE)</f>
        <v>#N/A</v>
      </c>
      <c r="K608" s="29"/>
      <c r="P608" s="22"/>
      <c r="X608" s="22"/>
    </row>
    <row r="609" spans="10:24">
      <c r="J609" s="20" t="e">
        <f>VLOOKUP(G609,MD!M$2:O$93,3,FALSE)</f>
        <v>#N/A</v>
      </c>
      <c r="K609" s="29"/>
      <c r="P609" s="22"/>
      <c r="X609" s="22"/>
    </row>
    <row r="610" spans="10:24">
      <c r="J610" s="20" t="e">
        <f>VLOOKUP(G610,MD!M$2:O$93,3,FALSE)</f>
        <v>#N/A</v>
      </c>
      <c r="K610" s="29"/>
      <c r="P610" s="22"/>
      <c r="X610" s="22"/>
    </row>
    <row r="611" spans="10:24">
      <c r="J611" s="20" t="e">
        <f>VLOOKUP(G611,MD!M$2:O$93,3,FALSE)</f>
        <v>#N/A</v>
      </c>
      <c r="K611" s="29"/>
      <c r="P611" s="22"/>
      <c r="X611" s="22"/>
    </row>
    <row r="612" spans="10:24">
      <c r="J612" s="20" t="e">
        <f>VLOOKUP(G612,MD!M$2:O$93,3,FALSE)</f>
        <v>#N/A</v>
      </c>
      <c r="K612" s="29"/>
      <c r="P612" s="22"/>
      <c r="X612" s="22"/>
    </row>
    <row r="613" spans="10:24">
      <c r="J613" s="20" t="e">
        <f>VLOOKUP(G613,MD!M$2:O$93,3,FALSE)</f>
        <v>#N/A</v>
      </c>
      <c r="K613" s="29"/>
      <c r="P613" s="22"/>
      <c r="X613" s="22"/>
    </row>
    <row r="614" spans="10:24">
      <c r="J614" s="20" t="e">
        <f>VLOOKUP(G614,MD!M$2:O$93,3,FALSE)</f>
        <v>#N/A</v>
      </c>
      <c r="K614" s="29"/>
      <c r="P614" s="22"/>
      <c r="X614" s="22"/>
    </row>
    <row r="615" spans="10:24">
      <c r="J615" s="20" t="e">
        <f>VLOOKUP(G615,MD!M$2:O$93,3,FALSE)</f>
        <v>#N/A</v>
      </c>
      <c r="K615" s="29"/>
      <c r="P615" s="22"/>
      <c r="X615" s="22"/>
    </row>
    <row r="616" spans="10:24">
      <c r="J616" s="20" t="e">
        <f>VLOOKUP(G616,MD!M$2:O$93,3,FALSE)</f>
        <v>#N/A</v>
      </c>
      <c r="K616" s="29"/>
      <c r="P616" s="22"/>
      <c r="X616" s="22"/>
    </row>
    <row r="617" spans="10:24">
      <c r="J617" s="20" t="e">
        <f>VLOOKUP(G617,MD!M$2:O$93,3,FALSE)</f>
        <v>#N/A</v>
      </c>
      <c r="K617" s="29"/>
      <c r="P617" s="22"/>
      <c r="X617" s="22"/>
    </row>
    <row r="618" spans="10:24">
      <c r="J618" s="20" t="e">
        <f>VLOOKUP(G618,MD!M$2:O$93,3,FALSE)</f>
        <v>#N/A</v>
      </c>
      <c r="K618" s="29"/>
      <c r="P618" s="22"/>
      <c r="X618" s="22"/>
    </row>
    <row r="619" spans="10:24">
      <c r="J619" s="20" t="e">
        <f>VLOOKUP(G619,MD!M$2:O$93,3,FALSE)</f>
        <v>#N/A</v>
      </c>
      <c r="K619" s="29"/>
      <c r="P619" s="22"/>
      <c r="X619" s="22"/>
    </row>
    <row r="620" spans="10:24">
      <c r="J620" s="20" t="e">
        <f>VLOOKUP(G620,MD!M$2:O$93,3,FALSE)</f>
        <v>#N/A</v>
      </c>
      <c r="K620" s="29"/>
      <c r="P620" s="22"/>
      <c r="X620" s="22"/>
    </row>
    <row r="621" spans="10:24">
      <c r="J621" s="20" t="e">
        <f>VLOOKUP(G621,MD!M$2:O$93,3,FALSE)</f>
        <v>#N/A</v>
      </c>
      <c r="K621" s="29"/>
      <c r="P621" s="22"/>
      <c r="X621" s="22"/>
    </row>
    <row r="622" spans="10:24">
      <c r="J622" s="20" t="e">
        <f>VLOOKUP(G622,MD!M$2:O$93,3,FALSE)</f>
        <v>#N/A</v>
      </c>
      <c r="K622" s="29"/>
      <c r="P622" s="22"/>
      <c r="X622" s="22"/>
    </row>
    <row r="623" spans="10:24">
      <c r="J623" s="20" t="e">
        <f>VLOOKUP(G623,MD!M$2:O$93,3,FALSE)</f>
        <v>#N/A</v>
      </c>
      <c r="K623" s="29"/>
      <c r="P623" s="22"/>
      <c r="X623" s="22"/>
    </row>
    <row r="624" spans="10:24">
      <c r="J624" s="20" t="e">
        <f>VLOOKUP(G624,MD!M$2:O$93,3,FALSE)</f>
        <v>#N/A</v>
      </c>
      <c r="K624" s="29"/>
      <c r="P624" s="22"/>
      <c r="X624" s="22"/>
    </row>
    <row r="625" spans="10:24">
      <c r="J625" s="20" t="e">
        <f>VLOOKUP(G625,MD!M$2:O$93,3,FALSE)</f>
        <v>#N/A</v>
      </c>
      <c r="K625" s="29"/>
      <c r="P625" s="22"/>
      <c r="X625" s="22"/>
    </row>
    <row r="626" spans="10:24">
      <c r="J626" s="20" t="e">
        <f>VLOOKUP(G626,MD!M$2:O$93,3,FALSE)</f>
        <v>#N/A</v>
      </c>
      <c r="K626" s="29"/>
      <c r="P626" s="22"/>
      <c r="X626" s="22"/>
    </row>
    <row r="627" spans="10:24">
      <c r="J627" s="20" t="e">
        <f>VLOOKUP(G627,MD!M$2:O$93,3,FALSE)</f>
        <v>#N/A</v>
      </c>
      <c r="K627" s="29"/>
      <c r="P627" s="22"/>
      <c r="X627" s="22"/>
    </row>
    <row r="628" spans="10:24">
      <c r="J628" s="20" t="e">
        <f>VLOOKUP(G628,MD!M$2:O$93,3,FALSE)</f>
        <v>#N/A</v>
      </c>
      <c r="K628" s="29"/>
      <c r="P628" s="22"/>
      <c r="X628" s="22"/>
    </row>
    <row r="629" spans="10:24">
      <c r="J629" s="20" t="e">
        <f>VLOOKUP(G629,MD!M$2:O$93,3,FALSE)</f>
        <v>#N/A</v>
      </c>
      <c r="K629" s="29"/>
      <c r="P629" s="22"/>
      <c r="X629" s="22"/>
    </row>
    <row r="630" spans="10:24">
      <c r="J630" s="20" t="e">
        <f>VLOOKUP(G630,MD!M$2:O$93,3,FALSE)</f>
        <v>#N/A</v>
      </c>
      <c r="K630" s="29"/>
      <c r="P630" s="22"/>
      <c r="X630" s="22"/>
    </row>
    <row r="631" spans="10:24">
      <c r="J631" s="20" t="e">
        <f>VLOOKUP(G631,MD!M$2:O$93,3,FALSE)</f>
        <v>#N/A</v>
      </c>
      <c r="K631" s="29"/>
      <c r="P631" s="22"/>
      <c r="X631" s="22"/>
    </row>
    <row r="632" spans="10:24">
      <c r="J632" s="20" t="e">
        <f>VLOOKUP(G632,MD!M$2:O$93,3,FALSE)</f>
        <v>#N/A</v>
      </c>
      <c r="K632" s="29"/>
      <c r="P632" s="22"/>
      <c r="X632" s="22"/>
    </row>
    <row r="633" spans="10:24">
      <c r="J633" s="20" t="e">
        <f>VLOOKUP(G633,MD!M$2:O$93,3,FALSE)</f>
        <v>#N/A</v>
      </c>
      <c r="K633" s="29"/>
      <c r="P633" s="22"/>
      <c r="X633" s="22"/>
    </row>
    <row r="634" spans="10:24">
      <c r="J634" s="20" t="e">
        <f>VLOOKUP(G634,MD!M$2:O$93,3,FALSE)</f>
        <v>#N/A</v>
      </c>
      <c r="K634" s="29"/>
      <c r="P634" s="22"/>
      <c r="X634" s="22"/>
    </row>
    <row r="635" spans="10:24">
      <c r="J635" s="20" t="e">
        <f>VLOOKUP(G635,MD!M$2:O$93,3,FALSE)</f>
        <v>#N/A</v>
      </c>
      <c r="K635" s="29"/>
      <c r="P635" s="22"/>
      <c r="X635" s="22"/>
    </row>
    <row r="636" spans="10:24">
      <c r="J636" s="20" t="e">
        <f>VLOOKUP(G636,MD!M$2:O$93,3,FALSE)</f>
        <v>#N/A</v>
      </c>
      <c r="K636" s="29"/>
      <c r="P636" s="22"/>
      <c r="X636" s="22"/>
    </row>
    <row r="637" spans="10:24">
      <c r="J637" s="20" t="e">
        <f>VLOOKUP(G637,MD!M$2:O$93,3,FALSE)</f>
        <v>#N/A</v>
      </c>
      <c r="K637" s="29"/>
      <c r="P637" s="22"/>
      <c r="X637" s="22"/>
    </row>
    <row r="638" spans="10:24">
      <c r="J638" s="20" t="e">
        <f>VLOOKUP(G638,MD!M$2:O$93,3,FALSE)</f>
        <v>#N/A</v>
      </c>
      <c r="K638" s="29"/>
      <c r="P638" s="22"/>
      <c r="X638" s="22"/>
    </row>
    <row r="639" spans="10:24">
      <c r="J639" s="20" t="e">
        <f>VLOOKUP(G639,MD!M$2:O$93,3,FALSE)</f>
        <v>#N/A</v>
      </c>
      <c r="K639" s="29"/>
      <c r="P639" s="22"/>
      <c r="X639" s="22"/>
    </row>
    <row r="640" spans="10:24">
      <c r="J640" s="20" t="e">
        <f>VLOOKUP(G640,MD!M$2:O$93,3,FALSE)</f>
        <v>#N/A</v>
      </c>
      <c r="K640" s="29"/>
      <c r="P640" s="22"/>
      <c r="X640" s="22"/>
    </row>
    <row r="641" spans="10:24">
      <c r="J641" s="20" t="e">
        <f>VLOOKUP(G641,MD!M$2:O$93,3,FALSE)</f>
        <v>#N/A</v>
      </c>
      <c r="K641" s="29"/>
      <c r="P641" s="22"/>
      <c r="X641" s="22"/>
    </row>
    <row r="642" spans="10:24">
      <c r="J642" s="20" t="e">
        <f>VLOOKUP(G642,MD!M$2:O$93,3,FALSE)</f>
        <v>#N/A</v>
      </c>
      <c r="K642" s="29"/>
      <c r="P642" s="22"/>
      <c r="X642" s="22"/>
    </row>
    <row r="643" spans="10:24">
      <c r="J643" s="20" t="e">
        <f>VLOOKUP(G643,MD!M$2:O$93,3,FALSE)</f>
        <v>#N/A</v>
      </c>
      <c r="K643" s="29"/>
      <c r="P643" s="22"/>
      <c r="X643" s="22"/>
    </row>
    <row r="644" spans="10:24">
      <c r="J644" s="20" t="e">
        <f>VLOOKUP(G644,MD!M$2:O$93,3,FALSE)</f>
        <v>#N/A</v>
      </c>
      <c r="K644" s="29"/>
      <c r="P644" s="22"/>
      <c r="X644" s="22"/>
    </row>
    <row r="645" spans="10:24">
      <c r="J645" s="20" t="e">
        <f>VLOOKUP(G645,MD!M$2:O$93,3,FALSE)</f>
        <v>#N/A</v>
      </c>
      <c r="K645" s="29"/>
      <c r="P645" s="22"/>
      <c r="X645" s="22"/>
    </row>
    <row r="646" spans="10:24">
      <c r="J646" s="20" t="e">
        <f>VLOOKUP(G646,MD!M$2:O$93,3,FALSE)</f>
        <v>#N/A</v>
      </c>
      <c r="K646" s="29"/>
      <c r="P646" s="22"/>
      <c r="X646" s="22"/>
    </row>
    <row r="647" spans="10:24">
      <c r="J647" s="20" t="e">
        <f>VLOOKUP(G647,MD!M$2:O$93,3,FALSE)</f>
        <v>#N/A</v>
      </c>
      <c r="K647" s="29"/>
      <c r="P647" s="22"/>
      <c r="X647" s="22"/>
    </row>
    <row r="648" spans="10:24">
      <c r="J648" s="20" t="e">
        <f>VLOOKUP(G648,MD!M$2:O$93,3,FALSE)</f>
        <v>#N/A</v>
      </c>
      <c r="K648" s="29"/>
      <c r="P648" s="22"/>
      <c r="X648" s="22"/>
    </row>
    <row r="649" spans="10:24">
      <c r="J649" s="20" t="e">
        <f>VLOOKUP(G649,MD!M$2:O$93,3,FALSE)</f>
        <v>#N/A</v>
      </c>
      <c r="K649" s="29"/>
      <c r="P649" s="22"/>
      <c r="X649" s="22"/>
    </row>
    <row r="650" spans="10:24">
      <c r="J650" s="20" t="e">
        <f>VLOOKUP(G650,MD!M$2:O$93,3,FALSE)</f>
        <v>#N/A</v>
      </c>
      <c r="K650" s="29"/>
      <c r="P650" s="22"/>
      <c r="X650" s="22"/>
    </row>
    <row r="651" spans="10:24">
      <c r="J651" s="20" t="e">
        <f>VLOOKUP(G651,MD!M$2:O$93,3,FALSE)</f>
        <v>#N/A</v>
      </c>
      <c r="K651" s="29"/>
      <c r="P651" s="22"/>
      <c r="X651" s="22"/>
    </row>
    <row r="652" spans="10:24">
      <c r="J652" s="20" t="e">
        <f>VLOOKUP(G652,MD!M$2:O$93,3,FALSE)</f>
        <v>#N/A</v>
      </c>
      <c r="K652" s="29"/>
      <c r="P652" s="22"/>
      <c r="X652" s="22"/>
    </row>
    <row r="653" spans="10:24">
      <c r="J653" s="20" t="e">
        <f>VLOOKUP(G653,MD!M$2:O$93,3,FALSE)</f>
        <v>#N/A</v>
      </c>
      <c r="K653" s="29"/>
      <c r="P653" s="22"/>
      <c r="X653" s="22"/>
    </row>
    <row r="654" spans="10:24">
      <c r="J654" s="20" t="e">
        <f>VLOOKUP(G654,MD!M$2:O$93,3,FALSE)</f>
        <v>#N/A</v>
      </c>
      <c r="K654" s="29"/>
      <c r="P654" s="22"/>
      <c r="X654" s="22"/>
    </row>
    <row r="655" spans="10:24">
      <c r="J655" s="20" t="e">
        <f>VLOOKUP(G655,MD!M$2:O$93,3,FALSE)</f>
        <v>#N/A</v>
      </c>
      <c r="K655" s="29"/>
      <c r="P655" s="22"/>
      <c r="X655" s="22"/>
    </row>
    <row r="656" spans="10:24">
      <c r="J656" s="20" t="e">
        <f>VLOOKUP(G656,MD!M$2:O$93,3,FALSE)</f>
        <v>#N/A</v>
      </c>
      <c r="K656" s="29"/>
      <c r="P656" s="22"/>
      <c r="X656" s="22"/>
    </row>
    <row r="657" spans="10:24">
      <c r="J657" s="20" t="e">
        <f>VLOOKUP(G657,MD!M$2:O$93,3,FALSE)</f>
        <v>#N/A</v>
      </c>
      <c r="K657" s="29"/>
      <c r="P657" s="22"/>
      <c r="X657" s="22"/>
    </row>
    <row r="658" spans="10:24">
      <c r="J658" s="20" t="e">
        <f>VLOOKUP(G658,MD!M$2:O$93,3,FALSE)</f>
        <v>#N/A</v>
      </c>
      <c r="K658" s="29"/>
      <c r="P658" s="22"/>
      <c r="X658" s="22"/>
    </row>
    <row r="659" spans="10:24">
      <c r="J659" s="20" t="e">
        <f>VLOOKUP(G659,MD!M$2:O$93,3,FALSE)</f>
        <v>#N/A</v>
      </c>
      <c r="K659" s="29"/>
      <c r="P659" s="22"/>
      <c r="X659" s="22"/>
    </row>
    <row r="660" spans="10:24">
      <c r="J660" s="20" t="e">
        <f>VLOOKUP(G660,MD!M$2:O$93,3,FALSE)</f>
        <v>#N/A</v>
      </c>
      <c r="K660" s="29"/>
      <c r="P660" s="22"/>
      <c r="X660" s="22"/>
    </row>
    <row r="661" spans="10:24">
      <c r="J661" s="20" t="e">
        <f>VLOOKUP(G661,MD!M$2:O$93,3,FALSE)</f>
        <v>#N/A</v>
      </c>
      <c r="K661" s="29"/>
      <c r="P661" s="22"/>
      <c r="X661" s="22"/>
    </row>
    <row r="662" spans="10:24">
      <c r="J662" s="20" t="e">
        <f>VLOOKUP(G662,MD!M$2:O$93,3,FALSE)</f>
        <v>#N/A</v>
      </c>
      <c r="K662" s="29"/>
      <c r="P662" s="22"/>
      <c r="X662" s="22"/>
    </row>
    <row r="663" spans="10:24">
      <c r="J663" s="20" t="e">
        <f>VLOOKUP(G663,MD!M$2:O$93,3,FALSE)</f>
        <v>#N/A</v>
      </c>
      <c r="K663" s="29"/>
      <c r="P663" s="22"/>
      <c r="X663" s="22"/>
    </row>
    <row r="664" spans="10:24">
      <c r="J664" s="20" t="e">
        <f>VLOOKUP(G664,MD!M$2:O$93,3,FALSE)</f>
        <v>#N/A</v>
      </c>
      <c r="K664" s="29"/>
      <c r="P664" s="22"/>
      <c r="X664" s="22"/>
    </row>
    <row r="665" spans="10:24">
      <c r="J665" s="20" t="e">
        <f>VLOOKUP(G665,MD!M$2:O$93,3,FALSE)</f>
        <v>#N/A</v>
      </c>
      <c r="K665" s="29"/>
      <c r="P665" s="22"/>
      <c r="X665" s="22"/>
    </row>
    <row r="666" spans="10:24">
      <c r="J666" s="20" t="e">
        <f>VLOOKUP(G666,MD!M$2:O$93,3,FALSE)</f>
        <v>#N/A</v>
      </c>
      <c r="K666" s="29"/>
      <c r="P666" s="22"/>
      <c r="X666" s="22"/>
    </row>
    <row r="667" spans="10:24">
      <c r="J667" s="20" t="e">
        <f>VLOOKUP(G667,MD!M$2:O$93,3,FALSE)</f>
        <v>#N/A</v>
      </c>
      <c r="K667" s="29"/>
      <c r="P667" s="22"/>
      <c r="X667" s="22"/>
    </row>
    <row r="668" spans="10:24">
      <c r="J668" s="20" t="e">
        <f>VLOOKUP(G668,MD!M$2:O$93,3,FALSE)</f>
        <v>#N/A</v>
      </c>
      <c r="K668" s="29"/>
      <c r="P668" s="22"/>
      <c r="X668" s="22"/>
    </row>
    <row r="669" spans="10:24">
      <c r="J669" s="20" t="e">
        <f>VLOOKUP(G669,MD!M$2:O$93,3,FALSE)</f>
        <v>#N/A</v>
      </c>
      <c r="K669" s="29"/>
      <c r="P669" s="22"/>
      <c r="X669" s="22"/>
    </row>
    <row r="670" spans="10:24">
      <c r="J670" s="20" t="e">
        <f>VLOOKUP(G670,MD!M$2:O$93,3,FALSE)</f>
        <v>#N/A</v>
      </c>
      <c r="K670" s="29"/>
      <c r="P670" s="22"/>
      <c r="X670" s="22"/>
    </row>
    <row r="671" spans="10:24">
      <c r="J671" s="20" t="e">
        <f>VLOOKUP(G671,MD!M$2:O$93,3,FALSE)</f>
        <v>#N/A</v>
      </c>
      <c r="K671" s="29"/>
      <c r="P671" s="22"/>
      <c r="X671" s="22"/>
    </row>
    <row r="672" spans="10:24">
      <c r="J672" s="20" t="e">
        <f>VLOOKUP(G672,MD!M$2:O$93,3,FALSE)</f>
        <v>#N/A</v>
      </c>
      <c r="K672" s="29"/>
      <c r="P672" s="22"/>
      <c r="X672" s="22"/>
    </row>
    <row r="673" spans="10:24">
      <c r="J673" s="20" t="e">
        <f>VLOOKUP(G673,MD!M$2:O$93,3,FALSE)</f>
        <v>#N/A</v>
      </c>
      <c r="K673" s="29"/>
      <c r="P673" s="22"/>
      <c r="X673" s="22"/>
    </row>
    <row r="674" spans="10:24">
      <c r="J674" s="20" t="e">
        <f>VLOOKUP(G674,MD!M$2:O$93,3,FALSE)</f>
        <v>#N/A</v>
      </c>
      <c r="K674" s="29"/>
      <c r="P674" s="22"/>
      <c r="X674" s="22"/>
    </row>
    <row r="675" spans="10:24">
      <c r="J675" s="20" t="e">
        <f>VLOOKUP(G675,MD!M$2:O$93,3,FALSE)</f>
        <v>#N/A</v>
      </c>
      <c r="K675" s="29"/>
      <c r="P675" s="22"/>
      <c r="X675" s="22"/>
    </row>
    <row r="676" spans="10:24">
      <c r="J676" s="20" t="e">
        <f>VLOOKUP(G676,MD!M$2:O$93,3,FALSE)</f>
        <v>#N/A</v>
      </c>
      <c r="K676" s="29"/>
      <c r="P676" s="22"/>
      <c r="X676" s="22"/>
    </row>
    <row r="677" spans="10:24">
      <c r="J677" s="20" t="e">
        <f>VLOOKUP(G677,MD!M$2:O$93,3,FALSE)</f>
        <v>#N/A</v>
      </c>
      <c r="K677" s="29"/>
      <c r="P677" s="22"/>
      <c r="X677" s="22"/>
    </row>
    <row r="678" spans="10:24">
      <c r="J678" s="20" t="e">
        <f>VLOOKUP(G678,MD!M$2:O$93,3,FALSE)</f>
        <v>#N/A</v>
      </c>
      <c r="K678" s="29"/>
      <c r="P678" s="22"/>
      <c r="X678" s="22"/>
    </row>
    <row r="679" spans="10:24">
      <c r="J679" s="20" t="e">
        <f>VLOOKUP(G679,MD!M$2:O$93,3,FALSE)</f>
        <v>#N/A</v>
      </c>
      <c r="K679" s="29"/>
      <c r="P679" s="22"/>
      <c r="X679" s="22"/>
    </row>
    <row r="680" spans="10:24">
      <c r="J680" s="20" t="e">
        <f>VLOOKUP(G680,MD!M$2:O$93,3,FALSE)</f>
        <v>#N/A</v>
      </c>
      <c r="K680" s="29"/>
      <c r="P680" s="22"/>
      <c r="X680" s="22"/>
    </row>
    <row r="681" spans="10:24">
      <c r="J681" s="20" t="e">
        <f>VLOOKUP(G681,MD!M$2:O$93,3,FALSE)</f>
        <v>#N/A</v>
      </c>
      <c r="K681" s="29"/>
      <c r="P681" s="22"/>
      <c r="X681" s="22"/>
    </row>
    <row r="682" spans="10:24">
      <c r="J682" s="20" t="e">
        <f>VLOOKUP(G682,MD!M$2:O$93,3,FALSE)</f>
        <v>#N/A</v>
      </c>
      <c r="K682" s="29"/>
      <c r="P682" s="22"/>
      <c r="X682" s="22"/>
    </row>
    <row r="683" spans="10:24">
      <c r="J683" s="20" t="e">
        <f>VLOOKUP(G683,MD!M$2:O$93,3,FALSE)</f>
        <v>#N/A</v>
      </c>
      <c r="K683" s="29"/>
      <c r="P683" s="22"/>
      <c r="X683" s="22"/>
    </row>
    <row r="684" spans="10:24">
      <c r="J684" s="20" t="e">
        <f>VLOOKUP(G684,MD!M$2:O$93,3,FALSE)</f>
        <v>#N/A</v>
      </c>
      <c r="K684" s="29"/>
      <c r="P684" s="22"/>
      <c r="X684" s="22"/>
    </row>
    <row r="685" spans="10:24">
      <c r="J685" s="20" t="e">
        <f>VLOOKUP(G685,MD!M$2:O$93,3,FALSE)</f>
        <v>#N/A</v>
      </c>
      <c r="K685" s="29"/>
      <c r="P685" s="22"/>
      <c r="X685" s="22"/>
    </row>
    <row r="686" spans="10:24">
      <c r="J686" s="20" t="e">
        <f>VLOOKUP(G686,MD!M$2:O$93,3,FALSE)</f>
        <v>#N/A</v>
      </c>
      <c r="K686" s="29"/>
      <c r="P686" s="22"/>
      <c r="X686" s="22"/>
    </row>
    <row r="687" spans="10:24">
      <c r="J687" s="20" t="e">
        <f>VLOOKUP(G687,MD!M$2:O$93,3,FALSE)</f>
        <v>#N/A</v>
      </c>
      <c r="K687" s="29"/>
      <c r="P687" s="22"/>
      <c r="X687" s="22"/>
    </row>
    <row r="688" spans="10:24">
      <c r="J688" s="20" t="e">
        <f>VLOOKUP(G688,MD!M$2:O$93,3,FALSE)</f>
        <v>#N/A</v>
      </c>
      <c r="K688" s="29"/>
      <c r="P688" s="22"/>
      <c r="X688" s="22"/>
    </row>
    <row r="689" spans="10:24">
      <c r="J689" s="20" t="e">
        <f>VLOOKUP(G689,MD!M$2:O$93,3,FALSE)</f>
        <v>#N/A</v>
      </c>
      <c r="K689" s="29"/>
      <c r="P689" s="22"/>
      <c r="X689" s="22"/>
    </row>
    <row r="690" spans="10:24">
      <c r="J690" s="20" t="e">
        <f>VLOOKUP(G690,MD!M$2:O$93,3,FALSE)</f>
        <v>#N/A</v>
      </c>
      <c r="K690" s="29"/>
      <c r="P690" s="22"/>
      <c r="X690" s="22"/>
    </row>
    <row r="691" spans="10:24">
      <c r="J691" s="20" t="e">
        <f>VLOOKUP(G691,MD!M$2:O$93,3,FALSE)</f>
        <v>#N/A</v>
      </c>
      <c r="K691" s="29"/>
      <c r="P691" s="22"/>
      <c r="X691" s="22"/>
    </row>
    <row r="692" spans="10:24">
      <c r="J692" s="20" t="e">
        <f>VLOOKUP(G692,MD!M$2:O$93,3,FALSE)</f>
        <v>#N/A</v>
      </c>
      <c r="K692" s="29"/>
      <c r="P692" s="22"/>
      <c r="X692" s="22"/>
    </row>
    <row r="693" spans="10:24">
      <c r="J693" s="20" t="e">
        <f>VLOOKUP(G693,MD!M$2:O$93,3,FALSE)</f>
        <v>#N/A</v>
      </c>
      <c r="K693" s="29"/>
      <c r="P693" s="22"/>
      <c r="X693" s="22"/>
    </row>
    <row r="694" spans="10:24">
      <c r="J694" s="20" t="e">
        <f>VLOOKUP(G694,MD!M$2:O$93,3,FALSE)</f>
        <v>#N/A</v>
      </c>
      <c r="K694" s="29"/>
      <c r="P694" s="22"/>
      <c r="X694" s="22"/>
    </row>
    <row r="695" spans="10:24">
      <c r="J695" s="20" t="e">
        <f>VLOOKUP(G695,MD!M$2:O$93,3,FALSE)</f>
        <v>#N/A</v>
      </c>
      <c r="K695" s="29"/>
      <c r="P695" s="22"/>
      <c r="X695" s="22"/>
    </row>
    <row r="696" spans="10:24">
      <c r="J696" s="20" t="e">
        <f>VLOOKUP(G696,MD!M$2:O$93,3,FALSE)</f>
        <v>#N/A</v>
      </c>
      <c r="K696" s="29"/>
      <c r="P696" s="22"/>
      <c r="X696" s="22"/>
    </row>
    <row r="697" spans="10:24">
      <c r="J697" s="20" t="e">
        <f>VLOOKUP(G697,MD!M$2:O$93,3,FALSE)</f>
        <v>#N/A</v>
      </c>
      <c r="K697" s="29"/>
      <c r="P697" s="22"/>
      <c r="X697" s="22"/>
    </row>
    <row r="698" spans="10:24">
      <c r="J698" s="20" t="e">
        <f>VLOOKUP(G698,MD!M$2:O$93,3,FALSE)</f>
        <v>#N/A</v>
      </c>
      <c r="K698" s="29"/>
      <c r="P698" s="22"/>
      <c r="X698" s="22"/>
    </row>
    <row r="699" spans="10:24">
      <c r="J699" s="20" t="e">
        <f>VLOOKUP(G699,MD!M$2:O$93,3,FALSE)</f>
        <v>#N/A</v>
      </c>
      <c r="K699" s="29"/>
      <c r="P699" s="22"/>
      <c r="X699" s="22"/>
    </row>
    <row r="700" spans="10:24">
      <c r="J700" s="20" t="e">
        <f>VLOOKUP(G700,MD!M$2:O$93,3,FALSE)</f>
        <v>#N/A</v>
      </c>
      <c r="K700" s="29"/>
      <c r="P700" s="22"/>
      <c r="X700" s="22"/>
    </row>
    <row r="701" spans="10:24">
      <c r="J701" s="20" t="e">
        <f>VLOOKUP(G701,MD!M$2:O$93,3,FALSE)</f>
        <v>#N/A</v>
      </c>
      <c r="K701" s="29"/>
      <c r="P701" s="22"/>
      <c r="X701" s="22"/>
    </row>
    <row r="702" spans="10:24">
      <c r="J702" s="20" t="e">
        <f>VLOOKUP(G702,MD!M$2:O$93,3,FALSE)</f>
        <v>#N/A</v>
      </c>
      <c r="K702" s="29"/>
      <c r="P702" s="22"/>
      <c r="X702" s="22"/>
    </row>
    <row r="703" spans="10:24">
      <c r="J703" s="20" t="e">
        <f>VLOOKUP(G703,MD!M$2:O$93,3,FALSE)</f>
        <v>#N/A</v>
      </c>
      <c r="K703" s="29"/>
      <c r="P703" s="22"/>
      <c r="X703" s="22"/>
    </row>
    <row r="704" spans="10:24">
      <c r="J704" s="20" t="e">
        <f>VLOOKUP(G704,MD!M$2:O$93,3,FALSE)</f>
        <v>#N/A</v>
      </c>
      <c r="K704" s="29"/>
      <c r="P704" s="22"/>
      <c r="X704" s="22"/>
    </row>
    <row r="705" spans="10:24">
      <c r="J705" s="20" t="e">
        <f>VLOOKUP(G705,MD!M$2:O$93,3,FALSE)</f>
        <v>#N/A</v>
      </c>
      <c r="K705" s="29"/>
      <c r="P705" s="22"/>
      <c r="X705" s="22"/>
    </row>
    <row r="706" spans="10:24">
      <c r="J706" s="20" t="e">
        <f>VLOOKUP(G706,MD!M$2:O$93,3,FALSE)</f>
        <v>#N/A</v>
      </c>
      <c r="K706" s="29"/>
      <c r="P706" s="22"/>
      <c r="X706" s="22"/>
    </row>
    <row r="707" spans="10:24">
      <c r="J707" s="20" t="e">
        <f>VLOOKUP(G707,MD!M$2:O$93,3,FALSE)</f>
        <v>#N/A</v>
      </c>
      <c r="K707" s="29"/>
      <c r="P707" s="22"/>
      <c r="X707" s="22"/>
    </row>
    <row r="708" spans="10:24">
      <c r="J708" s="20" t="e">
        <f>VLOOKUP(G708,MD!M$2:O$93,3,FALSE)</f>
        <v>#N/A</v>
      </c>
      <c r="K708" s="29"/>
      <c r="P708" s="22"/>
      <c r="X708" s="22"/>
    </row>
    <row r="709" spans="10:24">
      <c r="J709" s="20" t="e">
        <f>VLOOKUP(G709,MD!M$2:O$93,3,FALSE)</f>
        <v>#N/A</v>
      </c>
      <c r="K709" s="29"/>
      <c r="P709" s="22"/>
      <c r="X709" s="22"/>
    </row>
    <row r="710" spans="10:24">
      <c r="J710" s="20" t="e">
        <f>VLOOKUP(G710,MD!M$2:O$93,3,FALSE)</f>
        <v>#N/A</v>
      </c>
      <c r="K710" s="29"/>
      <c r="P710" s="22"/>
      <c r="X710" s="22"/>
    </row>
    <row r="711" spans="10:24">
      <c r="J711" s="20" t="e">
        <f>VLOOKUP(G711,MD!M$2:O$93,3,FALSE)</f>
        <v>#N/A</v>
      </c>
      <c r="K711" s="29"/>
      <c r="P711" s="22"/>
      <c r="X711" s="22"/>
    </row>
    <row r="712" spans="10:24">
      <c r="J712" s="20" t="e">
        <f>VLOOKUP(G712,MD!M$2:O$93,3,FALSE)</f>
        <v>#N/A</v>
      </c>
      <c r="K712" s="29"/>
      <c r="P712" s="22"/>
      <c r="X712" s="22"/>
    </row>
    <row r="713" spans="10:24">
      <c r="J713" s="20" t="e">
        <f>VLOOKUP(G713,MD!M$2:O$93,3,FALSE)</f>
        <v>#N/A</v>
      </c>
      <c r="K713" s="29"/>
      <c r="P713" s="22"/>
      <c r="X713" s="22"/>
    </row>
    <row r="714" spans="10:24">
      <c r="J714" s="20" t="e">
        <f>VLOOKUP(G714,MD!M$2:O$93,3,FALSE)</f>
        <v>#N/A</v>
      </c>
      <c r="K714" s="29"/>
      <c r="P714" s="22"/>
      <c r="X714" s="22"/>
    </row>
    <row r="715" spans="10:24">
      <c r="J715" s="20" t="e">
        <f>VLOOKUP(G715,MD!M$2:O$93,3,FALSE)</f>
        <v>#N/A</v>
      </c>
      <c r="K715" s="29"/>
      <c r="P715" s="22"/>
      <c r="X715" s="22"/>
    </row>
    <row r="716" spans="10:24">
      <c r="J716" s="20" t="e">
        <f>VLOOKUP(G716,MD!M$2:O$93,3,FALSE)</f>
        <v>#N/A</v>
      </c>
      <c r="K716" s="29"/>
      <c r="P716" s="22"/>
      <c r="X716" s="22"/>
    </row>
    <row r="717" spans="10:24">
      <c r="J717" s="20" t="e">
        <f>VLOOKUP(G717,MD!M$2:O$93,3,FALSE)</f>
        <v>#N/A</v>
      </c>
      <c r="K717" s="29"/>
      <c r="P717" s="22"/>
      <c r="X717" s="22"/>
    </row>
    <row r="718" spans="10:24">
      <c r="J718" s="20" t="e">
        <f>VLOOKUP(G718,MD!M$2:O$93,3,FALSE)</f>
        <v>#N/A</v>
      </c>
      <c r="K718" s="29"/>
      <c r="P718" s="22"/>
      <c r="X718" s="22"/>
    </row>
    <row r="719" spans="10:24">
      <c r="J719" s="20" t="e">
        <f>VLOOKUP(G719,MD!M$2:O$93,3,FALSE)</f>
        <v>#N/A</v>
      </c>
      <c r="K719" s="29"/>
      <c r="P719" s="22"/>
      <c r="X719" s="22"/>
    </row>
    <row r="720" spans="10:24">
      <c r="J720" s="20" t="e">
        <f>VLOOKUP(G720,MD!M$2:O$93,3,FALSE)</f>
        <v>#N/A</v>
      </c>
      <c r="K720" s="29"/>
      <c r="P720" s="22"/>
      <c r="X720" s="22"/>
    </row>
    <row r="721" spans="10:24">
      <c r="J721" s="20" t="e">
        <f>VLOOKUP(G721,MD!M$2:O$93,3,FALSE)</f>
        <v>#N/A</v>
      </c>
      <c r="K721" s="29"/>
      <c r="P721" s="22"/>
      <c r="X721" s="22"/>
    </row>
    <row r="722" spans="10:24">
      <c r="J722" s="20" t="e">
        <f>VLOOKUP(G722,MD!M$2:O$93,3,FALSE)</f>
        <v>#N/A</v>
      </c>
      <c r="K722" s="29"/>
      <c r="P722" s="22"/>
      <c r="X722" s="22"/>
    </row>
    <row r="723" spans="10:24">
      <c r="J723" s="20" t="e">
        <f>VLOOKUP(G723,MD!M$2:O$93,3,FALSE)</f>
        <v>#N/A</v>
      </c>
      <c r="K723" s="29"/>
      <c r="P723" s="22"/>
      <c r="X723" s="22"/>
    </row>
    <row r="724" spans="10:24">
      <c r="J724" s="20" t="e">
        <f>VLOOKUP(G724,MD!M$2:O$93,3,FALSE)</f>
        <v>#N/A</v>
      </c>
      <c r="K724" s="29"/>
      <c r="P724" s="22"/>
      <c r="X724" s="22"/>
    </row>
    <row r="725" spans="10:24">
      <c r="J725" s="20" t="e">
        <f>VLOOKUP(G725,MD!M$2:O$93,3,FALSE)</f>
        <v>#N/A</v>
      </c>
      <c r="K725" s="29"/>
      <c r="P725" s="22"/>
      <c r="X725" s="22"/>
    </row>
    <row r="726" spans="10:24">
      <c r="J726" s="20" t="e">
        <f>VLOOKUP(G726,MD!M$2:O$93,3,FALSE)</f>
        <v>#N/A</v>
      </c>
      <c r="K726" s="29"/>
      <c r="P726" s="22"/>
      <c r="X726" s="22"/>
    </row>
    <row r="727" spans="10:24">
      <c r="J727" s="20" t="e">
        <f>VLOOKUP(G727,MD!M$2:O$93,3,FALSE)</f>
        <v>#N/A</v>
      </c>
      <c r="K727" s="29"/>
      <c r="P727" s="22"/>
      <c r="X727" s="22"/>
    </row>
    <row r="728" spans="10:24">
      <c r="J728" s="20" t="e">
        <f>VLOOKUP(G728,MD!M$2:O$93,3,FALSE)</f>
        <v>#N/A</v>
      </c>
      <c r="K728" s="29"/>
      <c r="P728" s="22"/>
      <c r="X728" s="22"/>
    </row>
    <row r="729" spans="10:24">
      <c r="J729" s="20" t="e">
        <f>VLOOKUP(G729,MD!M$2:O$93,3,FALSE)</f>
        <v>#N/A</v>
      </c>
      <c r="K729" s="29"/>
      <c r="P729" s="22"/>
      <c r="X729" s="22"/>
    </row>
    <row r="730" spans="10:24">
      <c r="J730" s="20" t="e">
        <f>VLOOKUP(G730,MD!M$2:O$93,3,FALSE)</f>
        <v>#N/A</v>
      </c>
      <c r="K730" s="29"/>
      <c r="P730" s="22"/>
      <c r="X730" s="22"/>
    </row>
    <row r="731" spans="10:24">
      <c r="J731" s="20" t="e">
        <f>VLOOKUP(G731,MD!M$2:O$93,3,FALSE)</f>
        <v>#N/A</v>
      </c>
      <c r="K731" s="29"/>
      <c r="P731" s="22"/>
      <c r="X731" s="22"/>
    </row>
    <row r="732" spans="10:24">
      <c r="J732" s="20" t="e">
        <f>VLOOKUP(G732,MD!M$2:O$93,3,FALSE)</f>
        <v>#N/A</v>
      </c>
      <c r="K732" s="29"/>
      <c r="P732" s="22"/>
      <c r="X732" s="22"/>
    </row>
    <row r="733" spans="10:24">
      <c r="J733" s="20" t="e">
        <f>VLOOKUP(G733,MD!M$2:O$93,3,FALSE)</f>
        <v>#N/A</v>
      </c>
      <c r="K733" s="29"/>
      <c r="P733" s="22"/>
      <c r="X733" s="22"/>
    </row>
    <row r="734" spans="10:24">
      <c r="J734" s="20" t="e">
        <f>VLOOKUP(G734,MD!M$2:O$93,3,FALSE)</f>
        <v>#N/A</v>
      </c>
      <c r="K734" s="29"/>
      <c r="P734" s="22"/>
      <c r="X734" s="22"/>
    </row>
    <row r="735" spans="10:24">
      <c r="J735" s="20" t="e">
        <f>VLOOKUP(G735,MD!M$2:O$93,3,FALSE)</f>
        <v>#N/A</v>
      </c>
      <c r="K735" s="29"/>
      <c r="P735" s="22"/>
      <c r="X735" s="22"/>
    </row>
    <row r="736" spans="10:24">
      <c r="J736" s="20" t="e">
        <f>VLOOKUP(G736,MD!M$2:O$93,3,FALSE)</f>
        <v>#N/A</v>
      </c>
      <c r="K736" s="29"/>
      <c r="P736" s="22"/>
      <c r="X736" s="22"/>
    </row>
    <row r="737" spans="10:24">
      <c r="J737" s="20" t="e">
        <f>VLOOKUP(G737,MD!M$2:O$93,3,FALSE)</f>
        <v>#N/A</v>
      </c>
      <c r="K737" s="29"/>
      <c r="P737" s="22"/>
      <c r="X737" s="22"/>
    </row>
    <row r="738" spans="10:24">
      <c r="J738" s="20" t="e">
        <f>VLOOKUP(G738,MD!M$2:O$93,3,FALSE)</f>
        <v>#N/A</v>
      </c>
      <c r="K738" s="29"/>
      <c r="P738" s="22"/>
      <c r="X738" s="22"/>
    </row>
    <row r="739" spans="10:24">
      <c r="J739" s="20" t="e">
        <f>VLOOKUP(G739,MD!M$2:O$93,3,FALSE)</f>
        <v>#N/A</v>
      </c>
      <c r="K739" s="29"/>
      <c r="P739" s="22"/>
      <c r="X739" s="22"/>
    </row>
    <row r="740" spans="10:24">
      <c r="J740" s="20" t="e">
        <f>VLOOKUP(G740,MD!M$2:O$93,3,FALSE)</f>
        <v>#N/A</v>
      </c>
      <c r="K740" s="29"/>
      <c r="P740" s="22"/>
      <c r="X740" s="22"/>
    </row>
    <row r="741" spans="10:24">
      <c r="J741" s="20" t="e">
        <f>VLOOKUP(G741,MD!M$2:O$93,3,FALSE)</f>
        <v>#N/A</v>
      </c>
      <c r="K741" s="29"/>
      <c r="P741" s="22"/>
      <c r="X741" s="22"/>
    </row>
    <row r="742" spans="10:24">
      <c r="J742" s="20" t="e">
        <f>VLOOKUP(G742,MD!M$2:O$93,3,FALSE)</f>
        <v>#N/A</v>
      </c>
      <c r="K742" s="29"/>
      <c r="P742" s="22"/>
      <c r="X742" s="22"/>
    </row>
    <row r="743" spans="10:24">
      <c r="J743" s="20" t="e">
        <f>VLOOKUP(G743,MD!M$2:O$93,3,FALSE)</f>
        <v>#N/A</v>
      </c>
      <c r="K743" s="29"/>
      <c r="P743" s="22"/>
      <c r="X743" s="22"/>
    </row>
    <row r="744" spans="10:24">
      <c r="J744" s="20" t="e">
        <f>VLOOKUP(G744,MD!M$2:O$93,3,FALSE)</f>
        <v>#N/A</v>
      </c>
      <c r="K744" s="29"/>
      <c r="P744" s="22"/>
      <c r="X744" s="22"/>
    </row>
    <row r="745" spans="10:24">
      <c r="J745" s="20" t="e">
        <f>VLOOKUP(G745,MD!M$2:O$93,3,FALSE)</f>
        <v>#N/A</v>
      </c>
      <c r="K745" s="29"/>
      <c r="P745" s="22"/>
      <c r="X745" s="22"/>
    </row>
    <row r="746" spans="10:24">
      <c r="J746" s="20" t="e">
        <f>VLOOKUP(G746,MD!M$2:O$93,3,FALSE)</f>
        <v>#N/A</v>
      </c>
      <c r="K746" s="29"/>
      <c r="P746" s="22"/>
      <c r="X746" s="22"/>
    </row>
    <row r="747" spans="10:24">
      <c r="J747" s="20" t="e">
        <f>VLOOKUP(G747,MD!M$2:O$93,3,FALSE)</f>
        <v>#N/A</v>
      </c>
      <c r="K747" s="29"/>
      <c r="P747" s="22"/>
      <c r="X747" s="22"/>
    </row>
    <row r="748" spans="10:24">
      <c r="J748" s="20" t="e">
        <f>VLOOKUP(G748,MD!M$2:O$93,3,FALSE)</f>
        <v>#N/A</v>
      </c>
      <c r="K748" s="29"/>
      <c r="P748" s="22"/>
      <c r="X748" s="22"/>
    </row>
    <row r="749" spans="10:24">
      <c r="J749" s="20" t="e">
        <f>VLOOKUP(G749,MD!M$2:O$93,3,FALSE)</f>
        <v>#N/A</v>
      </c>
      <c r="K749" s="29"/>
      <c r="P749" s="22"/>
      <c r="X749" s="22"/>
    </row>
    <row r="750" spans="10:24">
      <c r="J750" s="20" t="e">
        <f>VLOOKUP(G750,MD!M$2:O$93,3,FALSE)</f>
        <v>#N/A</v>
      </c>
      <c r="K750" s="29"/>
      <c r="P750" s="22"/>
      <c r="X750" s="22"/>
    </row>
    <row r="751" spans="10:24">
      <c r="J751" s="20" t="e">
        <f>VLOOKUP(G751,MD!M$2:O$93,3,FALSE)</f>
        <v>#N/A</v>
      </c>
      <c r="K751" s="29"/>
      <c r="P751" s="22"/>
      <c r="X751" s="22"/>
    </row>
    <row r="752" spans="10:24">
      <c r="J752" s="20" t="e">
        <f>VLOOKUP(G752,MD!M$2:O$93,3,FALSE)</f>
        <v>#N/A</v>
      </c>
      <c r="K752" s="29"/>
      <c r="P752" s="22"/>
      <c r="X752" s="22"/>
    </row>
    <row r="753" spans="10:24">
      <c r="J753" s="20" t="e">
        <f>VLOOKUP(G753,MD!M$2:O$93,3,FALSE)</f>
        <v>#N/A</v>
      </c>
      <c r="K753" s="29"/>
      <c r="P753" s="22"/>
      <c r="X753" s="22"/>
    </row>
    <row r="754" spans="10:24">
      <c r="J754" s="20" t="e">
        <f>VLOOKUP(G754,MD!M$2:O$93,3,FALSE)</f>
        <v>#N/A</v>
      </c>
      <c r="K754" s="29"/>
      <c r="P754" s="22"/>
      <c r="X754" s="22"/>
    </row>
    <row r="755" spans="10:24">
      <c r="J755" s="20" t="e">
        <f>VLOOKUP(G755,MD!M$2:O$93,3,FALSE)</f>
        <v>#N/A</v>
      </c>
      <c r="K755" s="29"/>
      <c r="P755" s="22"/>
      <c r="X755" s="22"/>
    </row>
    <row r="756" spans="10:24">
      <c r="J756" s="20" t="e">
        <f>VLOOKUP(G756,MD!M$2:O$93,3,FALSE)</f>
        <v>#N/A</v>
      </c>
      <c r="K756" s="29"/>
      <c r="P756" s="22"/>
      <c r="X756" s="22"/>
    </row>
    <row r="757" spans="10:24">
      <c r="J757" s="20" t="e">
        <f>VLOOKUP(G757,MD!M$2:O$93,3,FALSE)</f>
        <v>#N/A</v>
      </c>
      <c r="K757" s="29"/>
      <c r="P757" s="22"/>
      <c r="X757" s="22"/>
    </row>
    <row r="758" spans="10:24">
      <c r="J758" s="20" t="e">
        <f>VLOOKUP(G758,MD!M$2:O$93,3,FALSE)</f>
        <v>#N/A</v>
      </c>
      <c r="K758" s="29"/>
      <c r="P758" s="22"/>
      <c r="X758" s="22"/>
    </row>
    <row r="759" spans="10:24">
      <c r="J759" s="20" t="e">
        <f>VLOOKUP(G759,MD!M$2:O$93,3,FALSE)</f>
        <v>#N/A</v>
      </c>
      <c r="K759" s="29"/>
      <c r="P759" s="22"/>
      <c r="X759" s="22"/>
    </row>
    <row r="760" spans="10:24">
      <c r="J760" s="20" t="e">
        <f>VLOOKUP(G760,MD!M$2:O$93,3,FALSE)</f>
        <v>#N/A</v>
      </c>
      <c r="K760" s="29"/>
      <c r="P760" s="22"/>
      <c r="X760" s="22"/>
    </row>
    <row r="761" spans="10:24">
      <c r="J761" s="20" t="e">
        <f>VLOOKUP(G761,MD!M$2:O$93,3,FALSE)</f>
        <v>#N/A</v>
      </c>
      <c r="K761" s="29"/>
      <c r="P761" s="22"/>
      <c r="X761" s="22"/>
    </row>
    <row r="762" spans="10:24">
      <c r="J762" s="20" t="e">
        <f>VLOOKUP(G762,MD!M$2:O$93,3,FALSE)</f>
        <v>#N/A</v>
      </c>
      <c r="K762" s="29"/>
      <c r="P762" s="22"/>
      <c r="X762" s="22"/>
    </row>
    <row r="763" spans="10:24">
      <c r="J763" s="20" t="e">
        <f>VLOOKUP(G763,MD!M$2:O$93,3,FALSE)</f>
        <v>#N/A</v>
      </c>
      <c r="K763" s="29"/>
      <c r="P763" s="22"/>
      <c r="X763" s="22"/>
    </row>
    <row r="764" spans="10:24">
      <c r="J764" s="20" t="e">
        <f>VLOOKUP(G764,MD!M$2:O$93,3,FALSE)</f>
        <v>#N/A</v>
      </c>
      <c r="K764" s="29"/>
      <c r="P764" s="22"/>
      <c r="X764" s="22"/>
    </row>
    <row r="765" spans="10:24">
      <c r="J765" s="20" t="e">
        <f>VLOOKUP(G765,MD!M$2:O$93,3,FALSE)</f>
        <v>#N/A</v>
      </c>
      <c r="K765" s="29"/>
      <c r="P765" s="22"/>
      <c r="X765" s="22"/>
    </row>
    <row r="766" spans="10:24">
      <c r="J766" s="20" t="e">
        <f>VLOOKUP(G766,MD!M$2:O$93,3,FALSE)</f>
        <v>#N/A</v>
      </c>
      <c r="K766" s="29"/>
      <c r="P766" s="22"/>
      <c r="X766" s="22"/>
    </row>
    <row r="767" spans="10:24">
      <c r="J767" s="20" t="e">
        <f>VLOOKUP(G767,MD!M$2:O$93,3,FALSE)</f>
        <v>#N/A</v>
      </c>
      <c r="K767" s="29"/>
      <c r="P767" s="22"/>
      <c r="X767" s="22"/>
    </row>
    <row r="768" spans="10:24">
      <c r="J768" s="20" t="e">
        <f>VLOOKUP(G768,MD!M$2:O$93,3,FALSE)</f>
        <v>#N/A</v>
      </c>
      <c r="K768" s="29"/>
      <c r="P768" s="22"/>
      <c r="X768" s="22"/>
    </row>
    <row r="769" spans="10:24">
      <c r="J769" s="20" t="e">
        <f>VLOOKUP(G769,MD!M$2:O$93,3,FALSE)</f>
        <v>#N/A</v>
      </c>
      <c r="K769" s="29"/>
      <c r="P769" s="22"/>
      <c r="X769" s="22"/>
    </row>
    <row r="770" spans="10:24">
      <c r="J770" s="20" t="e">
        <f>VLOOKUP(G770,MD!M$2:O$93,3,FALSE)</f>
        <v>#N/A</v>
      </c>
      <c r="K770" s="29"/>
      <c r="P770" s="22"/>
      <c r="X770" s="22"/>
    </row>
    <row r="771" spans="10:24">
      <c r="J771" s="20" t="e">
        <f>VLOOKUP(G771,MD!M$2:O$93,3,FALSE)</f>
        <v>#N/A</v>
      </c>
      <c r="K771" s="29"/>
      <c r="P771" s="22"/>
      <c r="X771" s="22"/>
    </row>
    <row r="772" spans="10:24">
      <c r="J772" s="20" t="e">
        <f>VLOOKUP(G772,MD!M$2:O$93,3,FALSE)</f>
        <v>#N/A</v>
      </c>
      <c r="K772" s="29"/>
      <c r="P772" s="22"/>
      <c r="X772" s="22"/>
    </row>
    <row r="773" spans="10:24">
      <c r="J773" s="20" t="e">
        <f>VLOOKUP(G773,MD!M$2:O$93,3,FALSE)</f>
        <v>#N/A</v>
      </c>
      <c r="K773" s="29"/>
      <c r="P773" s="22"/>
      <c r="X773" s="22"/>
    </row>
    <row r="774" spans="10:24">
      <c r="J774" s="20" t="e">
        <f>VLOOKUP(G774,MD!M$2:O$93,3,FALSE)</f>
        <v>#N/A</v>
      </c>
      <c r="K774" s="29"/>
      <c r="P774" s="22"/>
      <c r="X774" s="22"/>
    </row>
    <row r="775" spans="10:24">
      <c r="J775" s="20" t="e">
        <f>VLOOKUP(G775,MD!M$2:O$93,3,FALSE)</f>
        <v>#N/A</v>
      </c>
      <c r="K775" s="29"/>
      <c r="P775" s="22"/>
      <c r="X775" s="22"/>
    </row>
    <row r="776" spans="10:24">
      <c r="J776" s="20" t="e">
        <f>VLOOKUP(G776,MD!M$2:O$93,3,FALSE)</f>
        <v>#N/A</v>
      </c>
      <c r="K776" s="29"/>
      <c r="P776" s="22"/>
      <c r="X776" s="22"/>
    </row>
    <row r="777" spans="10:24">
      <c r="J777" s="20" t="e">
        <f>VLOOKUP(G777,MD!M$2:O$93,3,FALSE)</f>
        <v>#N/A</v>
      </c>
      <c r="K777" s="29"/>
      <c r="P777" s="22"/>
      <c r="X777" s="22"/>
    </row>
    <row r="778" spans="10:24">
      <c r="J778" s="20" t="e">
        <f>VLOOKUP(G778,MD!M$2:O$93,3,FALSE)</f>
        <v>#N/A</v>
      </c>
      <c r="K778" s="29"/>
      <c r="P778" s="22"/>
      <c r="X778" s="22"/>
    </row>
    <row r="779" spans="10:24">
      <c r="J779" s="20" t="e">
        <f>VLOOKUP(G779,MD!M$2:O$93,3,FALSE)</f>
        <v>#N/A</v>
      </c>
      <c r="K779" s="29"/>
      <c r="P779" s="22"/>
      <c r="X779" s="22"/>
    </row>
    <row r="780" spans="10:24">
      <c r="J780" s="20" t="e">
        <f>VLOOKUP(G780,MD!M$2:O$93,3,FALSE)</f>
        <v>#N/A</v>
      </c>
      <c r="K780" s="29"/>
      <c r="P780" s="22"/>
      <c r="X780" s="22"/>
    </row>
    <row r="781" spans="10:24">
      <c r="J781" s="20" t="e">
        <f>VLOOKUP(G781,MD!M$2:O$93,3,FALSE)</f>
        <v>#N/A</v>
      </c>
      <c r="K781" s="29"/>
      <c r="P781" s="22"/>
      <c r="X781" s="22"/>
    </row>
    <row r="782" spans="10:24">
      <c r="J782" s="20" t="e">
        <f>VLOOKUP(G782,MD!M$2:O$93,3,FALSE)</f>
        <v>#N/A</v>
      </c>
      <c r="K782" s="29"/>
      <c r="P782" s="22"/>
      <c r="X782" s="22"/>
    </row>
    <row r="783" spans="10:24">
      <c r="J783" s="20" t="e">
        <f>VLOOKUP(G783,MD!M$2:O$93,3,FALSE)</f>
        <v>#N/A</v>
      </c>
      <c r="K783" s="29"/>
      <c r="P783" s="22"/>
      <c r="X783" s="22"/>
    </row>
    <row r="784" spans="10:24">
      <c r="J784" s="20" t="e">
        <f>VLOOKUP(G784,MD!M$2:O$93,3,FALSE)</f>
        <v>#N/A</v>
      </c>
      <c r="K784" s="29"/>
      <c r="P784" s="22"/>
      <c r="X784" s="22"/>
    </row>
    <row r="785" spans="10:24">
      <c r="J785" s="20" t="e">
        <f>VLOOKUP(G785,MD!M$2:O$93,3,FALSE)</f>
        <v>#N/A</v>
      </c>
      <c r="K785" s="29"/>
      <c r="P785" s="22"/>
      <c r="X785" s="22"/>
    </row>
    <row r="786" spans="10:24">
      <c r="J786" s="20" t="e">
        <f>VLOOKUP(G786,MD!M$2:O$93,3,FALSE)</f>
        <v>#N/A</v>
      </c>
      <c r="K786" s="29"/>
      <c r="P786" s="22"/>
      <c r="X786" s="22"/>
    </row>
    <row r="787" spans="10:24">
      <c r="J787" s="20" t="e">
        <f>VLOOKUP(G787,MD!M$2:O$93,3,FALSE)</f>
        <v>#N/A</v>
      </c>
      <c r="K787" s="29"/>
      <c r="P787" s="22"/>
      <c r="X787" s="22"/>
    </row>
    <row r="788" spans="10:24">
      <c r="J788" s="20" t="e">
        <f>VLOOKUP(G788,MD!M$2:O$93,3,FALSE)</f>
        <v>#N/A</v>
      </c>
      <c r="K788" s="29"/>
      <c r="P788" s="22"/>
      <c r="X788" s="22"/>
    </row>
    <row r="789" spans="10:24">
      <c r="J789" s="20" t="e">
        <f>VLOOKUP(G789,MD!M$2:O$93,3,FALSE)</f>
        <v>#N/A</v>
      </c>
      <c r="K789" s="29"/>
      <c r="P789" s="22"/>
      <c r="X789" s="22"/>
    </row>
    <row r="790" spans="10:24">
      <c r="J790" s="20" t="e">
        <f>VLOOKUP(G790,MD!M$2:O$93,3,FALSE)</f>
        <v>#N/A</v>
      </c>
      <c r="K790" s="29"/>
      <c r="P790" s="22"/>
      <c r="X790" s="22"/>
    </row>
    <row r="791" spans="10:24">
      <c r="J791" s="20" t="e">
        <f>VLOOKUP(G791,MD!M$2:O$93,3,FALSE)</f>
        <v>#N/A</v>
      </c>
      <c r="K791" s="29"/>
      <c r="P791" s="22"/>
      <c r="X791" s="22"/>
    </row>
    <row r="792" spans="10:24">
      <c r="J792" s="20" t="e">
        <f>VLOOKUP(G792,MD!M$2:O$93,3,FALSE)</f>
        <v>#N/A</v>
      </c>
      <c r="K792" s="29"/>
      <c r="P792" s="22"/>
      <c r="X792" s="22"/>
    </row>
    <row r="793" spans="10:24">
      <c r="J793" s="20" t="e">
        <f>VLOOKUP(G793,MD!M$2:O$93,3,FALSE)</f>
        <v>#N/A</v>
      </c>
      <c r="K793" s="29"/>
      <c r="P793" s="22"/>
      <c r="X793" s="22"/>
    </row>
    <row r="794" spans="10:24">
      <c r="J794" s="20" t="e">
        <f>VLOOKUP(G794,MD!M$2:O$93,3,FALSE)</f>
        <v>#N/A</v>
      </c>
      <c r="K794" s="29"/>
      <c r="P794" s="22"/>
      <c r="X794" s="22"/>
    </row>
    <row r="795" spans="10:24">
      <c r="J795" s="20" t="e">
        <f>VLOOKUP(G795,MD!M$2:O$93,3,FALSE)</f>
        <v>#N/A</v>
      </c>
      <c r="K795" s="29"/>
      <c r="P795" s="22"/>
      <c r="X795" s="22"/>
    </row>
    <row r="796" spans="10:24">
      <c r="J796" s="20" t="e">
        <f>VLOOKUP(G796,MD!M$2:O$93,3,FALSE)</f>
        <v>#N/A</v>
      </c>
      <c r="K796" s="29"/>
      <c r="P796" s="22"/>
      <c r="X796" s="22"/>
    </row>
    <row r="797" spans="10:24">
      <c r="J797" s="20" t="e">
        <f>VLOOKUP(G797,MD!M$2:O$93,3,FALSE)</f>
        <v>#N/A</v>
      </c>
      <c r="K797" s="29"/>
      <c r="P797" s="22"/>
      <c r="X797" s="22"/>
    </row>
    <row r="798" spans="10:24">
      <c r="J798" s="20" t="e">
        <f>VLOOKUP(G798,MD!M$2:O$93,3,FALSE)</f>
        <v>#N/A</v>
      </c>
      <c r="K798" s="29"/>
      <c r="P798" s="22"/>
      <c r="X798" s="22"/>
    </row>
    <row r="799" spans="10:24">
      <c r="J799" s="20" t="e">
        <f>VLOOKUP(G799,MD!M$2:O$93,3,FALSE)</f>
        <v>#N/A</v>
      </c>
      <c r="K799" s="29"/>
      <c r="P799" s="22"/>
      <c r="X799" s="22"/>
    </row>
    <row r="800" spans="10:24">
      <c r="J800" s="20" t="e">
        <f>VLOOKUP(G800,MD!M$2:O$93,3,FALSE)</f>
        <v>#N/A</v>
      </c>
      <c r="K800" s="29"/>
      <c r="P800" s="22"/>
      <c r="X800" s="22"/>
    </row>
    <row r="801" spans="10:24">
      <c r="J801" s="20" t="e">
        <f>VLOOKUP(G801,MD!M$2:O$93,3,FALSE)</f>
        <v>#N/A</v>
      </c>
      <c r="K801" s="29"/>
      <c r="P801" s="22"/>
      <c r="X801" s="22"/>
    </row>
    <row r="802" spans="10:24">
      <c r="J802" s="20" t="e">
        <f>VLOOKUP(G802,MD!M$2:O$93,3,FALSE)</f>
        <v>#N/A</v>
      </c>
      <c r="K802" s="29"/>
      <c r="P802" s="22"/>
      <c r="X802" s="22"/>
    </row>
    <row r="803" spans="10:24">
      <c r="J803" s="20" t="e">
        <f>VLOOKUP(G803,MD!M$2:O$93,3,FALSE)</f>
        <v>#N/A</v>
      </c>
      <c r="K803" s="29"/>
      <c r="P803" s="22"/>
      <c r="X803" s="22"/>
    </row>
    <row r="804" spans="10:24">
      <c r="J804" s="20" t="e">
        <f>VLOOKUP(G804,MD!M$2:O$93,3,FALSE)</f>
        <v>#N/A</v>
      </c>
      <c r="K804" s="29"/>
      <c r="P804" s="22"/>
      <c r="X804" s="22"/>
    </row>
    <row r="805" spans="10:24">
      <c r="J805" s="20" t="e">
        <f>VLOOKUP(G805,MD!M$2:O$93,3,FALSE)</f>
        <v>#N/A</v>
      </c>
      <c r="K805" s="29"/>
      <c r="P805" s="22"/>
      <c r="X805" s="22"/>
    </row>
    <row r="806" spans="10:24">
      <c r="J806" s="20" t="e">
        <f>VLOOKUP(G806,MD!M$2:O$93,3,FALSE)</f>
        <v>#N/A</v>
      </c>
      <c r="K806" s="29"/>
      <c r="P806" s="22"/>
      <c r="X806" s="22"/>
    </row>
    <row r="807" spans="10:24">
      <c r="J807" s="20" t="e">
        <f>VLOOKUP(G807,MD!M$2:O$93,3,FALSE)</f>
        <v>#N/A</v>
      </c>
      <c r="K807" s="29"/>
      <c r="P807" s="22"/>
      <c r="X807" s="22"/>
    </row>
    <row r="808" spans="10:24">
      <c r="J808" s="20" t="e">
        <f>VLOOKUP(G808,MD!M$2:O$93,3,FALSE)</f>
        <v>#N/A</v>
      </c>
      <c r="K808" s="29"/>
      <c r="P808" s="22"/>
      <c r="X808" s="22"/>
    </row>
    <row r="809" spans="10:24">
      <c r="J809" s="20" t="e">
        <f>VLOOKUP(G809,MD!M$2:O$93,3,FALSE)</f>
        <v>#N/A</v>
      </c>
      <c r="K809" s="29"/>
      <c r="P809" s="22"/>
      <c r="X809" s="22"/>
    </row>
    <row r="810" spans="10:24">
      <c r="J810" s="20" t="e">
        <f>VLOOKUP(G810,MD!M$2:O$93,3,FALSE)</f>
        <v>#N/A</v>
      </c>
      <c r="K810" s="29"/>
      <c r="P810" s="22"/>
      <c r="X810" s="22"/>
    </row>
    <row r="811" spans="10:24">
      <c r="J811" s="20" t="e">
        <f>VLOOKUP(G811,MD!M$2:O$93,3,FALSE)</f>
        <v>#N/A</v>
      </c>
      <c r="K811" s="29"/>
      <c r="P811" s="22"/>
      <c r="X811" s="22"/>
    </row>
    <row r="812" spans="10:24">
      <c r="J812" s="20" t="e">
        <f>VLOOKUP(G812,MD!M$2:O$93,3,FALSE)</f>
        <v>#N/A</v>
      </c>
      <c r="K812" s="29"/>
      <c r="P812" s="22"/>
      <c r="X812" s="22"/>
    </row>
    <row r="813" spans="10:24">
      <c r="J813" s="20" t="e">
        <f>VLOOKUP(G813,MD!M$2:O$93,3,FALSE)</f>
        <v>#N/A</v>
      </c>
      <c r="K813" s="29"/>
      <c r="P813" s="22"/>
      <c r="X813" s="22"/>
    </row>
    <row r="814" spans="10:24">
      <c r="J814" s="20" t="e">
        <f>VLOOKUP(G814,MD!M$2:O$93,3,FALSE)</f>
        <v>#N/A</v>
      </c>
      <c r="K814" s="29"/>
      <c r="P814" s="22"/>
      <c r="X814" s="22"/>
    </row>
    <row r="815" spans="10:24">
      <c r="J815" s="20" t="e">
        <f>VLOOKUP(G815,MD!M$2:O$93,3,FALSE)</f>
        <v>#N/A</v>
      </c>
      <c r="K815" s="29"/>
      <c r="P815" s="22"/>
      <c r="X815" s="22"/>
    </row>
    <row r="816" spans="10:24">
      <c r="J816" s="20" t="e">
        <f>VLOOKUP(G816,MD!M$2:O$93,3,FALSE)</f>
        <v>#N/A</v>
      </c>
      <c r="K816" s="29"/>
      <c r="P816" s="22"/>
      <c r="X816" s="22"/>
    </row>
    <row r="817" spans="10:24">
      <c r="J817" s="20" t="e">
        <f>VLOOKUP(G817,MD!M$2:O$93,3,FALSE)</f>
        <v>#N/A</v>
      </c>
      <c r="K817" s="29"/>
      <c r="P817" s="22"/>
      <c r="X817" s="22"/>
    </row>
    <row r="818" spans="10:24">
      <c r="J818" s="20" t="e">
        <f>VLOOKUP(G818,MD!M$2:O$93,3,FALSE)</f>
        <v>#N/A</v>
      </c>
      <c r="K818" s="29"/>
      <c r="P818" s="22"/>
      <c r="X818" s="22"/>
    </row>
    <row r="819" spans="10:24">
      <c r="J819" s="20" t="e">
        <f>VLOOKUP(G819,MD!M$2:O$93,3,FALSE)</f>
        <v>#N/A</v>
      </c>
      <c r="K819" s="29"/>
      <c r="P819" s="22"/>
      <c r="X819" s="22"/>
    </row>
    <row r="820" spans="10:24">
      <c r="J820" s="20" t="e">
        <f>VLOOKUP(G820,MD!M$2:O$93,3,FALSE)</f>
        <v>#N/A</v>
      </c>
      <c r="K820" s="29"/>
      <c r="P820" s="22"/>
      <c r="X820" s="22"/>
    </row>
    <row r="821" spans="10:24">
      <c r="J821" s="20" t="e">
        <f>VLOOKUP(G821,MD!M$2:O$93,3,FALSE)</f>
        <v>#N/A</v>
      </c>
      <c r="K821" s="29"/>
      <c r="P821" s="22"/>
      <c r="X821" s="22"/>
    </row>
    <row r="822" spans="10:24">
      <c r="J822" s="20" t="e">
        <f>VLOOKUP(G822,MD!M$2:O$93,3,FALSE)</f>
        <v>#N/A</v>
      </c>
      <c r="K822" s="29"/>
      <c r="P822" s="22"/>
      <c r="X822" s="22"/>
    </row>
    <row r="823" spans="10:24">
      <c r="J823" s="20" t="e">
        <f>VLOOKUP(G823,MD!M$2:O$93,3,FALSE)</f>
        <v>#N/A</v>
      </c>
      <c r="K823" s="29"/>
      <c r="P823" s="22"/>
      <c r="X823" s="22"/>
    </row>
    <row r="824" spans="10:24">
      <c r="J824" s="20" t="e">
        <f>VLOOKUP(G824,MD!M$2:O$93,3,FALSE)</f>
        <v>#N/A</v>
      </c>
      <c r="K824" s="29"/>
      <c r="P824" s="22"/>
      <c r="X824" s="22"/>
    </row>
    <row r="825" spans="10:24">
      <c r="J825" s="20" t="e">
        <f>VLOOKUP(G825,MD!M$2:O$93,3,FALSE)</f>
        <v>#N/A</v>
      </c>
      <c r="K825" s="29"/>
      <c r="P825" s="22"/>
      <c r="X825" s="22"/>
    </row>
    <row r="826" spans="10:24">
      <c r="J826" s="20" t="e">
        <f>VLOOKUP(G826,MD!M$2:O$93,3,FALSE)</f>
        <v>#N/A</v>
      </c>
      <c r="K826" s="29"/>
      <c r="P826" s="22"/>
      <c r="X826" s="22"/>
    </row>
    <row r="827" spans="10:24">
      <c r="J827" s="20" t="e">
        <f>VLOOKUP(G827,MD!M$2:O$93,3,FALSE)</f>
        <v>#N/A</v>
      </c>
      <c r="K827" s="29"/>
      <c r="P827" s="22"/>
      <c r="X827" s="22"/>
    </row>
    <row r="828" spans="10:24">
      <c r="J828" s="20" t="e">
        <f>VLOOKUP(G828,MD!M$2:O$93,3,FALSE)</f>
        <v>#N/A</v>
      </c>
      <c r="K828" s="29"/>
      <c r="P828" s="22"/>
      <c r="X828" s="22"/>
    </row>
    <row r="829" spans="10:24">
      <c r="J829" s="20" t="e">
        <f>VLOOKUP(G829,MD!M$2:O$93,3,FALSE)</f>
        <v>#N/A</v>
      </c>
      <c r="K829" s="29"/>
      <c r="P829" s="22"/>
      <c r="X829" s="22"/>
    </row>
    <row r="830" spans="10:24">
      <c r="J830" s="20" t="e">
        <f>VLOOKUP(G830,MD!M$2:O$93,3,FALSE)</f>
        <v>#N/A</v>
      </c>
      <c r="K830" s="29"/>
      <c r="P830" s="22"/>
      <c r="X830" s="22"/>
    </row>
    <row r="831" spans="10:24">
      <c r="J831" s="20" t="e">
        <f>VLOOKUP(G831,MD!M$2:O$93,3,FALSE)</f>
        <v>#N/A</v>
      </c>
      <c r="K831" s="29"/>
      <c r="P831" s="22"/>
      <c r="X831" s="22"/>
    </row>
    <row r="832" spans="10:24">
      <c r="J832" s="20" t="e">
        <f>VLOOKUP(G832,MD!M$2:O$93,3,FALSE)</f>
        <v>#N/A</v>
      </c>
      <c r="K832" s="29"/>
      <c r="P832" s="22"/>
      <c r="X832" s="22"/>
    </row>
    <row r="833" spans="10:24">
      <c r="J833" s="20" t="e">
        <f>VLOOKUP(G833,MD!M$2:O$93,3,FALSE)</f>
        <v>#N/A</v>
      </c>
      <c r="K833" s="29"/>
      <c r="P833" s="22"/>
      <c r="X833" s="22"/>
    </row>
    <row r="834" spans="10:24">
      <c r="J834" s="20" t="e">
        <f>VLOOKUP(G834,MD!M$2:O$93,3,FALSE)</f>
        <v>#N/A</v>
      </c>
      <c r="K834" s="29"/>
      <c r="P834" s="22"/>
      <c r="X834" s="22"/>
    </row>
    <row r="835" spans="10:24">
      <c r="J835" s="20" t="e">
        <f>VLOOKUP(G835,MD!M$2:O$93,3,FALSE)</f>
        <v>#N/A</v>
      </c>
      <c r="K835" s="29"/>
      <c r="P835" s="22"/>
      <c r="X835" s="22"/>
    </row>
    <row r="836" spans="10:24">
      <c r="J836" s="20" t="e">
        <f>VLOOKUP(G836,MD!M$2:O$93,3,FALSE)</f>
        <v>#N/A</v>
      </c>
      <c r="K836" s="29"/>
      <c r="P836" s="22"/>
      <c r="X836" s="22"/>
    </row>
    <row r="837" spans="10:24">
      <c r="J837" s="20" t="e">
        <f>VLOOKUP(G837,MD!M$2:O$93,3,FALSE)</f>
        <v>#N/A</v>
      </c>
      <c r="K837" s="29"/>
      <c r="P837" s="22"/>
      <c r="X837" s="22"/>
    </row>
    <row r="838" spans="10:24">
      <c r="J838" s="20" t="e">
        <f>VLOOKUP(G838,MD!M$2:O$93,3,FALSE)</f>
        <v>#N/A</v>
      </c>
      <c r="K838" s="29"/>
      <c r="P838" s="22"/>
      <c r="X838" s="22"/>
    </row>
    <row r="839" spans="10:24">
      <c r="J839" s="20" t="e">
        <f>VLOOKUP(G839,MD!M$2:O$93,3,FALSE)</f>
        <v>#N/A</v>
      </c>
      <c r="K839" s="29"/>
      <c r="P839" s="22"/>
      <c r="X839" s="22"/>
    </row>
    <row r="840" spans="10:24">
      <c r="J840" s="20" t="e">
        <f>VLOOKUP(G840,MD!M$2:O$93,3,FALSE)</f>
        <v>#N/A</v>
      </c>
      <c r="K840" s="29"/>
      <c r="P840" s="22"/>
      <c r="X840" s="22"/>
    </row>
    <row r="841" spans="10:24">
      <c r="J841" s="20" t="e">
        <f>VLOOKUP(G841,MD!M$2:O$93,3,FALSE)</f>
        <v>#N/A</v>
      </c>
      <c r="K841" s="29"/>
      <c r="P841" s="22"/>
      <c r="X841" s="22"/>
    </row>
    <row r="842" spans="10:24">
      <c r="J842" s="20" t="e">
        <f>VLOOKUP(G842,MD!M$2:O$93,3,FALSE)</f>
        <v>#N/A</v>
      </c>
      <c r="K842" s="29"/>
      <c r="P842" s="22"/>
      <c r="X842" s="22"/>
    </row>
    <row r="843" spans="10:24">
      <c r="J843" s="20" t="e">
        <f>VLOOKUP(G843,MD!M$2:O$93,3,FALSE)</f>
        <v>#N/A</v>
      </c>
      <c r="K843" s="29"/>
      <c r="P843" s="22"/>
      <c r="X843" s="22"/>
    </row>
    <row r="844" spans="10:24">
      <c r="J844" s="20" t="e">
        <f>VLOOKUP(G844,MD!M$2:O$93,3,FALSE)</f>
        <v>#N/A</v>
      </c>
      <c r="K844" s="29"/>
      <c r="P844" s="22"/>
      <c r="X844" s="22"/>
    </row>
    <row r="845" spans="10:24">
      <c r="J845" s="20" t="e">
        <f>VLOOKUP(G845,MD!M$2:O$93,3,FALSE)</f>
        <v>#N/A</v>
      </c>
      <c r="K845" s="29"/>
      <c r="P845" s="22"/>
      <c r="X845" s="22"/>
    </row>
    <row r="846" spans="10:24">
      <c r="J846" s="20" t="e">
        <f>VLOOKUP(G846,MD!M$2:O$93,3,FALSE)</f>
        <v>#N/A</v>
      </c>
      <c r="K846" s="29"/>
      <c r="P846" s="22"/>
      <c r="X846" s="22"/>
    </row>
    <row r="847" spans="10:24">
      <c r="J847" s="20" t="e">
        <f>VLOOKUP(G847,MD!M$2:O$93,3,FALSE)</f>
        <v>#N/A</v>
      </c>
      <c r="K847" s="29"/>
      <c r="P847" s="22"/>
      <c r="X847" s="22"/>
    </row>
    <row r="848" spans="10:24">
      <c r="J848" s="20" t="e">
        <f>VLOOKUP(G848,MD!M$2:O$93,3,FALSE)</f>
        <v>#N/A</v>
      </c>
      <c r="K848" s="29"/>
      <c r="P848" s="22"/>
      <c r="X848" s="22"/>
    </row>
    <row r="849" spans="10:24">
      <c r="J849" s="20" t="e">
        <f>VLOOKUP(G849,MD!M$2:O$93,3,FALSE)</f>
        <v>#N/A</v>
      </c>
      <c r="K849" s="29"/>
      <c r="P849" s="22"/>
      <c r="X849" s="22"/>
    </row>
    <row r="850" spans="10:24">
      <c r="J850" s="20" t="e">
        <f>VLOOKUP(G850,MD!M$2:O$93,3,FALSE)</f>
        <v>#N/A</v>
      </c>
      <c r="K850" s="29"/>
      <c r="P850" s="22"/>
      <c r="X850" s="22"/>
    </row>
    <row r="851" spans="10:24">
      <c r="J851" s="20" t="e">
        <f>VLOOKUP(G851,MD!M$2:O$93,3,FALSE)</f>
        <v>#N/A</v>
      </c>
      <c r="K851" s="29"/>
      <c r="P851" s="22"/>
      <c r="X851" s="22"/>
    </row>
    <row r="852" spans="10:24">
      <c r="J852" s="20" t="e">
        <f>VLOOKUP(G852,MD!M$2:O$93,3,FALSE)</f>
        <v>#N/A</v>
      </c>
      <c r="K852" s="29"/>
      <c r="P852" s="22"/>
      <c r="X852" s="22"/>
    </row>
    <row r="853" spans="10:24">
      <c r="J853" s="20" t="e">
        <f>VLOOKUP(G853,MD!M$2:O$93,3,FALSE)</f>
        <v>#N/A</v>
      </c>
      <c r="K853" s="29"/>
      <c r="P853" s="22"/>
      <c r="X853" s="22"/>
    </row>
    <row r="854" spans="10:24">
      <c r="J854" s="20" t="e">
        <f>VLOOKUP(G854,MD!M$2:O$93,3,FALSE)</f>
        <v>#N/A</v>
      </c>
      <c r="K854" s="29"/>
      <c r="P854" s="22"/>
      <c r="X854" s="22"/>
    </row>
    <row r="855" spans="10:24">
      <c r="J855" s="20" t="e">
        <f>VLOOKUP(G855,MD!M$2:O$93,3,FALSE)</f>
        <v>#N/A</v>
      </c>
      <c r="K855" s="29"/>
      <c r="P855" s="22"/>
      <c r="X855" s="22"/>
    </row>
    <row r="856" spans="10:24">
      <c r="J856" s="20" t="e">
        <f>VLOOKUP(G856,MD!M$2:O$93,3,FALSE)</f>
        <v>#N/A</v>
      </c>
      <c r="K856" s="29"/>
      <c r="P856" s="22"/>
      <c r="X856" s="22"/>
    </row>
    <row r="857" spans="10:24">
      <c r="J857" s="20" t="e">
        <f>VLOOKUP(G857,MD!M$2:O$93,3,FALSE)</f>
        <v>#N/A</v>
      </c>
      <c r="K857" s="29"/>
      <c r="P857" s="22"/>
      <c r="X857" s="22"/>
    </row>
    <row r="858" spans="10:24">
      <c r="J858" s="20" t="e">
        <f>VLOOKUP(G858,MD!M$2:O$93,3,FALSE)</f>
        <v>#N/A</v>
      </c>
      <c r="K858" s="29"/>
      <c r="P858" s="22"/>
      <c r="X858" s="22"/>
    </row>
    <row r="859" spans="10:24">
      <c r="J859" s="20" t="e">
        <f>VLOOKUP(G859,MD!M$2:O$93,3,FALSE)</f>
        <v>#N/A</v>
      </c>
      <c r="K859" s="29"/>
      <c r="P859" s="22"/>
      <c r="X859" s="22"/>
    </row>
    <row r="860" spans="10:24">
      <c r="J860" s="20" t="e">
        <f>VLOOKUP(G860,MD!M$2:O$93,3,FALSE)</f>
        <v>#N/A</v>
      </c>
      <c r="K860" s="29"/>
      <c r="P860" s="22"/>
      <c r="X860" s="22"/>
    </row>
    <row r="861" spans="10:24">
      <c r="J861" s="20" t="e">
        <f>VLOOKUP(G861,MD!M$2:O$93,3,FALSE)</f>
        <v>#N/A</v>
      </c>
      <c r="K861" s="29"/>
      <c r="P861" s="22"/>
      <c r="X861" s="22"/>
    </row>
    <row r="862" spans="10:24">
      <c r="J862" s="20" t="e">
        <f>VLOOKUP(G862,MD!M$2:O$93,3,FALSE)</f>
        <v>#N/A</v>
      </c>
      <c r="K862" s="29"/>
      <c r="P862" s="22"/>
      <c r="X862" s="22"/>
    </row>
    <row r="863" spans="10:24">
      <c r="J863" s="20" t="e">
        <f>VLOOKUP(G863,MD!M$2:O$93,3,FALSE)</f>
        <v>#N/A</v>
      </c>
      <c r="K863" s="29"/>
      <c r="P863" s="22"/>
      <c r="X863" s="22"/>
    </row>
    <row r="864" spans="10:24">
      <c r="J864" s="20" t="e">
        <f>VLOOKUP(G864,MD!M$2:O$93,3,FALSE)</f>
        <v>#N/A</v>
      </c>
      <c r="K864" s="29"/>
      <c r="P864" s="22"/>
      <c r="X864" s="22"/>
    </row>
    <row r="865" spans="10:24">
      <c r="J865" s="20" t="e">
        <f>VLOOKUP(G865,MD!M$2:O$93,3,FALSE)</f>
        <v>#N/A</v>
      </c>
      <c r="K865" s="29"/>
      <c r="P865" s="22"/>
      <c r="X865" s="22"/>
    </row>
    <row r="866" spans="10:24">
      <c r="J866" s="20" t="e">
        <f>VLOOKUP(G866,MD!M$2:O$93,3,FALSE)</f>
        <v>#N/A</v>
      </c>
      <c r="K866" s="29"/>
      <c r="P866" s="22"/>
      <c r="X866" s="22"/>
    </row>
    <row r="867" spans="10:24">
      <c r="J867" s="20" t="e">
        <f>VLOOKUP(G867,MD!M$2:O$93,3,FALSE)</f>
        <v>#N/A</v>
      </c>
      <c r="K867" s="29"/>
      <c r="P867" s="22"/>
      <c r="X867" s="22"/>
    </row>
    <row r="868" spans="10:24">
      <c r="J868" s="20" t="e">
        <f>VLOOKUP(G868,MD!M$2:O$93,3,FALSE)</f>
        <v>#N/A</v>
      </c>
      <c r="K868" s="29"/>
      <c r="P868" s="22"/>
      <c r="X868" s="22"/>
    </row>
    <row r="869" spans="10:24">
      <c r="J869" s="20" t="e">
        <f>VLOOKUP(G869,MD!M$2:O$93,3,FALSE)</f>
        <v>#N/A</v>
      </c>
      <c r="K869" s="29"/>
      <c r="P869" s="22"/>
      <c r="X869" s="22"/>
    </row>
    <row r="870" spans="10:24">
      <c r="J870" s="20" t="e">
        <f>VLOOKUP(G870,MD!M$2:O$93,3,FALSE)</f>
        <v>#N/A</v>
      </c>
      <c r="K870" s="29"/>
      <c r="P870" s="22"/>
      <c r="X870" s="22"/>
    </row>
    <row r="871" spans="10:24">
      <c r="J871" s="20" t="e">
        <f>VLOOKUP(G871,MD!M$2:O$93,3,FALSE)</f>
        <v>#N/A</v>
      </c>
      <c r="K871" s="29"/>
      <c r="P871" s="22"/>
      <c r="X871" s="22"/>
    </row>
    <row r="872" spans="10:24">
      <c r="J872" s="20" t="e">
        <f>VLOOKUP(G872,MD!M$2:O$93,3,FALSE)</f>
        <v>#N/A</v>
      </c>
      <c r="K872" s="29"/>
      <c r="P872" s="22"/>
      <c r="X872" s="22"/>
    </row>
    <row r="873" spans="10:24">
      <c r="J873" s="20" t="e">
        <f>VLOOKUP(G873,MD!M$2:O$93,3,FALSE)</f>
        <v>#N/A</v>
      </c>
      <c r="K873" s="29"/>
      <c r="P873" s="22"/>
      <c r="X873" s="22"/>
    </row>
    <row r="874" spans="10:24">
      <c r="J874" s="20" t="e">
        <f>VLOOKUP(G874,MD!M$2:O$93,3,FALSE)</f>
        <v>#N/A</v>
      </c>
      <c r="K874" s="29"/>
      <c r="P874" s="22"/>
      <c r="X874" s="22"/>
    </row>
    <row r="875" spans="10:24">
      <c r="J875" s="20" t="e">
        <f>VLOOKUP(G875,MD!M$2:O$93,3,FALSE)</f>
        <v>#N/A</v>
      </c>
      <c r="K875" s="29"/>
      <c r="P875" s="22"/>
      <c r="X875" s="22"/>
    </row>
    <row r="876" spans="10:24">
      <c r="J876" s="20" t="e">
        <f>VLOOKUP(G876,MD!M$2:O$93,3,FALSE)</f>
        <v>#N/A</v>
      </c>
      <c r="K876" s="29"/>
      <c r="P876" s="22"/>
      <c r="X876" s="22"/>
    </row>
    <row r="877" spans="10:24">
      <c r="J877" s="20" t="e">
        <f>VLOOKUP(G877,MD!M$2:O$93,3,FALSE)</f>
        <v>#N/A</v>
      </c>
      <c r="K877" s="29"/>
      <c r="P877" s="22"/>
      <c r="X877" s="22"/>
    </row>
    <row r="878" spans="10:24">
      <c r="J878" s="20" t="e">
        <f>VLOOKUP(G878,MD!M$2:O$93,3,FALSE)</f>
        <v>#N/A</v>
      </c>
      <c r="K878" s="29"/>
      <c r="P878" s="22"/>
      <c r="X878" s="22"/>
    </row>
    <row r="879" spans="10:24">
      <c r="J879" s="20" t="e">
        <f>VLOOKUP(G879,MD!M$2:O$93,3,FALSE)</f>
        <v>#N/A</v>
      </c>
      <c r="K879" s="29"/>
      <c r="P879" s="22"/>
      <c r="X879" s="22"/>
    </row>
    <row r="880" spans="10:24">
      <c r="J880" s="20" t="e">
        <f>VLOOKUP(G880,MD!M$2:O$93,3,FALSE)</f>
        <v>#N/A</v>
      </c>
      <c r="K880" s="29"/>
      <c r="P880" s="22"/>
      <c r="X880" s="22"/>
    </row>
    <row r="881" spans="10:24">
      <c r="J881" s="20" t="e">
        <f>VLOOKUP(G881,MD!M$2:O$93,3,FALSE)</f>
        <v>#N/A</v>
      </c>
      <c r="K881" s="29"/>
      <c r="P881" s="22"/>
      <c r="X881" s="22"/>
    </row>
    <row r="882" spans="10:24">
      <c r="J882" s="20" t="e">
        <f>VLOOKUP(G882,MD!M$2:O$93,3,FALSE)</f>
        <v>#N/A</v>
      </c>
      <c r="K882" s="29"/>
      <c r="P882" s="22"/>
      <c r="X882" s="22"/>
    </row>
    <row r="883" spans="10:24">
      <c r="J883" s="20" t="e">
        <f>VLOOKUP(G883,MD!M$2:O$93,3,FALSE)</f>
        <v>#N/A</v>
      </c>
      <c r="K883" s="29"/>
      <c r="P883" s="22"/>
      <c r="X883" s="22"/>
    </row>
    <row r="884" spans="10:24">
      <c r="J884" s="20" t="e">
        <f>VLOOKUP(G884,MD!M$2:O$93,3,FALSE)</f>
        <v>#N/A</v>
      </c>
      <c r="K884" s="29"/>
      <c r="P884" s="22"/>
      <c r="X884" s="22"/>
    </row>
    <row r="885" spans="10:24">
      <c r="J885" s="20" t="e">
        <f>VLOOKUP(G885,MD!M$2:O$93,3,FALSE)</f>
        <v>#N/A</v>
      </c>
      <c r="K885" s="29"/>
      <c r="P885" s="22"/>
      <c r="X885" s="22"/>
    </row>
    <row r="886" spans="10:24">
      <c r="J886" s="20" t="e">
        <f>VLOOKUP(G886,MD!M$2:O$93,3,FALSE)</f>
        <v>#N/A</v>
      </c>
      <c r="K886" s="29"/>
      <c r="P886" s="22"/>
      <c r="X886" s="22"/>
    </row>
    <row r="887" spans="10:24">
      <c r="J887" s="20" t="e">
        <f>VLOOKUP(G887,MD!M$2:O$93,3,FALSE)</f>
        <v>#N/A</v>
      </c>
      <c r="K887" s="29"/>
      <c r="P887" s="22"/>
      <c r="X887" s="22"/>
    </row>
    <row r="888" spans="10:24">
      <c r="J888" s="20" t="e">
        <f>VLOOKUP(G888,MD!M$2:O$93,3,FALSE)</f>
        <v>#N/A</v>
      </c>
      <c r="K888" s="29"/>
      <c r="P888" s="22"/>
      <c r="X888" s="22"/>
    </row>
    <row r="889" spans="10:24">
      <c r="J889" s="20" t="e">
        <f>VLOOKUP(G889,MD!M$2:O$93,3,FALSE)</f>
        <v>#N/A</v>
      </c>
      <c r="K889" s="29"/>
      <c r="P889" s="22"/>
      <c r="X889" s="22"/>
    </row>
    <row r="890" spans="10:24">
      <c r="J890" s="20" t="e">
        <f>VLOOKUP(G890,MD!M$2:O$93,3,FALSE)</f>
        <v>#N/A</v>
      </c>
      <c r="K890" s="29"/>
      <c r="P890" s="22"/>
      <c r="X890" s="22"/>
    </row>
    <row r="891" spans="10:24">
      <c r="J891" s="20" t="e">
        <f>VLOOKUP(G891,MD!M$2:O$93,3,FALSE)</f>
        <v>#N/A</v>
      </c>
      <c r="K891" s="29"/>
      <c r="P891" s="22"/>
      <c r="X891" s="22"/>
    </row>
    <row r="892" spans="10:24">
      <c r="J892" s="20" t="e">
        <f>VLOOKUP(G892,MD!M$2:O$93,3,FALSE)</f>
        <v>#N/A</v>
      </c>
      <c r="K892" s="29"/>
      <c r="P892" s="22"/>
      <c r="X892" s="22"/>
    </row>
    <row r="893" spans="10:24">
      <c r="J893" s="20" t="e">
        <f>VLOOKUP(G893,MD!M$2:O$93,3,FALSE)</f>
        <v>#N/A</v>
      </c>
      <c r="K893" s="29"/>
      <c r="P893" s="22"/>
      <c r="X893" s="22"/>
    </row>
    <row r="894" spans="10:24">
      <c r="J894" s="20" t="e">
        <f>VLOOKUP(G894,MD!M$2:O$93,3,FALSE)</f>
        <v>#N/A</v>
      </c>
      <c r="K894" s="29"/>
      <c r="P894" s="22"/>
      <c r="X894" s="22"/>
    </row>
    <row r="895" spans="10:24">
      <c r="J895" s="20" t="e">
        <f>VLOOKUP(G895,MD!M$2:O$93,3,FALSE)</f>
        <v>#N/A</v>
      </c>
      <c r="K895" s="29"/>
      <c r="P895" s="22"/>
      <c r="X895" s="22"/>
    </row>
    <row r="896" spans="10:24">
      <c r="J896" s="20" t="e">
        <f>VLOOKUP(G896,MD!M$2:O$93,3,FALSE)</f>
        <v>#N/A</v>
      </c>
      <c r="K896" s="29"/>
      <c r="P896" s="22"/>
      <c r="X896" s="22"/>
    </row>
    <row r="897" spans="10:24">
      <c r="J897" s="20" t="e">
        <f>VLOOKUP(G897,MD!M$2:O$93,3,FALSE)</f>
        <v>#N/A</v>
      </c>
      <c r="K897" s="29"/>
      <c r="P897" s="22"/>
      <c r="X897" s="22"/>
    </row>
    <row r="898" spans="10:24">
      <c r="J898" s="20" t="e">
        <f>VLOOKUP(G898,MD!M$2:O$93,3,FALSE)</f>
        <v>#N/A</v>
      </c>
      <c r="K898" s="29"/>
      <c r="P898" s="22"/>
      <c r="X898" s="22"/>
    </row>
    <row r="899" spans="10:24">
      <c r="J899" s="20" t="e">
        <f>VLOOKUP(G899,MD!M$2:O$93,3,FALSE)</f>
        <v>#N/A</v>
      </c>
      <c r="K899" s="29"/>
      <c r="P899" s="22"/>
      <c r="X899" s="22"/>
    </row>
    <row r="900" spans="10:24">
      <c r="J900" s="20" t="e">
        <f>VLOOKUP(G900,MD!M$2:O$93,3,FALSE)</f>
        <v>#N/A</v>
      </c>
      <c r="K900" s="29"/>
      <c r="P900" s="22"/>
      <c r="X900" s="22"/>
    </row>
    <row r="901" spans="10:24">
      <c r="J901" s="20" t="e">
        <f>VLOOKUP(G901,MD!M$2:O$93,3,FALSE)</f>
        <v>#N/A</v>
      </c>
      <c r="K901" s="29"/>
      <c r="P901" s="22"/>
      <c r="X901" s="22"/>
    </row>
    <row r="902" spans="10:24">
      <c r="J902" s="20" t="e">
        <f>VLOOKUP(G902,MD!M$2:O$93,3,FALSE)</f>
        <v>#N/A</v>
      </c>
      <c r="K902" s="29"/>
      <c r="P902" s="22"/>
      <c r="X902" s="22"/>
    </row>
    <row r="903" spans="10:24">
      <c r="J903" s="20" t="e">
        <f>VLOOKUP(G903,MD!M$2:O$93,3,FALSE)</f>
        <v>#N/A</v>
      </c>
      <c r="K903" s="29"/>
      <c r="P903" s="22"/>
      <c r="X903" s="22"/>
    </row>
    <row r="904" spans="10:24">
      <c r="J904" s="20" t="e">
        <f>VLOOKUP(G904,MD!M$2:O$93,3,FALSE)</f>
        <v>#N/A</v>
      </c>
      <c r="K904" s="29"/>
      <c r="P904" s="22"/>
      <c r="X904" s="22"/>
    </row>
    <row r="905" spans="10:24">
      <c r="J905" s="20" t="e">
        <f>VLOOKUP(G905,MD!M$2:O$93,3,FALSE)</f>
        <v>#N/A</v>
      </c>
      <c r="K905" s="29"/>
      <c r="P905" s="22"/>
      <c r="X905" s="22"/>
    </row>
    <row r="906" spans="10:24">
      <c r="J906" s="20" t="e">
        <f>VLOOKUP(G906,MD!M$2:O$93,3,FALSE)</f>
        <v>#N/A</v>
      </c>
      <c r="K906" s="29"/>
      <c r="P906" s="22"/>
      <c r="X906" s="22"/>
    </row>
    <row r="907" spans="10:24">
      <c r="J907" s="20" t="e">
        <f>VLOOKUP(G907,MD!M$2:O$93,3,FALSE)</f>
        <v>#N/A</v>
      </c>
      <c r="K907" s="29"/>
      <c r="P907" s="22"/>
      <c r="X907" s="22"/>
    </row>
    <row r="908" spans="10:24">
      <c r="J908" s="20" t="e">
        <f>VLOOKUP(G908,MD!M$2:O$93,3,FALSE)</f>
        <v>#N/A</v>
      </c>
      <c r="K908" s="29"/>
      <c r="P908" s="22"/>
      <c r="X908" s="22"/>
    </row>
    <row r="909" spans="10:24">
      <c r="J909" s="20" t="e">
        <f>VLOOKUP(G909,MD!M$2:O$93,3,FALSE)</f>
        <v>#N/A</v>
      </c>
      <c r="K909" s="29"/>
      <c r="P909" s="22"/>
      <c r="X909" s="22"/>
    </row>
    <row r="910" spans="10:24">
      <c r="J910" s="20" t="e">
        <f>VLOOKUP(G910,MD!M$2:O$93,3,FALSE)</f>
        <v>#N/A</v>
      </c>
      <c r="K910" s="29"/>
      <c r="P910" s="22"/>
      <c r="X910" s="22"/>
    </row>
    <row r="911" spans="10:24">
      <c r="J911" s="20" t="e">
        <f>VLOOKUP(G911,MD!M$2:O$93,3,FALSE)</f>
        <v>#N/A</v>
      </c>
      <c r="K911" s="29"/>
      <c r="P911" s="22"/>
      <c r="X911" s="22"/>
    </row>
    <row r="912" spans="10:24">
      <c r="J912" s="20" t="e">
        <f>VLOOKUP(G912,MD!M$2:O$93,3,FALSE)</f>
        <v>#N/A</v>
      </c>
      <c r="K912" s="29"/>
      <c r="P912" s="22"/>
      <c r="X912" s="22"/>
    </row>
    <row r="913" spans="10:24">
      <c r="J913" s="20" t="e">
        <f>VLOOKUP(G913,MD!M$2:O$93,3,FALSE)</f>
        <v>#N/A</v>
      </c>
      <c r="K913" s="29"/>
      <c r="P913" s="22"/>
      <c r="X913" s="22"/>
    </row>
    <row r="914" spans="10:24">
      <c r="J914" s="20" t="e">
        <f>VLOOKUP(G914,MD!M$2:O$93,3,FALSE)</f>
        <v>#N/A</v>
      </c>
      <c r="K914" s="29"/>
      <c r="P914" s="22"/>
      <c r="X914" s="22"/>
    </row>
    <row r="915" spans="10:24">
      <c r="J915" s="20" t="e">
        <f>VLOOKUP(G915,MD!M$2:O$93,3,FALSE)</f>
        <v>#N/A</v>
      </c>
      <c r="K915" s="29"/>
      <c r="P915" s="22"/>
      <c r="X915" s="22"/>
    </row>
    <row r="916" spans="10:24">
      <c r="J916" s="20" t="e">
        <f>VLOOKUP(G916,MD!M$2:O$93,3,FALSE)</f>
        <v>#N/A</v>
      </c>
      <c r="K916" s="29"/>
      <c r="P916" s="22"/>
      <c r="X916" s="22"/>
    </row>
    <row r="917" spans="10:24">
      <c r="J917" s="20" t="e">
        <f>VLOOKUP(G917,MD!M$2:O$93,3,FALSE)</f>
        <v>#N/A</v>
      </c>
      <c r="K917" s="29"/>
      <c r="P917" s="22"/>
      <c r="X917" s="22"/>
    </row>
    <row r="918" spans="10:24">
      <c r="J918" s="20" t="e">
        <f>VLOOKUP(G918,MD!M$2:O$93,3,FALSE)</f>
        <v>#N/A</v>
      </c>
      <c r="K918" s="29"/>
      <c r="P918" s="22"/>
      <c r="X918" s="22"/>
    </row>
    <row r="919" spans="10:24">
      <c r="J919" s="20" t="e">
        <f>VLOOKUP(G919,MD!M$2:O$93,3,FALSE)</f>
        <v>#N/A</v>
      </c>
      <c r="K919" s="29"/>
      <c r="P919" s="22"/>
      <c r="X919" s="22"/>
    </row>
    <row r="920" spans="10:24">
      <c r="J920" s="20" t="e">
        <f>VLOOKUP(G920,MD!M$2:O$93,3,FALSE)</f>
        <v>#N/A</v>
      </c>
      <c r="K920" s="29"/>
      <c r="P920" s="22"/>
      <c r="X920" s="22"/>
    </row>
    <row r="921" spans="10:24">
      <c r="J921" s="20" t="e">
        <f>VLOOKUP(G921,MD!M$2:O$93,3,FALSE)</f>
        <v>#N/A</v>
      </c>
      <c r="K921" s="29"/>
      <c r="P921" s="22"/>
      <c r="X921" s="22"/>
    </row>
    <row r="922" spans="10:24">
      <c r="J922" s="20" t="e">
        <f>VLOOKUP(G922,MD!M$2:O$93,3,FALSE)</f>
        <v>#N/A</v>
      </c>
      <c r="K922" s="29"/>
      <c r="P922" s="22"/>
      <c r="X922" s="22"/>
    </row>
    <row r="923" spans="10:24">
      <c r="J923" s="20" t="e">
        <f>VLOOKUP(G923,MD!M$2:O$93,3,FALSE)</f>
        <v>#N/A</v>
      </c>
      <c r="K923" s="29"/>
      <c r="P923" s="22"/>
      <c r="X923" s="22"/>
    </row>
    <row r="924" spans="10:24">
      <c r="J924" s="20" t="e">
        <f>VLOOKUP(G924,MD!M$2:O$93,3,FALSE)</f>
        <v>#N/A</v>
      </c>
      <c r="K924" s="29"/>
      <c r="P924" s="22"/>
      <c r="X924" s="22"/>
    </row>
    <row r="925" spans="10:24">
      <c r="J925" s="20" t="e">
        <f>VLOOKUP(G925,MD!M$2:O$93,3,FALSE)</f>
        <v>#N/A</v>
      </c>
      <c r="K925" s="29"/>
      <c r="P925" s="22"/>
      <c r="X925" s="22"/>
    </row>
    <row r="926" spans="10:24">
      <c r="J926" s="20" t="e">
        <f>VLOOKUP(G926,MD!M$2:O$93,3,FALSE)</f>
        <v>#N/A</v>
      </c>
      <c r="K926" s="29"/>
      <c r="P926" s="22"/>
      <c r="X926" s="22"/>
    </row>
    <row r="927" spans="10:24">
      <c r="J927" s="20" t="e">
        <f>VLOOKUP(G927,MD!M$2:O$93,3,FALSE)</f>
        <v>#N/A</v>
      </c>
      <c r="K927" s="29"/>
      <c r="P927" s="22"/>
      <c r="X927" s="22"/>
    </row>
    <row r="928" spans="10:24">
      <c r="J928" s="20" t="e">
        <f>VLOOKUP(G928,MD!M$2:O$93,3,FALSE)</f>
        <v>#N/A</v>
      </c>
      <c r="K928" s="29"/>
      <c r="P928" s="22"/>
      <c r="X928" s="22"/>
    </row>
    <row r="929" spans="10:24">
      <c r="J929" s="20" t="e">
        <f>VLOOKUP(G929,MD!M$2:O$93,3,FALSE)</f>
        <v>#N/A</v>
      </c>
      <c r="K929" s="29"/>
      <c r="P929" s="22"/>
      <c r="X929" s="22"/>
    </row>
    <row r="930" spans="10:24">
      <c r="J930" s="20" t="e">
        <f>VLOOKUP(G930,MD!M$2:O$93,3,FALSE)</f>
        <v>#N/A</v>
      </c>
      <c r="K930" s="29"/>
      <c r="P930" s="22"/>
      <c r="X930" s="22"/>
    </row>
    <row r="931" spans="10:24">
      <c r="J931" s="20" t="e">
        <f>VLOOKUP(G931,MD!M$2:O$93,3,FALSE)</f>
        <v>#N/A</v>
      </c>
      <c r="K931" s="29"/>
      <c r="P931" s="22"/>
      <c r="X931" s="22"/>
    </row>
    <row r="932" spans="10:24">
      <c r="J932" s="20" t="e">
        <f>VLOOKUP(G932,MD!M$2:O$93,3,FALSE)</f>
        <v>#N/A</v>
      </c>
      <c r="K932" s="29"/>
      <c r="P932" s="22"/>
      <c r="X932" s="22"/>
    </row>
    <row r="933" spans="10:24">
      <c r="J933" s="20" t="e">
        <f>VLOOKUP(G933,MD!M$2:O$93,3,FALSE)</f>
        <v>#N/A</v>
      </c>
      <c r="K933" s="29"/>
      <c r="P933" s="22"/>
      <c r="X933" s="22"/>
    </row>
    <row r="934" spans="10:24">
      <c r="J934" s="20" t="e">
        <f>VLOOKUP(G934,MD!M$2:O$93,3,FALSE)</f>
        <v>#N/A</v>
      </c>
      <c r="K934" s="29"/>
      <c r="P934" s="22"/>
      <c r="X934" s="22"/>
    </row>
    <row r="935" spans="10:24">
      <c r="J935" s="20" t="e">
        <f>VLOOKUP(G935,MD!M$2:O$93,3,FALSE)</f>
        <v>#N/A</v>
      </c>
      <c r="K935" s="29"/>
      <c r="P935" s="22"/>
      <c r="X935" s="22"/>
    </row>
    <row r="936" spans="10:24">
      <c r="J936" s="20" t="e">
        <f>VLOOKUP(G936,MD!M$2:O$93,3,FALSE)</f>
        <v>#N/A</v>
      </c>
      <c r="K936" s="29"/>
      <c r="P936" s="22"/>
      <c r="X936" s="22"/>
    </row>
    <row r="937" spans="10:24">
      <c r="J937" s="20" t="e">
        <f>VLOOKUP(G937,MD!M$2:O$93,3,FALSE)</f>
        <v>#N/A</v>
      </c>
      <c r="K937" s="29"/>
      <c r="P937" s="22"/>
      <c r="X937" s="22"/>
    </row>
    <row r="938" spans="10:24">
      <c r="J938" s="20" t="e">
        <f>VLOOKUP(G938,MD!M$2:O$93,3,FALSE)</f>
        <v>#N/A</v>
      </c>
      <c r="K938" s="29"/>
      <c r="P938" s="22"/>
      <c r="X938" s="22"/>
    </row>
    <row r="939" spans="10:24">
      <c r="J939" s="20" t="e">
        <f>VLOOKUP(G939,MD!M$2:O$93,3,FALSE)</f>
        <v>#N/A</v>
      </c>
      <c r="K939" s="29"/>
      <c r="P939" s="22"/>
      <c r="X939" s="22"/>
    </row>
    <row r="940" spans="10:24">
      <c r="J940" s="20" t="e">
        <f>VLOOKUP(G940,MD!M$2:O$93,3,FALSE)</f>
        <v>#N/A</v>
      </c>
      <c r="K940" s="29"/>
      <c r="P940" s="22"/>
      <c r="X940" s="22"/>
    </row>
    <row r="941" spans="10:24">
      <c r="J941" s="20" t="e">
        <f>VLOOKUP(G941,MD!M$2:O$93,3,FALSE)</f>
        <v>#N/A</v>
      </c>
      <c r="K941" s="29"/>
      <c r="P941" s="22"/>
      <c r="X941" s="22"/>
    </row>
    <row r="942" spans="10:24">
      <c r="J942" s="20" t="e">
        <f>VLOOKUP(G942,MD!M$2:O$93,3,FALSE)</f>
        <v>#N/A</v>
      </c>
      <c r="K942" s="29"/>
      <c r="P942" s="22"/>
      <c r="X942" s="22"/>
    </row>
    <row r="943" spans="10:24">
      <c r="J943" s="20" t="e">
        <f>VLOOKUP(G943,MD!M$2:O$93,3,FALSE)</f>
        <v>#N/A</v>
      </c>
      <c r="K943" s="29"/>
      <c r="P943" s="22"/>
      <c r="X943" s="22"/>
    </row>
    <row r="944" spans="10:24">
      <c r="J944" s="20" t="e">
        <f>VLOOKUP(G944,MD!M$2:O$93,3,FALSE)</f>
        <v>#N/A</v>
      </c>
      <c r="K944" s="29"/>
      <c r="P944" s="22"/>
      <c r="X944" s="22"/>
    </row>
    <row r="945" spans="10:24">
      <c r="J945" s="20" t="e">
        <f>VLOOKUP(G945,MD!M$2:O$93,3,FALSE)</f>
        <v>#N/A</v>
      </c>
      <c r="K945" s="29"/>
      <c r="P945" s="22"/>
      <c r="X945" s="22"/>
    </row>
    <row r="946" spans="10:24">
      <c r="J946" s="20" t="e">
        <f>VLOOKUP(G946,MD!M$2:O$93,3,FALSE)</f>
        <v>#N/A</v>
      </c>
      <c r="K946" s="29"/>
      <c r="P946" s="22"/>
      <c r="X946" s="22"/>
    </row>
    <row r="947" spans="10:24">
      <c r="J947" s="20" t="e">
        <f>VLOOKUP(G947,MD!M$2:O$93,3,FALSE)</f>
        <v>#N/A</v>
      </c>
      <c r="K947" s="29"/>
      <c r="P947" s="22"/>
      <c r="X947" s="22"/>
    </row>
    <row r="948" spans="10:24">
      <c r="J948" s="20" t="e">
        <f>VLOOKUP(G948,MD!M$2:O$93,3,FALSE)</f>
        <v>#N/A</v>
      </c>
      <c r="K948" s="29"/>
      <c r="P948" s="22"/>
      <c r="X948" s="22"/>
    </row>
    <row r="949" spans="10:24">
      <c r="J949" s="20" t="e">
        <f>VLOOKUP(G949,MD!M$2:O$93,3,FALSE)</f>
        <v>#N/A</v>
      </c>
      <c r="K949" s="29"/>
      <c r="P949" s="22"/>
      <c r="X949" s="22"/>
    </row>
    <row r="950" spans="10:24">
      <c r="J950" s="20" t="e">
        <f>VLOOKUP(G950,MD!M$2:O$93,3,FALSE)</f>
        <v>#N/A</v>
      </c>
      <c r="K950" s="29"/>
      <c r="P950" s="22"/>
      <c r="X950" s="22"/>
    </row>
    <row r="951" spans="10:24">
      <c r="J951" s="20" t="e">
        <f>VLOOKUP(G951,MD!M$2:O$93,3,FALSE)</f>
        <v>#N/A</v>
      </c>
      <c r="K951" s="29"/>
      <c r="P951" s="22"/>
      <c r="X951" s="22"/>
    </row>
    <row r="952" spans="10:24">
      <c r="J952" s="20" t="e">
        <f>VLOOKUP(G952,MD!M$2:O$93,3,FALSE)</f>
        <v>#N/A</v>
      </c>
      <c r="K952" s="29"/>
      <c r="P952" s="22"/>
      <c r="X952" s="22"/>
    </row>
    <row r="953" spans="10:24">
      <c r="J953" s="20" t="e">
        <f>VLOOKUP(G953,MD!M$2:O$93,3,FALSE)</f>
        <v>#N/A</v>
      </c>
      <c r="K953" s="29"/>
      <c r="P953" s="22"/>
      <c r="X953" s="22"/>
    </row>
    <row r="954" spans="10:24">
      <c r="J954" s="20" t="e">
        <f>VLOOKUP(G954,MD!M$2:O$93,3,FALSE)</f>
        <v>#N/A</v>
      </c>
      <c r="K954" s="29"/>
      <c r="P954" s="22"/>
      <c r="X954" s="22"/>
    </row>
    <row r="955" spans="10:24">
      <c r="J955" s="20" t="e">
        <f>VLOOKUP(G955,MD!M$2:O$93,3,FALSE)</f>
        <v>#N/A</v>
      </c>
      <c r="K955" s="29"/>
      <c r="P955" s="22"/>
      <c r="X955" s="22"/>
    </row>
    <row r="956" spans="10:24">
      <c r="J956" s="20" t="e">
        <f>VLOOKUP(G956,MD!M$2:O$93,3,FALSE)</f>
        <v>#N/A</v>
      </c>
      <c r="K956" s="29"/>
      <c r="P956" s="22"/>
      <c r="X956" s="22"/>
    </row>
    <row r="957" spans="10:24">
      <c r="J957" s="20" t="e">
        <f>VLOOKUP(G957,MD!M$2:O$93,3,FALSE)</f>
        <v>#N/A</v>
      </c>
      <c r="K957" s="29"/>
      <c r="P957" s="22"/>
      <c r="X957" s="22"/>
    </row>
    <row r="958" spans="10:24">
      <c r="J958" s="20" t="e">
        <f>VLOOKUP(G958,MD!M$2:O$93,3,FALSE)</f>
        <v>#N/A</v>
      </c>
      <c r="K958" s="29"/>
      <c r="P958" s="22"/>
      <c r="X958" s="22"/>
    </row>
    <row r="959" spans="10:24">
      <c r="J959" s="20" t="e">
        <f>VLOOKUP(G959,MD!M$2:O$93,3,FALSE)</f>
        <v>#N/A</v>
      </c>
      <c r="K959" s="29"/>
      <c r="P959" s="22"/>
      <c r="X959" s="22"/>
    </row>
    <row r="960" spans="10:24">
      <c r="J960" s="20" t="e">
        <f>VLOOKUP(G960,MD!M$2:O$93,3,FALSE)</f>
        <v>#N/A</v>
      </c>
      <c r="K960" s="29"/>
      <c r="P960" s="22"/>
      <c r="X960" s="22"/>
    </row>
    <row r="961" spans="10:24">
      <c r="J961" s="20" t="e">
        <f>VLOOKUP(G961,MD!M$2:O$93,3,FALSE)</f>
        <v>#N/A</v>
      </c>
      <c r="K961" s="29"/>
      <c r="P961" s="22"/>
      <c r="X961" s="22"/>
    </row>
    <row r="962" spans="10:24">
      <c r="J962" s="20" t="e">
        <f>VLOOKUP(G962,MD!M$2:O$93,3,FALSE)</f>
        <v>#N/A</v>
      </c>
      <c r="K962" s="29"/>
      <c r="P962" s="22"/>
      <c r="X962" s="22"/>
    </row>
    <row r="963" spans="10:24">
      <c r="J963" s="20" t="e">
        <f>VLOOKUP(G963,MD!M$2:O$93,3,FALSE)</f>
        <v>#N/A</v>
      </c>
      <c r="K963" s="29"/>
      <c r="P963" s="22"/>
      <c r="X963" s="22"/>
    </row>
    <row r="964" spans="10:24">
      <c r="J964" s="20" t="e">
        <f>VLOOKUP(G964,MD!M$2:O$93,3,FALSE)</f>
        <v>#N/A</v>
      </c>
      <c r="K964" s="29"/>
      <c r="P964" s="22"/>
      <c r="X964" s="22"/>
    </row>
    <row r="965" spans="10:24">
      <c r="J965" s="20" t="e">
        <f>VLOOKUP(G965,MD!M$2:O$93,3,FALSE)</f>
        <v>#N/A</v>
      </c>
      <c r="K965" s="29"/>
      <c r="P965" s="22"/>
      <c r="X965" s="22"/>
    </row>
    <row r="966" spans="10:24">
      <c r="J966" s="20" t="e">
        <f>VLOOKUP(G966,MD!M$2:O$93,3,FALSE)</f>
        <v>#N/A</v>
      </c>
      <c r="K966" s="29"/>
      <c r="P966" s="22"/>
      <c r="X966" s="22"/>
    </row>
    <row r="967" spans="10:24">
      <c r="J967" s="20" t="e">
        <f>VLOOKUP(G967,MD!M$2:O$93,3,FALSE)</f>
        <v>#N/A</v>
      </c>
      <c r="K967" s="29"/>
      <c r="P967" s="22"/>
      <c r="X967" s="22"/>
    </row>
    <row r="968" spans="10:24">
      <c r="J968" s="20" t="e">
        <f>VLOOKUP(G968,MD!M$2:O$93,3,FALSE)</f>
        <v>#N/A</v>
      </c>
      <c r="K968" s="29"/>
      <c r="P968" s="22"/>
      <c r="X968" s="22"/>
    </row>
    <row r="969" spans="10:24">
      <c r="J969" s="20" t="e">
        <f>VLOOKUP(G969,MD!M$2:O$93,3,FALSE)</f>
        <v>#N/A</v>
      </c>
      <c r="K969" s="29"/>
      <c r="P969" s="22"/>
      <c r="X969" s="22"/>
    </row>
    <row r="970" spans="10:24">
      <c r="J970" s="20" t="e">
        <f>VLOOKUP(G970,MD!M$2:O$93,3,FALSE)</f>
        <v>#N/A</v>
      </c>
      <c r="K970" s="29"/>
      <c r="P970" s="22"/>
      <c r="X970" s="22"/>
    </row>
    <row r="971" spans="10:24">
      <c r="J971" s="20" t="e">
        <f>VLOOKUP(G971,MD!M$2:O$93,3,FALSE)</f>
        <v>#N/A</v>
      </c>
      <c r="K971" s="29"/>
      <c r="P971" s="22"/>
      <c r="X971" s="22"/>
    </row>
    <row r="972" spans="10:24">
      <c r="J972" s="20" t="e">
        <f>VLOOKUP(G972,MD!M$2:O$93,3,FALSE)</f>
        <v>#N/A</v>
      </c>
      <c r="K972" s="29"/>
      <c r="P972" s="22"/>
      <c r="X972" s="22"/>
    </row>
    <row r="973" spans="10:24">
      <c r="J973" s="20" t="e">
        <f>VLOOKUP(G973,MD!M$2:O$93,3,FALSE)</f>
        <v>#N/A</v>
      </c>
      <c r="K973" s="29"/>
      <c r="P973" s="22"/>
      <c r="X973" s="22"/>
    </row>
    <row r="974" spans="10:24">
      <c r="J974" s="20" t="e">
        <f>VLOOKUP(G974,MD!M$2:O$93,3,FALSE)</f>
        <v>#N/A</v>
      </c>
      <c r="K974" s="29"/>
      <c r="P974" s="22"/>
      <c r="X974" s="22"/>
    </row>
    <row r="975" spans="10:24">
      <c r="J975" s="20" t="e">
        <f>VLOOKUP(G975,MD!M$2:O$93,3,FALSE)</f>
        <v>#N/A</v>
      </c>
      <c r="K975" s="29"/>
      <c r="P975" s="22"/>
      <c r="X975" s="22"/>
    </row>
    <row r="976" spans="10:24">
      <c r="J976" s="20" t="e">
        <f>VLOOKUP(G976,MD!M$2:O$93,3,FALSE)</f>
        <v>#N/A</v>
      </c>
      <c r="K976" s="29"/>
      <c r="P976" s="22"/>
      <c r="X976" s="22"/>
    </row>
    <row r="977" spans="10:24">
      <c r="J977" s="20" t="e">
        <f>VLOOKUP(G977,MD!M$2:O$93,3,FALSE)</f>
        <v>#N/A</v>
      </c>
      <c r="K977" s="29"/>
      <c r="P977" s="22"/>
      <c r="X977" s="22"/>
    </row>
    <row r="978" spans="10:24">
      <c r="J978" s="20" t="e">
        <f>VLOOKUP(G978,MD!M$2:O$93,3,FALSE)</f>
        <v>#N/A</v>
      </c>
      <c r="K978" s="29"/>
      <c r="P978" s="22"/>
      <c r="X978" s="22"/>
    </row>
    <row r="979" spans="10:24">
      <c r="J979" s="20" t="e">
        <f>VLOOKUP(G979,MD!M$2:O$93,3,FALSE)</f>
        <v>#N/A</v>
      </c>
      <c r="K979" s="29"/>
      <c r="P979" s="22"/>
      <c r="X979" s="22"/>
    </row>
    <row r="980" spans="10:24">
      <c r="J980" s="20" t="e">
        <f>VLOOKUP(G980,MD!M$2:O$93,3,FALSE)</f>
        <v>#N/A</v>
      </c>
      <c r="K980" s="29"/>
      <c r="P980" s="22"/>
      <c r="X980" s="22"/>
    </row>
    <row r="981" spans="10:24">
      <c r="J981" s="20" t="e">
        <f>VLOOKUP(G981,MD!M$2:O$93,3,FALSE)</f>
        <v>#N/A</v>
      </c>
      <c r="K981" s="29"/>
      <c r="P981" s="22"/>
      <c r="X981" s="22"/>
    </row>
    <row r="982" spans="10:24">
      <c r="J982" s="20" t="e">
        <f>VLOOKUP(G982,MD!M$2:O$93,3,FALSE)</f>
        <v>#N/A</v>
      </c>
      <c r="K982" s="29"/>
      <c r="P982" s="22"/>
      <c r="X982" s="22"/>
    </row>
    <row r="983" spans="10:24">
      <c r="J983" s="20" t="e">
        <f>VLOOKUP(G983,MD!M$2:O$93,3,FALSE)</f>
        <v>#N/A</v>
      </c>
      <c r="K983" s="29"/>
      <c r="P983" s="22"/>
      <c r="X983" s="22"/>
    </row>
    <row r="984" spans="10:24">
      <c r="J984" s="20" t="e">
        <f>VLOOKUP(G984,MD!M$2:O$93,3,FALSE)</f>
        <v>#N/A</v>
      </c>
      <c r="K984" s="29"/>
      <c r="P984" s="22"/>
      <c r="X984" s="22"/>
    </row>
    <row r="985" spans="10:24">
      <c r="J985" s="20" t="e">
        <f>VLOOKUP(G985,MD!M$2:O$93,3,FALSE)</f>
        <v>#N/A</v>
      </c>
      <c r="K985" s="29"/>
      <c r="P985" s="22"/>
      <c r="X985" s="22"/>
    </row>
    <row r="986" spans="10:24">
      <c r="J986" s="20" t="e">
        <f>VLOOKUP(G986,MD!M$2:O$93,3,FALSE)</f>
        <v>#N/A</v>
      </c>
      <c r="K986" s="29"/>
      <c r="P986" s="22"/>
      <c r="X986" s="22"/>
    </row>
    <row r="987" spans="10:24">
      <c r="J987" s="20" t="e">
        <f>VLOOKUP(G987,MD!M$2:O$93,3,FALSE)</f>
        <v>#N/A</v>
      </c>
      <c r="K987" s="29"/>
      <c r="P987" s="22"/>
      <c r="X987" s="22"/>
    </row>
    <row r="988" spans="10:24">
      <c r="J988" s="20" t="e">
        <f>VLOOKUP(G988,MD!M$2:O$93,3,FALSE)</f>
        <v>#N/A</v>
      </c>
      <c r="K988" s="29"/>
      <c r="P988" s="22"/>
      <c r="X988" s="22"/>
    </row>
    <row r="989" spans="10:24">
      <c r="J989" s="20" t="e">
        <f>VLOOKUP(G989,MD!M$2:O$93,3,FALSE)</f>
        <v>#N/A</v>
      </c>
      <c r="K989" s="29"/>
      <c r="P989" s="22"/>
      <c r="X989" s="22"/>
    </row>
    <row r="990" spans="10:24">
      <c r="J990" s="20" t="e">
        <f>VLOOKUP(G990,MD!M$2:O$93,3,FALSE)</f>
        <v>#N/A</v>
      </c>
      <c r="K990" s="29"/>
      <c r="P990" s="22"/>
      <c r="X990" s="22"/>
    </row>
    <row r="991" spans="10:24">
      <c r="J991" s="20" t="e">
        <f>VLOOKUP(G991,MD!M$2:O$93,3,FALSE)</f>
        <v>#N/A</v>
      </c>
      <c r="K991" s="29"/>
      <c r="P991" s="22"/>
      <c r="X991" s="22"/>
    </row>
    <row r="992" spans="10:24">
      <c r="J992" s="20" t="e">
        <f>VLOOKUP(G992,MD!M$2:O$93,3,FALSE)</f>
        <v>#N/A</v>
      </c>
      <c r="K992" s="29"/>
      <c r="P992" s="22"/>
      <c r="X992" s="22"/>
    </row>
    <row r="993" spans="10:24">
      <c r="J993" s="20" t="e">
        <f>VLOOKUP(G993,MD!M$2:O$93,3,FALSE)</f>
        <v>#N/A</v>
      </c>
      <c r="K993" s="29"/>
      <c r="P993" s="22"/>
      <c r="X993" s="22"/>
    </row>
    <row r="994" spans="10:24">
      <c r="J994" s="20" t="e">
        <f>VLOOKUP(G994,MD!M$2:O$93,3,FALSE)</f>
        <v>#N/A</v>
      </c>
      <c r="K994" s="29"/>
      <c r="P994" s="22"/>
      <c r="X994" s="22"/>
    </row>
    <row r="995" spans="10:24">
      <c r="J995" s="20" t="e">
        <f>VLOOKUP(G995,MD!M$2:O$93,3,FALSE)</f>
        <v>#N/A</v>
      </c>
      <c r="K995" s="29"/>
      <c r="P995" s="22"/>
      <c r="X995" s="22"/>
    </row>
    <row r="996" spans="10:24">
      <c r="J996" s="20" t="e">
        <f>VLOOKUP(G996,MD!M$2:O$93,3,FALSE)</f>
        <v>#N/A</v>
      </c>
      <c r="K996" s="29"/>
      <c r="P996" s="22"/>
      <c r="X996" s="22"/>
    </row>
    <row r="997" spans="10:24">
      <c r="J997" s="20" t="e">
        <f>VLOOKUP(G997,MD!M$2:O$93,3,FALSE)</f>
        <v>#N/A</v>
      </c>
      <c r="K997" s="29"/>
      <c r="P997" s="22"/>
      <c r="X997" s="22"/>
    </row>
    <row r="998" spans="10:24">
      <c r="J998" s="20" t="e">
        <f>VLOOKUP(G998,MD!M$2:O$93,3,FALSE)</f>
        <v>#N/A</v>
      </c>
      <c r="K998" s="29"/>
      <c r="P998" s="22"/>
      <c r="X998" s="22"/>
    </row>
    <row r="999" spans="10:24">
      <c r="J999" s="20" t="e">
        <f>VLOOKUP(G999,MD!M$2:O$93,3,FALSE)</f>
        <v>#N/A</v>
      </c>
      <c r="K999" s="29"/>
      <c r="P999" s="22"/>
      <c r="X999" s="22"/>
    </row>
    <row r="1000" spans="10:24">
      <c r="J1000" s="20" t="e">
        <f>VLOOKUP(G1000,MD!M$2:O$93,3,FALSE)</f>
        <v>#N/A</v>
      </c>
      <c r="K1000" s="29"/>
      <c r="P1000" s="22"/>
      <c r="X1000" s="22"/>
    </row>
    <row r="1001" spans="10:24">
      <c r="J1001" s="20" t="e">
        <f>VLOOKUP(G1001,MD!M$2:O$93,3,FALSE)</f>
        <v>#N/A</v>
      </c>
      <c r="K1001" s="29"/>
      <c r="P1001" s="22"/>
      <c r="X1001" s="22"/>
    </row>
    <row r="1002" spans="10:24">
      <c r="J1002" s="20" t="e">
        <f>VLOOKUP(G1002,MD!M$2:O$93,3,FALSE)</f>
        <v>#N/A</v>
      </c>
      <c r="K1002" s="29"/>
      <c r="P1002" s="22"/>
      <c r="X1002" s="22"/>
    </row>
    <row r="1003" spans="10:24">
      <c r="J1003" s="20" t="e">
        <f>VLOOKUP(G1003,MD!M$2:O$93,3,FALSE)</f>
        <v>#N/A</v>
      </c>
      <c r="K1003" s="29"/>
      <c r="P1003" s="22"/>
      <c r="X1003" s="22"/>
    </row>
    <row r="1004" spans="10:24">
      <c r="J1004" s="20" t="e">
        <f>VLOOKUP(G1004,MD!M$2:O$93,3,FALSE)</f>
        <v>#N/A</v>
      </c>
      <c r="K1004" s="29"/>
      <c r="P1004" s="22"/>
      <c r="X1004" s="22"/>
    </row>
    <row r="1005" spans="10:24">
      <c r="J1005" s="20" t="e">
        <f>VLOOKUP(G1005,MD!M$2:O$93,3,FALSE)</f>
        <v>#N/A</v>
      </c>
      <c r="K1005" s="29"/>
      <c r="P1005" s="22"/>
      <c r="X1005" s="22"/>
    </row>
    <row r="1006" spans="10:24">
      <c r="J1006" s="20" t="e">
        <f>VLOOKUP(G1006,MD!M$2:O$93,3,FALSE)</f>
        <v>#N/A</v>
      </c>
      <c r="K1006" s="29"/>
      <c r="P1006" s="22"/>
      <c r="X1006" s="22"/>
    </row>
    <row r="1007" spans="10:24">
      <c r="J1007" s="20" t="e">
        <f>VLOOKUP(G1007,MD!M$2:O$93,3,FALSE)</f>
        <v>#N/A</v>
      </c>
      <c r="K1007" s="29"/>
      <c r="P1007" s="22"/>
      <c r="X1007" s="22"/>
    </row>
    <row r="1008" spans="10:24">
      <c r="J1008" s="20" t="e">
        <f>VLOOKUP(G1008,MD!M$2:O$93,3,FALSE)</f>
        <v>#N/A</v>
      </c>
      <c r="K1008" s="29"/>
      <c r="P1008" s="22"/>
      <c r="X1008" s="22"/>
    </row>
    <row r="1009" spans="10:24">
      <c r="J1009" s="20" t="e">
        <f>VLOOKUP(G1009,MD!M$2:O$93,3,FALSE)</f>
        <v>#N/A</v>
      </c>
      <c r="K1009" s="29"/>
      <c r="P1009" s="22"/>
      <c r="X1009" s="22"/>
    </row>
    <row r="1010" spans="10:24">
      <c r="J1010" s="20" t="e">
        <f>VLOOKUP(G1010,MD!M$2:O$93,3,FALSE)</f>
        <v>#N/A</v>
      </c>
      <c r="K1010" s="29"/>
      <c r="P1010" s="22"/>
      <c r="X1010" s="22"/>
    </row>
    <row r="1011" spans="10:24">
      <c r="J1011" s="20" t="e">
        <f>VLOOKUP(G1011,MD!M$2:O$93,3,FALSE)</f>
        <v>#N/A</v>
      </c>
      <c r="K1011" s="29"/>
      <c r="P1011" s="22"/>
      <c r="X1011" s="22"/>
    </row>
    <row r="1012" spans="10:24">
      <c r="J1012" s="20" t="e">
        <f>VLOOKUP(G1012,MD!M$2:O$93,3,FALSE)</f>
        <v>#N/A</v>
      </c>
      <c r="K1012" s="29"/>
      <c r="P1012" s="22"/>
      <c r="X1012" s="22"/>
    </row>
    <row r="1013" spans="10:24">
      <c r="J1013" s="20" t="e">
        <f>VLOOKUP(G1013,MD!M$2:O$93,3,FALSE)</f>
        <v>#N/A</v>
      </c>
      <c r="K1013" s="29"/>
      <c r="P1013" s="22"/>
      <c r="X1013" s="22"/>
    </row>
    <row r="1014" spans="10:24">
      <c r="J1014" s="20" t="e">
        <f>VLOOKUP(G1014,MD!M$2:O$93,3,FALSE)</f>
        <v>#N/A</v>
      </c>
      <c r="K1014" s="29"/>
      <c r="P1014" s="22"/>
      <c r="X1014" s="22"/>
    </row>
  </sheetData>
  <autoFilter ref="A1:G1014"/>
  <dataValidations count="2">
    <dataValidation type="list" allowBlank="1" showInputMessage="1" showErrorMessage="1" sqref="F2:F1014">
      <formula1>Listes_des_grandes_opérations</formula1>
    </dataValidation>
    <dataValidation type="list" allowBlank="1" showInputMessage="1" showErrorMessage="1" sqref="G2:G1014">
      <formula1>INDIRECT($F2)</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Feuil4"/>
  <dimension ref="A1:AE1012"/>
  <sheetViews>
    <sheetView zoomScale="85" zoomScaleNormal="85" workbookViewId="0">
      <pane xSplit="5" ySplit="1" topLeftCell="F138" activePane="bottomRight" state="frozenSplit"/>
      <selection pane="topRight" activeCell="E1" sqref="E1"/>
      <selection pane="bottomLeft"/>
      <selection pane="bottomRight" activeCell="G145" sqref="G145"/>
    </sheetView>
  </sheetViews>
  <sheetFormatPr baseColWidth="10" defaultRowHeight="15"/>
  <cols>
    <col min="1" max="1" width="12.7109375" style="50" bestFit="1" customWidth="1"/>
    <col min="2" max="2" width="8.42578125" style="50" bestFit="1" customWidth="1"/>
    <col min="3" max="3" width="7.42578125" style="49" bestFit="1" customWidth="1"/>
    <col min="4" max="4" width="7.42578125" style="49" customWidth="1"/>
    <col min="5" max="5" width="17.42578125" style="47" bestFit="1" customWidth="1"/>
    <col min="6" max="6" width="16.42578125" style="18" bestFit="1" customWidth="1"/>
    <col min="7" max="7" width="46" style="18" customWidth="1"/>
    <col min="8" max="8" width="33.7109375" style="27" bestFit="1" customWidth="1"/>
    <col min="9" max="9" width="11.42578125" style="24"/>
    <col min="10" max="10" width="11.42578125" style="21"/>
    <col min="11" max="11" width="13.28515625" style="30" bestFit="1" customWidth="1"/>
    <col min="12" max="12" width="99.7109375" style="27" bestFit="1" customWidth="1"/>
    <col min="13" max="13" width="21.42578125" style="25" customWidth="1"/>
    <col min="14" max="14" width="12.5703125" style="25" bestFit="1" customWidth="1"/>
    <col min="15" max="15" width="13.5703125" style="25" customWidth="1"/>
    <col min="16" max="18" width="11.42578125" style="44"/>
    <col min="19" max="19" width="13.28515625" style="44" bestFit="1" customWidth="1"/>
    <col min="20" max="23" width="11.42578125" style="25"/>
    <col min="24" max="26" width="11.42578125" style="44"/>
    <col min="27" max="27" width="13.28515625" style="44" bestFit="1" customWidth="1"/>
    <col min="28" max="31" width="11.42578125" style="25"/>
  </cols>
  <sheetData>
    <row r="1" spans="1:31" s="1" customFormat="1">
      <c r="A1" s="45" t="s">
        <v>126</v>
      </c>
      <c r="B1" s="45" t="s">
        <v>0</v>
      </c>
      <c r="C1" s="46" t="s">
        <v>3</v>
      </c>
      <c r="D1" s="69" t="s">
        <v>198</v>
      </c>
      <c r="E1" s="45" t="s">
        <v>125</v>
      </c>
      <c r="F1" s="17" t="s">
        <v>1</v>
      </c>
      <c r="G1" s="17" t="s">
        <v>4</v>
      </c>
      <c r="H1" s="26" t="s">
        <v>96</v>
      </c>
      <c r="I1" s="23" t="s">
        <v>5</v>
      </c>
      <c r="J1" s="19" t="s">
        <v>6</v>
      </c>
      <c r="K1" s="28" t="s">
        <v>7</v>
      </c>
      <c r="L1" s="26" t="s">
        <v>127</v>
      </c>
      <c r="M1" s="79" t="s">
        <v>260</v>
      </c>
      <c r="N1" s="79" t="s">
        <v>381</v>
      </c>
      <c r="O1" s="79" t="s">
        <v>365</v>
      </c>
      <c r="P1" s="16" t="s">
        <v>9</v>
      </c>
      <c r="Q1" s="16" t="s">
        <v>10</v>
      </c>
      <c r="R1" s="16" t="s">
        <v>11</v>
      </c>
      <c r="S1" s="16" t="s">
        <v>8</v>
      </c>
      <c r="T1" s="23" t="s">
        <v>14</v>
      </c>
      <c r="U1" s="23" t="s">
        <v>15</v>
      </c>
      <c r="V1" s="23" t="s">
        <v>16</v>
      </c>
      <c r="W1" s="23" t="s">
        <v>12</v>
      </c>
      <c r="X1" s="16" t="s">
        <v>18</v>
      </c>
      <c r="Y1" s="16" t="s">
        <v>19</v>
      </c>
      <c r="Z1" s="16" t="s">
        <v>20</v>
      </c>
      <c r="AA1" s="16" t="s">
        <v>13</v>
      </c>
      <c r="AB1" s="23" t="s">
        <v>21</v>
      </c>
      <c r="AC1" s="23" t="s">
        <v>22</v>
      </c>
      <c r="AD1" s="23" t="s">
        <v>23</v>
      </c>
      <c r="AE1" s="23" t="s">
        <v>17</v>
      </c>
    </row>
    <row r="2" spans="1:31" s="5" customFormat="1">
      <c r="A2" s="47" t="s">
        <v>121</v>
      </c>
      <c r="B2" s="47" t="s">
        <v>122</v>
      </c>
      <c r="C2" s="48">
        <v>43014</v>
      </c>
      <c r="D2" s="64">
        <v>40</v>
      </c>
      <c r="E2" s="47" t="s">
        <v>123</v>
      </c>
      <c r="F2" s="18" t="s">
        <v>83</v>
      </c>
      <c r="G2" s="18" t="s">
        <v>63</v>
      </c>
      <c r="H2" s="27"/>
      <c r="I2" s="24">
        <v>1</v>
      </c>
      <c r="J2" s="20" t="str">
        <f>VLOOKUP(G2,MD!M$2:O$93,3,FALSE)</f>
        <v>ha</v>
      </c>
      <c r="K2" s="29">
        <v>1</v>
      </c>
      <c r="L2" s="27"/>
      <c r="M2" s="25"/>
      <c r="N2" s="25"/>
      <c r="O2" s="25"/>
      <c r="P2" s="22"/>
      <c r="Q2" s="22"/>
      <c r="R2" s="22"/>
      <c r="S2" s="22"/>
      <c r="T2" s="24"/>
      <c r="U2" s="24"/>
      <c r="V2" s="24"/>
      <c r="W2" s="24"/>
      <c r="X2" s="22"/>
      <c r="Y2" s="22"/>
      <c r="Z2" s="22"/>
      <c r="AA2" s="22"/>
      <c r="AB2" s="24"/>
      <c r="AC2" s="24"/>
      <c r="AD2" s="24"/>
      <c r="AE2" s="24"/>
    </row>
    <row r="3" spans="1:31">
      <c r="A3" s="47" t="s">
        <v>121</v>
      </c>
      <c r="B3" s="47" t="s">
        <v>122</v>
      </c>
      <c r="C3" s="48">
        <v>43014</v>
      </c>
      <c r="D3" s="64">
        <v>40</v>
      </c>
      <c r="E3" s="47" t="s">
        <v>123</v>
      </c>
      <c r="F3" s="18" t="s">
        <v>84</v>
      </c>
      <c r="G3" s="18" t="s">
        <v>76</v>
      </c>
      <c r="I3" s="24">
        <v>1</v>
      </c>
      <c r="J3" s="20" t="str">
        <f>VLOOKUP(G3,MD!M$2:O$93,3,FALSE)</f>
        <v>ha</v>
      </c>
      <c r="K3" s="29">
        <v>1</v>
      </c>
      <c r="P3" s="22"/>
      <c r="X3" s="22"/>
    </row>
    <row r="4" spans="1:31">
      <c r="A4" s="47" t="s">
        <v>121</v>
      </c>
      <c r="B4" s="47" t="s">
        <v>122</v>
      </c>
      <c r="C4" s="48">
        <v>43014</v>
      </c>
      <c r="D4" s="64">
        <v>40</v>
      </c>
      <c r="E4" s="47" t="s">
        <v>123</v>
      </c>
      <c r="F4" s="18" t="s">
        <v>87</v>
      </c>
      <c r="G4" s="18" t="s">
        <v>93</v>
      </c>
      <c r="H4" s="27" t="s">
        <v>131</v>
      </c>
      <c r="I4" s="24">
        <v>220</v>
      </c>
      <c r="J4" s="20" t="str">
        <f>VLOOKUP(G4,MD!M$2:O$93,3,FALSE)</f>
        <v>gr./m2</v>
      </c>
      <c r="K4" s="29">
        <v>1</v>
      </c>
      <c r="P4" s="22"/>
      <c r="X4" s="22"/>
    </row>
    <row r="5" spans="1:31" s="59" customFormat="1">
      <c r="A5" s="47" t="s">
        <v>121</v>
      </c>
      <c r="B5" s="47" t="s">
        <v>122</v>
      </c>
      <c r="C5" s="48">
        <v>43014</v>
      </c>
      <c r="D5" s="64">
        <v>40</v>
      </c>
      <c r="E5" s="47" t="s">
        <v>123</v>
      </c>
      <c r="F5" s="18" t="s">
        <v>89</v>
      </c>
      <c r="G5" s="18" t="s">
        <v>133</v>
      </c>
      <c r="H5" s="27" t="s">
        <v>97</v>
      </c>
      <c r="I5" s="24"/>
      <c r="J5" s="20" t="s">
        <v>114</v>
      </c>
      <c r="K5" s="29">
        <v>1</v>
      </c>
      <c r="L5" s="27" t="s">
        <v>675</v>
      </c>
      <c r="M5" s="25" t="s">
        <v>263</v>
      </c>
      <c r="N5" s="25">
        <v>86</v>
      </c>
      <c r="O5" s="25" t="s">
        <v>358</v>
      </c>
      <c r="P5" s="22"/>
      <c r="Q5" s="44"/>
      <c r="R5" s="44"/>
      <c r="S5" s="44"/>
      <c r="T5" s="25"/>
      <c r="U5" s="25"/>
      <c r="V5" s="25"/>
      <c r="W5" s="25"/>
      <c r="X5" s="22"/>
      <c r="Y5" s="44"/>
      <c r="Z5" s="44"/>
      <c r="AA5" s="44"/>
      <c r="AB5" s="25"/>
      <c r="AC5" s="25"/>
      <c r="AD5" s="25"/>
      <c r="AE5" s="25"/>
    </row>
    <row r="6" spans="1:31">
      <c r="A6" s="47" t="s">
        <v>121</v>
      </c>
      <c r="B6" s="47" t="s">
        <v>122</v>
      </c>
      <c r="C6" s="48">
        <v>43039</v>
      </c>
      <c r="D6" s="64">
        <v>44</v>
      </c>
      <c r="E6" s="47" t="s">
        <v>121</v>
      </c>
      <c r="F6" s="18" t="s">
        <v>86</v>
      </c>
      <c r="G6" s="18" t="s">
        <v>64</v>
      </c>
      <c r="I6" s="57">
        <v>1</v>
      </c>
      <c r="J6" s="20" t="str">
        <f>VLOOKUP(G6,MD!M$2:O$93,3,FALSE)</f>
        <v>ha</v>
      </c>
      <c r="K6" s="29">
        <v>1</v>
      </c>
      <c r="P6" s="22"/>
      <c r="X6" s="22"/>
    </row>
    <row r="7" spans="1:31" s="59" customFormat="1">
      <c r="A7" s="47" t="s">
        <v>121</v>
      </c>
      <c r="B7" s="47" t="s">
        <v>122</v>
      </c>
      <c r="C7" s="48">
        <v>43039</v>
      </c>
      <c r="D7" s="64">
        <v>44</v>
      </c>
      <c r="E7" s="47" t="s">
        <v>121</v>
      </c>
      <c r="F7" s="18" t="s">
        <v>89</v>
      </c>
      <c r="G7" s="18" t="s">
        <v>113</v>
      </c>
      <c r="H7" s="27" t="s">
        <v>746</v>
      </c>
      <c r="I7" s="57">
        <f>4/4.5</f>
        <v>0.88888888888888884</v>
      </c>
      <c r="J7" s="20" t="str">
        <f>VLOOKUP(G7,MD!M$2:O$93,3,FALSE)</f>
        <v>Dose hom.</v>
      </c>
      <c r="K7" s="29">
        <v>1</v>
      </c>
      <c r="L7" s="27" t="s">
        <v>161</v>
      </c>
      <c r="M7" s="25" t="s">
        <v>402</v>
      </c>
      <c r="N7" s="25">
        <f>4*400</f>
        <v>1600</v>
      </c>
      <c r="O7" s="25" t="s">
        <v>358</v>
      </c>
      <c r="P7" s="22"/>
      <c r="Q7" s="44"/>
      <c r="R7" s="44"/>
      <c r="S7" s="44"/>
      <c r="T7" s="25"/>
      <c r="U7" s="25"/>
      <c r="V7" s="25"/>
      <c r="W7" s="25"/>
      <c r="X7" s="22"/>
      <c r="Y7" s="44"/>
      <c r="Z7" s="44"/>
      <c r="AA7" s="44"/>
      <c r="AB7" s="25"/>
      <c r="AC7" s="25"/>
      <c r="AD7" s="25"/>
      <c r="AE7" s="25"/>
    </row>
    <row r="8" spans="1:31" s="59" customFormat="1">
      <c r="A8" s="47" t="s">
        <v>121</v>
      </c>
      <c r="B8" s="47" t="s">
        <v>122</v>
      </c>
      <c r="C8" s="48">
        <v>43039</v>
      </c>
      <c r="D8" s="64">
        <v>44</v>
      </c>
      <c r="E8" s="47" t="s">
        <v>121</v>
      </c>
      <c r="F8" s="18" t="s">
        <v>89</v>
      </c>
      <c r="G8" s="18" t="s">
        <v>113</v>
      </c>
      <c r="H8" s="27" t="s">
        <v>747</v>
      </c>
      <c r="I8" s="57">
        <f>4/4.5</f>
        <v>0.88888888888888884</v>
      </c>
      <c r="J8" s="20" t="str">
        <f>VLOOKUP(G8,MD!M$2:O$93,3,FALSE)</f>
        <v>Dose hom.</v>
      </c>
      <c r="K8" s="29">
        <v>1</v>
      </c>
      <c r="L8" s="27" t="s">
        <v>161</v>
      </c>
      <c r="M8" s="25" t="s">
        <v>751</v>
      </c>
      <c r="N8" s="25">
        <f>4*25</f>
        <v>100</v>
      </c>
      <c r="O8" s="25" t="s">
        <v>358</v>
      </c>
      <c r="P8" s="22"/>
      <c r="Q8" s="44"/>
      <c r="R8" s="44"/>
      <c r="S8" s="44"/>
      <c r="T8" s="25"/>
      <c r="U8" s="25"/>
      <c r="V8" s="25"/>
      <c r="W8" s="25"/>
      <c r="X8" s="22"/>
      <c r="Y8" s="44"/>
      <c r="Z8" s="44"/>
      <c r="AA8" s="44"/>
      <c r="AB8" s="25"/>
      <c r="AC8" s="25"/>
      <c r="AD8" s="25"/>
      <c r="AE8" s="25"/>
    </row>
    <row r="9" spans="1:31">
      <c r="A9" s="47" t="s">
        <v>121</v>
      </c>
      <c r="B9" s="47" t="s">
        <v>122</v>
      </c>
      <c r="C9" s="48">
        <v>43173</v>
      </c>
      <c r="D9" s="64">
        <v>11</v>
      </c>
      <c r="E9" s="47" t="s">
        <v>121</v>
      </c>
      <c r="F9" s="18" t="s">
        <v>85</v>
      </c>
      <c r="G9" s="18" t="s">
        <v>67</v>
      </c>
      <c r="I9" s="24">
        <v>1</v>
      </c>
      <c r="J9" s="20" t="str">
        <f>VLOOKUP(G9,MD!M$2:O$93,3,FALSE)</f>
        <v>ha</v>
      </c>
      <c r="K9" s="29">
        <v>0.96</v>
      </c>
      <c r="P9" s="22"/>
      <c r="X9" s="22"/>
    </row>
    <row r="10" spans="1:31">
      <c r="A10" s="47" t="s">
        <v>121</v>
      </c>
      <c r="B10" s="47" t="s">
        <v>122</v>
      </c>
      <c r="C10" s="48">
        <v>43173</v>
      </c>
      <c r="D10" s="64">
        <v>11</v>
      </c>
      <c r="E10" s="47" t="s">
        <v>121</v>
      </c>
      <c r="F10" s="18" t="s">
        <v>88</v>
      </c>
      <c r="G10" s="18" t="s">
        <v>190</v>
      </c>
      <c r="H10" s="27" t="s">
        <v>195</v>
      </c>
      <c r="I10" s="24">
        <v>87</v>
      </c>
      <c r="J10" s="20" t="str">
        <f>VLOOKUP(G10,MD!M$2:O$93,3,FALSE)</f>
        <v>l/ha</v>
      </c>
      <c r="K10" s="29">
        <v>0.96</v>
      </c>
      <c r="L10" s="27" t="s">
        <v>183</v>
      </c>
      <c r="P10" s="22"/>
      <c r="X10" s="22"/>
    </row>
    <row r="11" spans="1:31">
      <c r="A11" s="47" t="s">
        <v>121</v>
      </c>
      <c r="B11" s="47" t="s">
        <v>122</v>
      </c>
      <c r="C11" s="48">
        <v>43186</v>
      </c>
      <c r="D11" s="64">
        <v>13</v>
      </c>
      <c r="E11" s="47" t="s">
        <v>121</v>
      </c>
      <c r="F11" s="18" t="s">
        <v>85</v>
      </c>
      <c r="G11" s="18" t="s">
        <v>67</v>
      </c>
      <c r="I11" s="24">
        <v>1</v>
      </c>
      <c r="J11" s="20" t="str">
        <f>VLOOKUP(G11,MD!M$2:O$93,3,FALSE)</f>
        <v>ha</v>
      </c>
      <c r="K11" s="29">
        <v>0.96</v>
      </c>
      <c r="P11" s="22"/>
      <c r="X11" s="22"/>
    </row>
    <row r="12" spans="1:31">
      <c r="A12" s="47" t="s">
        <v>121</v>
      </c>
      <c r="B12" s="47" t="s">
        <v>122</v>
      </c>
      <c r="C12" s="48">
        <v>43186</v>
      </c>
      <c r="D12" s="64">
        <v>13</v>
      </c>
      <c r="E12" s="47" t="s">
        <v>121</v>
      </c>
      <c r="F12" s="18" t="s">
        <v>88</v>
      </c>
      <c r="G12" s="18" t="s">
        <v>192</v>
      </c>
      <c r="H12" s="27" t="s">
        <v>209</v>
      </c>
      <c r="I12" s="24">
        <v>150</v>
      </c>
      <c r="J12" s="20" t="str">
        <f>VLOOKUP(G12,MD!M$2:O$93,3,FALSE)</f>
        <v>l/ha</v>
      </c>
      <c r="K12" s="29">
        <v>0.96</v>
      </c>
      <c r="L12" s="27" t="s">
        <v>210</v>
      </c>
      <c r="P12" s="22"/>
      <c r="X12" s="22"/>
    </row>
    <row r="13" spans="1:31" s="59" customFormat="1">
      <c r="A13" s="47" t="s">
        <v>121</v>
      </c>
      <c r="B13" s="47" t="s">
        <v>122</v>
      </c>
      <c r="C13" s="48">
        <v>43203</v>
      </c>
      <c r="D13" s="64">
        <v>15</v>
      </c>
      <c r="E13" s="47" t="s">
        <v>121</v>
      </c>
      <c r="F13" s="18" t="s">
        <v>85</v>
      </c>
      <c r="G13" s="18" t="s">
        <v>67</v>
      </c>
      <c r="H13" s="27"/>
      <c r="I13" s="24">
        <v>1</v>
      </c>
      <c r="J13" s="20" t="str">
        <f>VLOOKUP(G13,MD!M$2:O$93,3,FALSE)</f>
        <v>ha</v>
      </c>
      <c r="K13" s="29">
        <v>0.96</v>
      </c>
      <c r="L13" s="27"/>
      <c r="M13" s="25"/>
      <c r="N13" s="25"/>
      <c r="O13" s="25"/>
      <c r="P13" s="22"/>
      <c r="Q13" s="44"/>
      <c r="R13" s="44"/>
      <c r="S13" s="44"/>
      <c r="T13" s="25"/>
      <c r="U13" s="25"/>
      <c r="V13" s="25"/>
      <c r="W13" s="25"/>
      <c r="X13" s="22"/>
      <c r="Y13" s="44"/>
      <c r="Z13" s="44"/>
      <c r="AA13" s="44"/>
      <c r="AB13" s="25"/>
      <c r="AC13" s="25"/>
      <c r="AD13" s="25"/>
      <c r="AE13" s="25"/>
    </row>
    <row r="14" spans="1:31" s="59" customFormat="1">
      <c r="A14" s="47" t="s">
        <v>121</v>
      </c>
      <c r="B14" s="47" t="s">
        <v>122</v>
      </c>
      <c r="C14" s="48">
        <v>43203</v>
      </c>
      <c r="D14" s="64">
        <v>15</v>
      </c>
      <c r="E14" s="47" t="s">
        <v>121</v>
      </c>
      <c r="F14" s="18" t="s">
        <v>88</v>
      </c>
      <c r="G14" s="18" t="s">
        <v>191</v>
      </c>
      <c r="H14" s="27" t="s">
        <v>280</v>
      </c>
      <c r="I14" s="24">
        <v>110</v>
      </c>
      <c r="J14" s="20" t="str">
        <f>VLOOKUP(G14,MD!M$2:O$93,3,FALSE)</f>
        <v>l/ha</v>
      </c>
      <c r="K14" s="29">
        <v>0.96</v>
      </c>
      <c r="L14" s="27"/>
      <c r="M14" s="25"/>
      <c r="N14" s="25"/>
      <c r="O14" s="25"/>
      <c r="P14" s="22"/>
      <c r="Q14" s="44"/>
      <c r="R14" s="44"/>
      <c r="S14" s="44"/>
      <c r="T14" s="25"/>
      <c r="U14" s="25"/>
      <c r="V14" s="25"/>
      <c r="W14" s="25"/>
      <c r="X14" s="22"/>
      <c r="Y14" s="44"/>
      <c r="Z14" s="44"/>
      <c r="AA14" s="44"/>
      <c r="AB14" s="25"/>
      <c r="AC14" s="25"/>
      <c r="AD14" s="25"/>
      <c r="AE14" s="25"/>
    </row>
    <row r="15" spans="1:31">
      <c r="A15" s="47" t="s">
        <v>121</v>
      </c>
      <c r="B15" s="47" t="s">
        <v>122</v>
      </c>
      <c r="C15" s="48">
        <v>43207</v>
      </c>
      <c r="D15" s="64">
        <v>16</v>
      </c>
      <c r="E15" s="47" t="s">
        <v>121</v>
      </c>
      <c r="F15" s="18" t="s">
        <v>86</v>
      </c>
      <c r="G15" s="18" t="s">
        <v>64</v>
      </c>
      <c r="I15" s="24">
        <v>1</v>
      </c>
      <c r="J15" s="20" t="str">
        <f>VLOOKUP(G15,MD!M$2:O$93,3,FALSE)</f>
        <v>ha</v>
      </c>
      <c r="K15" s="29">
        <v>1</v>
      </c>
      <c r="P15" s="22"/>
      <c r="X15" s="22"/>
    </row>
    <row r="16" spans="1:31" s="59" customFormat="1">
      <c r="A16" s="47" t="s">
        <v>121</v>
      </c>
      <c r="B16" s="47" t="s">
        <v>122</v>
      </c>
      <c r="C16" s="48">
        <v>43207</v>
      </c>
      <c r="D16" s="64">
        <v>16</v>
      </c>
      <c r="E16" s="47" t="s">
        <v>121</v>
      </c>
      <c r="F16" s="18" t="s">
        <v>89</v>
      </c>
      <c r="G16" s="18" t="s">
        <v>112</v>
      </c>
      <c r="H16" s="27" t="s">
        <v>752</v>
      </c>
      <c r="I16" s="24">
        <f>1.33/2</f>
        <v>0.66500000000000004</v>
      </c>
      <c r="J16" s="20" t="str">
        <f>VLOOKUP(G16,MD!M$2:O$93,3,FALSE)</f>
        <v>Dose hom.</v>
      </c>
      <c r="K16" s="29">
        <v>1</v>
      </c>
      <c r="L16" s="27" t="s">
        <v>756</v>
      </c>
      <c r="M16" s="25" t="s">
        <v>754</v>
      </c>
      <c r="N16" s="103">
        <f>1.33*62.5</f>
        <v>83.125</v>
      </c>
      <c r="O16" s="25" t="s">
        <v>358</v>
      </c>
      <c r="P16" s="22"/>
      <c r="Q16" s="44"/>
      <c r="R16" s="44"/>
      <c r="S16" s="44"/>
      <c r="T16" s="25"/>
      <c r="U16" s="25"/>
      <c r="V16" s="25"/>
      <c r="W16" s="25"/>
      <c r="X16" s="22"/>
      <c r="Y16" s="44"/>
      <c r="Z16" s="44"/>
      <c r="AA16" s="44"/>
      <c r="AB16" s="25"/>
      <c r="AC16" s="25"/>
      <c r="AD16" s="25"/>
      <c r="AE16" s="25"/>
    </row>
    <row r="17" spans="1:31" s="59" customFormat="1">
      <c r="A17" s="47" t="s">
        <v>121</v>
      </c>
      <c r="B17" s="47" t="s">
        <v>122</v>
      </c>
      <c r="C17" s="48">
        <v>43207</v>
      </c>
      <c r="D17" s="64">
        <v>16</v>
      </c>
      <c r="E17" s="47" t="s">
        <v>121</v>
      </c>
      <c r="F17" s="18" t="s">
        <v>89</v>
      </c>
      <c r="G17" s="18" t="s">
        <v>112</v>
      </c>
      <c r="H17" s="27" t="s">
        <v>752</v>
      </c>
      <c r="I17" s="24">
        <f>1.33/2</f>
        <v>0.66500000000000004</v>
      </c>
      <c r="J17" s="20" t="str">
        <f>VLOOKUP(G17,MD!M$2:O$93,3,FALSE)</f>
        <v>Dose hom.</v>
      </c>
      <c r="K17" s="29">
        <v>1</v>
      </c>
      <c r="L17" s="27" t="s">
        <v>757</v>
      </c>
      <c r="M17" s="25" t="s">
        <v>755</v>
      </c>
      <c r="N17" s="103">
        <f>1.33*50</f>
        <v>66.5</v>
      </c>
      <c r="O17" s="25" t="s">
        <v>358</v>
      </c>
      <c r="P17" s="22"/>
      <c r="Q17" s="44"/>
      <c r="R17" s="44"/>
      <c r="S17" s="44"/>
      <c r="T17" s="25"/>
      <c r="U17" s="25"/>
      <c r="V17" s="25"/>
      <c r="W17" s="25"/>
      <c r="X17" s="22"/>
      <c r="Y17" s="44"/>
      <c r="Z17" s="44"/>
      <c r="AA17" s="44"/>
      <c r="AB17" s="25"/>
      <c r="AC17" s="25"/>
      <c r="AD17" s="25"/>
      <c r="AE17" s="25"/>
    </row>
    <row r="18" spans="1:31" s="59" customFormat="1">
      <c r="A18" s="47" t="s">
        <v>121</v>
      </c>
      <c r="B18" s="47" t="s">
        <v>122</v>
      </c>
      <c r="C18" s="48">
        <v>43207</v>
      </c>
      <c r="D18" s="64">
        <v>16</v>
      </c>
      <c r="E18" s="47" t="s">
        <v>121</v>
      </c>
      <c r="F18" s="18" t="s">
        <v>89</v>
      </c>
      <c r="G18" s="18" t="s">
        <v>112</v>
      </c>
      <c r="H18" s="27" t="s">
        <v>752</v>
      </c>
      <c r="I18" s="24">
        <f>1.33/2</f>
        <v>0.66500000000000004</v>
      </c>
      <c r="J18" s="20" t="str">
        <f>VLOOKUP(G18,MD!M$2:O$93,3,FALSE)</f>
        <v>Dose hom.</v>
      </c>
      <c r="K18" s="29">
        <v>1</v>
      </c>
      <c r="L18" s="27" t="s">
        <v>758</v>
      </c>
      <c r="M18" s="25" t="s">
        <v>474</v>
      </c>
      <c r="N18" s="103">
        <f>1.33*375</f>
        <v>498.75</v>
      </c>
      <c r="O18" s="25" t="s">
        <v>358</v>
      </c>
      <c r="P18" s="22"/>
      <c r="Q18" s="44"/>
      <c r="R18" s="44"/>
      <c r="S18" s="44"/>
      <c r="T18" s="25"/>
      <c r="U18" s="25"/>
      <c r="V18" s="25"/>
      <c r="W18" s="25"/>
      <c r="X18" s="22"/>
      <c r="Y18" s="44"/>
      <c r="Z18" s="44"/>
      <c r="AA18" s="44"/>
      <c r="AB18" s="25"/>
      <c r="AC18" s="25"/>
      <c r="AD18" s="25"/>
      <c r="AE18" s="25"/>
    </row>
    <row r="19" spans="1:31" s="59" customFormat="1">
      <c r="A19" s="47" t="s">
        <v>121</v>
      </c>
      <c r="B19" s="47" t="s">
        <v>122</v>
      </c>
      <c r="C19" s="48">
        <v>43207</v>
      </c>
      <c r="D19" s="64">
        <v>16</v>
      </c>
      <c r="E19" s="47" t="s">
        <v>121</v>
      </c>
      <c r="F19" s="18" t="s">
        <v>89</v>
      </c>
      <c r="G19" s="18" t="s">
        <v>112</v>
      </c>
      <c r="H19" s="27" t="s">
        <v>753</v>
      </c>
      <c r="I19" s="24"/>
      <c r="J19" s="20" t="str">
        <f>VLOOKUP(G19,MD!M$2:O$93,3,FALSE)</f>
        <v>Dose hom.</v>
      </c>
      <c r="K19" s="29">
        <v>1</v>
      </c>
      <c r="L19" s="27" t="s">
        <v>760</v>
      </c>
      <c r="M19" s="25" t="s">
        <v>759</v>
      </c>
      <c r="N19" s="103">
        <f>0.35*50</f>
        <v>17.5</v>
      </c>
      <c r="O19" s="25" t="s">
        <v>358</v>
      </c>
      <c r="P19" s="22"/>
      <c r="Q19" s="44"/>
      <c r="R19" s="44"/>
      <c r="S19" s="44"/>
      <c r="T19" s="25"/>
      <c r="U19" s="25"/>
      <c r="V19" s="25"/>
      <c r="W19" s="25"/>
      <c r="X19" s="22"/>
      <c r="Y19" s="44"/>
      <c r="Z19" s="44"/>
      <c r="AA19" s="44"/>
      <c r="AB19" s="25"/>
      <c r="AC19" s="25"/>
      <c r="AD19" s="25"/>
      <c r="AE19" s="25"/>
    </row>
    <row r="20" spans="1:31" s="59" customFormat="1">
      <c r="A20" s="47" t="s">
        <v>121</v>
      </c>
      <c r="B20" s="47" t="s">
        <v>122</v>
      </c>
      <c r="C20" s="48">
        <v>43207</v>
      </c>
      <c r="D20" s="64">
        <v>16</v>
      </c>
      <c r="E20" s="47" t="s">
        <v>121</v>
      </c>
      <c r="F20" s="18" t="s">
        <v>89</v>
      </c>
      <c r="G20" s="18" t="s">
        <v>112</v>
      </c>
      <c r="H20" s="27" t="s">
        <v>753</v>
      </c>
      <c r="I20" s="24"/>
      <c r="J20" s="20" t="str">
        <f>VLOOKUP(G20,MD!M$2:O$93,3,FALSE)</f>
        <v>Dose hom.</v>
      </c>
      <c r="K20" s="29">
        <v>1</v>
      </c>
      <c r="L20" s="27" t="s">
        <v>761</v>
      </c>
      <c r="M20" s="25" t="s">
        <v>469</v>
      </c>
      <c r="N20" s="103">
        <f>0.35*75</f>
        <v>26.25</v>
      </c>
      <c r="O20" s="25" t="s">
        <v>358</v>
      </c>
      <c r="P20" s="22"/>
      <c r="Q20" s="44"/>
      <c r="R20" s="44"/>
      <c r="S20" s="44"/>
      <c r="T20" s="25"/>
      <c r="U20" s="25"/>
      <c r="V20" s="25"/>
      <c r="W20" s="25"/>
      <c r="X20" s="22"/>
      <c r="Y20" s="44"/>
      <c r="Z20" s="44"/>
      <c r="AA20" s="44"/>
      <c r="AB20" s="25"/>
      <c r="AC20" s="25"/>
      <c r="AD20" s="25"/>
      <c r="AE20" s="25"/>
    </row>
    <row r="21" spans="1:31">
      <c r="A21" s="47" t="s">
        <v>121</v>
      </c>
      <c r="B21" s="47" t="s">
        <v>122</v>
      </c>
      <c r="C21" s="48">
        <v>43231</v>
      </c>
      <c r="D21" s="64">
        <v>19</v>
      </c>
      <c r="E21" s="47" t="s">
        <v>121</v>
      </c>
      <c r="F21" s="18" t="s">
        <v>86</v>
      </c>
      <c r="G21" s="18" t="s">
        <v>64</v>
      </c>
      <c r="I21" s="24">
        <v>1</v>
      </c>
      <c r="J21" s="20" t="str">
        <f>VLOOKUP(G21,MD!M$2:O$93,3,FALSE)</f>
        <v>ha</v>
      </c>
      <c r="K21" s="29">
        <v>1</v>
      </c>
      <c r="P21" s="22"/>
      <c r="X21" s="22"/>
    </row>
    <row r="22" spans="1:31" s="59" customFormat="1">
      <c r="A22" s="47" t="s">
        <v>121</v>
      </c>
      <c r="B22" s="47" t="s">
        <v>122</v>
      </c>
      <c r="C22" s="48">
        <v>43231</v>
      </c>
      <c r="D22" s="64">
        <v>19</v>
      </c>
      <c r="E22" s="47" t="s">
        <v>121</v>
      </c>
      <c r="F22" s="18" t="s">
        <v>89</v>
      </c>
      <c r="G22" s="18" t="s">
        <v>112</v>
      </c>
      <c r="H22" s="27" t="s">
        <v>762</v>
      </c>
      <c r="I22" s="24"/>
      <c r="J22" s="20" t="str">
        <f>VLOOKUP(G22,MD!M$2:O$93,3,FALSE)</f>
        <v>Dose hom.</v>
      </c>
      <c r="K22" s="29">
        <v>1</v>
      </c>
      <c r="L22" s="27" t="s">
        <v>764</v>
      </c>
      <c r="M22" s="25" t="s">
        <v>471</v>
      </c>
      <c r="N22" s="103">
        <f>0.5*75</f>
        <v>37.5</v>
      </c>
      <c r="O22" s="25" t="s">
        <v>358</v>
      </c>
      <c r="P22" s="22"/>
      <c r="Q22" s="44"/>
      <c r="R22" s="44"/>
      <c r="S22" s="44"/>
      <c r="T22" s="25"/>
      <c r="U22" s="25"/>
      <c r="V22" s="25"/>
      <c r="W22" s="25"/>
      <c r="X22" s="22"/>
      <c r="Y22" s="44"/>
      <c r="Z22" s="44"/>
      <c r="AA22" s="44"/>
      <c r="AB22" s="25"/>
      <c r="AC22" s="25"/>
      <c r="AD22" s="25"/>
      <c r="AE22" s="25"/>
    </row>
    <row r="23" spans="1:31" s="59" customFormat="1">
      <c r="A23" s="47" t="s">
        <v>121</v>
      </c>
      <c r="B23" s="47" t="s">
        <v>122</v>
      </c>
      <c r="C23" s="48">
        <v>43231</v>
      </c>
      <c r="D23" s="64">
        <v>19</v>
      </c>
      <c r="E23" s="47" t="s">
        <v>121</v>
      </c>
      <c r="F23" s="18" t="s">
        <v>89</v>
      </c>
      <c r="G23" s="18" t="s">
        <v>112</v>
      </c>
      <c r="H23" s="27" t="s">
        <v>763</v>
      </c>
      <c r="I23" s="24"/>
      <c r="J23" s="20" t="str">
        <f>VLOOKUP(G23,MD!M$2:O$93,3,FALSE)</f>
        <v>Dose hom.</v>
      </c>
      <c r="K23" s="29">
        <v>1</v>
      </c>
      <c r="L23" s="27" t="s">
        <v>765</v>
      </c>
      <c r="M23" s="25" t="s">
        <v>754</v>
      </c>
      <c r="N23" s="25">
        <f>0.5*150</f>
        <v>75</v>
      </c>
      <c r="O23" s="25" t="s">
        <v>358</v>
      </c>
      <c r="P23" s="22"/>
      <c r="Q23" s="44"/>
      <c r="R23" s="44"/>
      <c r="S23" s="44"/>
      <c r="T23" s="25"/>
      <c r="U23" s="25"/>
      <c r="V23" s="25"/>
      <c r="W23" s="25"/>
      <c r="X23" s="22"/>
      <c r="Y23" s="44"/>
      <c r="Z23" s="44"/>
      <c r="AA23" s="44"/>
      <c r="AB23" s="25"/>
      <c r="AC23" s="25"/>
      <c r="AD23" s="25"/>
      <c r="AE23" s="25"/>
    </row>
    <row r="24" spans="1:31" s="59" customFormat="1">
      <c r="A24" s="47" t="s">
        <v>121</v>
      </c>
      <c r="B24" s="47" t="s">
        <v>122</v>
      </c>
      <c r="C24" s="48">
        <v>43231</v>
      </c>
      <c r="D24" s="64">
        <v>19</v>
      </c>
      <c r="E24" s="47" t="s">
        <v>121</v>
      </c>
      <c r="F24" s="18" t="s">
        <v>89</v>
      </c>
      <c r="G24" s="18" t="s">
        <v>112</v>
      </c>
      <c r="H24" s="27" t="s">
        <v>766</v>
      </c>
      <c r="I24" s="24"/>
      <c r="J24" s="20" t="str">
        <f>VLOOKUP(G24,MD!M$2:O$93,3,FALSE)</f>
        <v>Dose hom.</v>
      </c>
      <c r="K24" s="29">
        <v>1</v>
      </c>
      <c r="L24" s="27" t="s">
        <v>767</v>
      </c>
      <c r="M24" s="25" t="s">
        <v>548</v>
      </c>
      <c r="N24" s="25">
        <f>0.5*90</f>
        <v>45</v>
      </c>
      <c r="O24" s="25" t="s">
        <v>358</v>
      </c>
      <c r="P24" s="22"/>
      <c r="Q24" s="44"/>
      <c r="R24" s="44"/>
      <c r="S24" s="44"/>
      <c r="T24" s="25"/>
      <c r="U24" s="25"/>
      <c r="V24" s="25"/>
      <c r="W24" s="25"/>
      <c r="X24" s="22"/>
      <c r="Y24" s="44"/>
      <c r="Z24" s="44"/>
      <c r="AA24" s="44"/>
      <c r="AB24" s="25"/>
      <c r="AC24" s="25"/>
      <c r="AD24" s="25"/>
      <c r="AE24" s="25"/>
    </row>
    <row r="25" spans="1:31" s="59" customFormat="1">
      <c r="A25" s="47" t="s">
        <v>121</v>
      </c>
      <c r="B25" s="47" t="s">
        <v>122</v>
      </c>
      <c r="C25" s="48">
        <v>43231</v>
      </c>
      <c r="D25" s="64">
        <v>19</v>
      </c>
      <c r="E25" s="47" t="s">
        <v>121</v>
      </c>
      <c r="F25" s="18" t="s">
        <v>86</v>
      </c>
      <c r="G25" s="18" t="s">
        <v>64</v>
      </c>
      <c r="H25" s="27"/>
      <c r="I25" s="24">
        <v>0.2</v>
      </c>
      <c r="J25" s="20" t="str">
        <f>VLOOKUP(G25,MD!M$2:O$93,3,FALSE)</f>
        <v>ha</v>
      </c>
      <c r="K25" s="29">
        <f>0.2/1</f>
        <v>0.2</v>
      </c>
      <c r="L25" s="27"/>
      <c r="M25" s="25"/>
      <c r="N25" s="25"/>
      <c r="O25" s="25"/>
      <c r="P25" s="22"/>
      <c r="Q25" s="44"/>
      <c r="R25" s="44"/>
      <c r="S25" s="44"/>
      <c r="T25" s="25"/>
      <c r="U25" s="25"/>
      <c r="V25" s="25"/>
      <c r="W25" s="25"/>
      <c r="X25" s="22"/>
      <c r="Y25" s="44"/>
      <c r="Z25" s="44"/>
      <c r="AA25" s="44"/>
      <c r="AB25" s="25"/>
      <c r="AC25" s="25"/>
      <c r="AD25" s="25"/>
      <c r="AE25" s="25"/>
    </row>
    <row r="26" spans="1:31" s="59" customFormat="1">
      <c r="A26" s="47" t="s">
        <v>121</v>
      </c>
      <c r="B26" s="47" t="s">
        <v>122</v>
      </c>
      <c r="C26" s="48">
        <v>43231</v>
      </c>
      <c r="D26" s="64">
        <v>19</v>
      </c>
      <c r="E26" s="47" t="s">
        <v>121</v>
      </c>
      <c r="F26" s="18" t="s">
        <v>89</v>
      </c>
      <c r="G26" s="18" t="s">
        <v>112</v>
      </c>
      <c r="H26" s="27" t="s">
        <v>265</v>
      </c>
      <c r="I26" s="24"/>
      <c r="J26" s="20" t="str">
        <f>VLOOKUP(G26,MD!M$2:O$93,3,FALSE)</f>
        <v>Dose hom.</v>
      </c>
      <c r="K26" s="29">
        <f>0.2/1</f>
        <v>0.2</v>
      </c>
      <c r="L26" s="27" t="s">
        <v>253</v>
      </c>
      <c r="M26" s="25" t="s">
        <v>264</v>
      </c>
      <c r="N26" s="25"/>
      <c r="O26" s="25"/>
      <c r="P26" s="22"/>
      <c r="Q26" s="44"/>
      <c r="R26" s="44"/>
      <c r="S26" s="44"/>
      <c r="T26" s="25"/>
      <c r="U26" s="25"/>
      <c r="V26" s="25"/>
      <c r="W26" s="25"/>
      <c r="X26" s="22"/>
      <c r="Y26" s="44"/>
      <c r="Z26" s="44"/>
      <c r="AA26" s="44"/>
      <c r="AB26" s="25"/>
      <c r="AC26" s="25"/>
      <c r="AD26" s="25"/>
      <c r="AE26" s="25"/>
    </row>
    <row r="27" spans="1:31" s="59" customFormat="1">
      <c r="A27" s="47" t="s">
        <v>121</v>
      </c>
      <c r="B27" s="47" t="s">
        <v>122</v>
      </c>
      <c r="C27" s="48">
        <v>43232</v>
      </c>
      <c r="D27" s="64">
        <v>19</v>
      </c>
      <c r="E27" s="47" t="s">
        <v>121</v>
      </c>
      <c r="F27" s="18" t="s">
        <v>85</v>
      </c>
      <c r="G27" s="18" t="s">
        <v>67</v>
      </c>
      <c r="H27" s="27"/>
      <c r="I27" s="24">
        <v>1</v>
      </c>
      <c r="J27" s="20" t="str">
        <f>VLOOKUP(G27,MD!M$2:O$93,3,FALSE)</f>
        <v>ha</v>
      </c>
      <c r="K27" s="29">
        <v>0.96</v>
      </c>
      <c r="L27" s="27"/>
      <c r="M27" s="25"/>
      <c r="N27" s="25"/>
      <c r="O27" s="25"/>
      <c r="P27" s="22"/>
      <c r="Q27" s="44"/>
      <c r="R27" s="44"/>
      <c r="S27" s="44"/>
      <c r="T27" s="25"/>
      <c r="U27" s="25"/>
      <c r="V27" s="25"/>
      <c r="W27" s="25"/>
      <c r="X27" s="22"/>
      <c r="Y27" s="44"/>
      <c r="Z27" s="44"/>
      <c r="AA27" s="44"/>
      <c r="AB27" s="25"/>
      <c r="AC27" s="25"/>
      <c r="AD27" s="25"/>
      <c r="AE27" s="25"/>
    </row>
    <row r="28" spans="1:31" s="59" customFormat="1">
      <c r="A28" s="47" t="s">
        <v>121</v>
      </c>
      <c r="B28" s="47" t="s">
        <v>122</v>
      </c>
      <c r="C28" s="48">
        <v>43232</v>
      </c>
      <c r="D28" s="64">
        <v>19</v>
      </c>
      <c r="E28" s="47" t="s">
        <v>121</v>
      </c>
      <c r="F28" s="18" t="s">
        <v>88</v>
      </c>
      <c r="G28" s="18" t="s">
        <v>191</v>
      </c>
      <c r="H28" s="27" t="s">
        <v>281</v>
      </c>
      <c r="I28" s="24">
        <v>95</v>
      </c>
      <c r="J28" s="20" t="str">
        <f>VLOOKUP(G28,MD!M$2:O$93,3,FALSE)</f>
        <v>l/ha</v>
      </c>
      <c r="K28" s="29">
        <v>0.96</v>
      </c>
      <c r="L28" s="27" t="s">
        <v>254</v>
      </c>
      <c r="M28" s="25"/>
      <c r="N28" s="25"/>
      <c r="O28" s="25"/>
      <c r="P28" s="22"/>
      <c r="Q28" s="44"/>
      <c r="R28" s="44"/>
      <c r="S28" s="44"/>
      <c r="T28" s="25"/>
      <c r="U28" s="25"/>
      <c r="V28" s="25"/>
      <c r="W28" s="25"/>
      <c r="X28" s="22"/>
      <c r="Y28" s="44"/>
      <c r="Z28" s="44"/>
      <c r="AA28" s="44"/>
      <c r="AB28" s="25"/>
      <c r="AC28" s="25"/>
      <c r="AD28" s="25"/>
      <c r="AE28" s="25"/>
    </row>
    <row r="29" spans="1:31">
      <c r="A29" s="47" t="s">
        <v>121</v>
      </c>
      <c r="B29" s="47" t="s">
        <v>122</v>
      </c>
      <c r="C29" s="48">
        <v>43247</v>
      </c>
      <c r="D29" s="64">
        <v>21</v>
      </c>
      <c r="E29" s="47" t="s">
        <v>121</v>
      </c>
      <c r="F29" s="18" t="s">
        <v>86</v>
      </c>
      <c r="G29" s="18" t="s">
        <v>64</v>
      </c>
      <c r="I29" s="24">
        <v>1</v>
      </c>
      <c r="J29" s="20" t="str">
        <f>VLOOKUP(G29,MD!M$2:O$93,3,FALSE)</f>
        <v>ha</v>
      </c>
      <c r="K29" s="29">
        <v>1</v>
      </c>
      <c r="P29" s="22"/>
      <c r="X29" s="22"/>
    </row>
    <row r="30" spans="1:31" s="59" customFormat="1">
      <c r="A30" s="47" t="s">
        <v>121</v>
      </c>
      <c r="B30" s="47" t="s">
        <v>122</v>
      </c>
      <c r="C30" s="48">
        <v>43247</v>
      </c>
      <c r="D30" s="64">
        <v>21</v>
      </c>
      <c r="E30" s="47" t="s">
        <v>121</v>
      </c>
      <c r="F30" s="18" t="s">
        <v>89</v>
      </c>
      <c r="G30" s="18" t="s">
        <v>112</v>
      </c>
      <c r="H30" s="27" t="s">
        <v>773</v>
      </c>
      <c r="I30" s="24">
        <v>115</v>
      </c>
      <c r="J30" s="20" t="str">
        <f>VLOOKUP(G30,MD!M$2:O$93,3,FALSE)</f>
        <v>Dose hom.</v>
      </c>
      <c r="K30" s="29">
        <v>1</v>
      </c>
      <c r="L30" s="27" t="s">
        <v>775</v>
      </c>
      <c r="M30" s="25" t="s">
        <v>367</v>
      </c>
      <c r="N30" s="25">
        <f>0.6*160</f>
        <v>96</v>
      </c>
      <c r="O30" s="25" t="s">
        <v>358</v>
      </c>
      <c r="P30" s="22"/>
      <c r="Q30" s="44"/>
      <c r="R30" s="44"/>
      <c r="S30" s="44"/>
      <c r="T30" s="25"/>
      <c r="U30" s="25"/>
      <c r="V30" s="25"/>
      <c r="W30" s="25"/>
      <c r="X30" s="22"/>
      <c r="Y30" s="44"/>
      <c r="Z30" s="44"/>
      <c r="AA30" s="44"/>
      <c r="AB30" s="25"/>
      <c r="AC30" s="25"/>
      <c r="AD30" s="25"/>
      <c r="AE30" s="25"/>
    </row>
    <row r="31" spans="1:31" s="59" customFormat="1">
      <c r="A31" s="47" t="s">
        <v>121</v>
      </c>
      <c r="B31" s="47" t="s">
        <v>122</v>
      </c>
      <c r="C31" s="48">
        <v>43247</v>
      </c>
      <c r="D31" s="64">
        <v>21</v>
      </c>
      <c r="E31" s="47" t="s">
        <v>121</v>
      </c>
      <c r="F31" s="18" t="s">
        <v>89</v>
      </c>
      <c r="G31" s="18" t="s">
        <v>112</v>
      </c>
      <c r="H31" s="27" t="s">
        <v>773</v>
      </c>
      <c r="I31" s="24">
        <v>115</v>
      </c>
      <c r="J31" s="20" t="str">
        <f>VLOOKUP(G31,MD!M$2:O$93,3,FALSE)</f>
        <v>Dose hom.</v>
      </c>
      <c r="K31" s="29">
        <v>1</v>
      </c>
      <c r="L31" s="27" t="s">
        <v>774</v>
      </c>
      <c r="M31" s="25" t="s">
        <v>371</v>
      </c>
      <c r="N31" s="25">
        <f>0.6*80</f>
        <v>48</v>
      </c>
      <c r="O31" s="25" t="s">
        <v>358</v>
      </c>
      <c r="P31" s="22"/>
      <c r="Q31" s="44"/>
      <c r="R31" s="44"/>
      <c r="S31" s="44"/>
      <c r="T31" s="25"/>
      <c r="U31" s="25"/>
      <c r="V31" s="25"/>
      <c r="W31" s="25"/>
      <c r="X31" s="22"/>
      <c r="Y31" s="44"/>
      <c r="Z31" s="44"/>
      <c r="AA31" s="44"/>
      <c r="AB31" s="25"/>
      <c r="AC31" s="25"/>
      <c r="AD31" s="25"/>
      <c r="AE31" s="25"/>
    </row>
    <row r="32" spans="1:31" s="59" customFormat="1">
      <c r="A32" s="47" t="s">
        <v>121</v>
      </c>
      <c r="B32" s="47" t="s">
        <v>122</v>
      </c>
      <c r="C32" s="48">
        <v>43247</v>
      </c>
      <c r="D32" s="64">
        <v>21</v>
      </c>
      <c r="E32" s="47" t="s">
        <v>121</v>
      </c>
      <c r="F32" s="18" t="s">
        <v>89</v>
      </c>
      <c r="G32" s="18" t="s">
        <v>112</v>
      </c>
      <c r="H32" s="27" t="s">
        <v>772</v>
      </c>
      <c r="I32" s="24">
        <v>115</v>
      </c>
      <c r="J32" s="20" t="str">
        <f>VLOOKUP(G32,MD!M$2:O$93,3,FALSE)</f>
        <v>Dose hom.</v>
      </c>
      <c r="K32" s="29">
        <v>1</v>
      </c>
      <c r="L32" s="27" t="s">
        <v>777</v>
      </c>
      <c r="M32" s="25" t="s">
        <v>776</v>
      </c>
      <c r="N32" s="103">
        <f>0.115*845</f>
        <v>97.174999999999997</v>
      </c>
      <c r="O32" s="25" t="s">
        <v>358</v>
      </c>
      <c r="P32" s="22"/>
      <c r="Q32" s="44"/>
      <c r="R32" s="44"/>
      <c r="S32" s="44"/>
      <c r="T32" s="25"/>
      <c r="U32" s="25"/>
      <c r="V32" s="25"/>
      <c r="W32" s="25"/>
      <c r="X32" s="22"/>
      <c r="Y32" s="44"/>
      <c r="Z32" s="44"/>
      <c r="AA32" s="44"/>
      <c r="AB32" s="25"/>
      <c r="AC32" s="25"/>
      <c r="AD32" s="25"/>
      <c r="AE32" s="25"/>
    </row>
    <row r="33" spans="1:31" s="59" customFormat="1">
      <c r="A33" s="47" t="s">
        <v>121</v>
      </c>
      <c r="B33" s="47" t="s">
        <v>122</v>
      </c>
      <c r="C33" s="48">
        <v>43294</v>
      </c>
      <c r="D33" s="64">
        <v>28</v>
      </c>
      <c r="E33" s="47" t="s">
        <v>121</v>
      </c>
      <c r="F33" s="18" t="s">
        <v>86</v>
      </c>
      <c r="G33" s="18" t="s">
        <v>55</v>
      </c>
      <c r="H33" s="27"/>
      <c r="I33" s="24">
        <v>1</v>
      </c>
      <c r="J33" s="20" t="str">
        <f>VLOOKUP(G33,MD!M$2:O$93,3,FALSE)</f>
        <v>ha</v>
      </c>
      <c r="K33" s="29">
        <v>1</v>
      </c>
      <c r="L33" s="27"/>
      <c r="M33" s="25"/>
      <c r="N33" s="25"/>
      <c r="O33" s="25"/>
      <c r="P33" s="22"/>
      <c r="Q33" s="44"/>
      <c r="R33" s="44"/>
      <c r="S33" s="44"/>
      <c r="T33" s="25"/>
      <c r="U33" s="25"/>
      <c r="V33" s="25"/>
      <c r="W33" s="25"/>
      <c r="X33" s="22"/>
      <c r="Y33" s="44"/>
      <c r="Z33" s="44"/>
      <c r="AA33" s="44"/>
      <c r="AB33" s="25"/>
      <c r="AC33" s="25"/>
      <c r="AD33" s="25"/>
      <c r="AE33" s="25"/>
    </row>
    <row r="34" spans="1:31" s="59" customFormat="1">
      <c r="A34" s="47" t="s">
        <v>121</v>
      </c>
      <c r="B34" s="47" t="s">
        <v>122</v>
      </c>
      <c r="C34" s="48">
        <v>43294</v>
      </c>
      <c r="D34" s="64">
        <v>28</v>
      </c>
      <c r="E34" s="47" t="s">
        <v>121</v>
      </c>
      <c r="F34" s="18" t="s">
        <v>2</v>
      </c>
      <c r="G34" s="18" t="s">
        <v>115</v>
      </c>
      <c r="H34" s="27" t="s">
        <v>285</v>
      </c>
      <c r="I34" s="24">
        <v>107</v>
      </c>
      <c r="J34" s="20" t="str">
        <f>VLOOKUP(G34,MD!M$2:O$93,3,FALSE)</f>
        <v>Qtx/ha</v>
      </c>
      <c r="K34" s="29">
        <v>1</v>
      </c>
      <c r="L34" s="27" t="s">
        <v>288</v>
      </c>
      <c r="M34" s="25"/>
      <c r="N34" s="25"/>
      <c r="O34" s="25"/>
      <c r="P34" s="22"/>
      <c r="Q34" s="44"/>
      <c r="R34" s="44"/>
      <c r="S34" s="44"/>
      <c r="T34" s="25"/>
      <c r="U34" s="25"/>
      <c r="V34" s="25"/>
      <c r="W34" s="25"/>
      <c r="X34" s="22"/>
      <c r="Y34" s="44"/>
      <c r="Z34" s="44"/>
      <c r="AA34" s="44"/>
      <c r="AB34" s="25"/>
      <c r="AC34" s="25"/>
      <c r="AD34" s="25"/>
      <c r="AE34" s="25"/>
    </row>
    <row r="35" spans="1:31" s="59" customFormat="1">
      <c r="A35" s="47" t="s">
        <v>303</v>
      </c>
      <c r="B35" s="47" t="s">
        <v>270</v>
      </c>
      <c r="C35" s="48">
        <v>43322</v>
      </c>
      <c r="D35" s="64">
        <v>32</v>
      </c>
      <c r="E35" s="47" t="s">
        <v>123</v>
      </c>
      <c r="F35" s="18" t="s">
        <v>83</v>
      </c>
      <c r="G35" s="18" t="s">
        <v>37</v>
      </c>
      <c r="H35" s="27"/>
      <c r="I35" s="24">
        <v>1</v>
      </c>
      <c r="J35" s="20" t="str">
        <f>VLOOKUP(G35,MD!M$2:O$93,3,FALSE)</f>
        <v>ha</v>
      </c>
      <c r="K35" s="29">
        <v>1</v>
      </c>
      <c r="L35" s="27"/>
      <c r="M35" s="25"/>
      <c r="N35" s="25"/>
      <c r="O35" s="25"/>
      <c r="P35" s="22"/>
      <c r="Q35" s="44"/>
      <c r="R35" s="44"/>
      <c r="S35" s="44"/>
      <c r="T35" s="25"/>
      <c r="U35" s="25"/>
      <c r="V35" s="25"/>
      <c r="W35" s="25"/>
      <c r="X35" s="22"/>
      <c r="Y35" s="44"/>
      <c r="Z35" s="44"/>
      <c r="AA35" s="44"/>
      <c r="AB35" s="25"/>
      <c r="AC35" s="25"/>
      <c r="AD35" s="25"/>
      <c r="AE35" s="25"/>
    </row>
    <row r="36" spans="1:31">
      <c r="A36" s="47" t="s">
        <v>303</v>
      </c>
      <c r="B36" s="47" t="s">
        <v>270</v>
      </c>
      <c r="C36" s="48">
        <v>43343</v>
      </c>
      <c r="D36" s="64">
        <v>35</v>
      </c>
      <c r="E36" s="47" t="s">
        <v>123</v>
      </c>
      <c r="F36" s="18" t="s">
        <v>84</v>
      </c>
      <c r="G36" s="18" t="s">
        <v>76</v>
      </c>
      <c r="I36" s="24">
        <v>1</v>
      </c>
      <c r="J36" s="20" t="str">
        <f>VLOOKUP(G36,MD!M$2:O$93,3,FALSE)</f>
        <v>ha</v>
      </c>
      <c r="K36" s="29">
        <v>1</v>
      </c>
      <c r="P36" s="22"/>
      <c r="X36" s="22"/>
    </row>
    <row r="37" spans="1:31">
      <c r="A37" s="47" t="s">
        <v>303</v>
      </c>
      <c r="B37" s="47" t="s">
        <v>270</v>
      </c>
      <c r="C37" s="48">
        <v>43343</v>
      </c>
      <c r="D37" s="64">
        <v>35</v>
      </c>
      <c r="E37" s="47" t="s">
        <v>123</v>
      </c>
      <c r="F37" s="18" t="s">
        <v>87</v>
      </c>
      <c r="G37" s="18" t="s">
        <v>94</v>
      </c>
      <c r="H37" s="27" t="s">
        <v>272</v>
      </c>
      <c r="I37" s="24">
        <v>8</v>
      </c>
      <c r="J37" s="95" t="s">
        <v>106</v>
      </c>
      <c r="K37" s="29">
        <v>1</v>
      </c>
      <c r="P37" s="22"/>
      <c r="X37" s="22"/>
    </row>
    <row r="38" spans="1:31">
      <c r="A38" s="47" t="s">
        <v>303</v>
      </c>
      <c r="B38" s="47" t="s">
        <v>270</v>
      </c>
      <c r="C38" s="48">
        <v>43343</v>
      </c>
      <c r="D38" s="64">
        <v>35</v>
      </c>
      <c r="E38" s="47" t="s">
        <v>123</v>
      </c>
      <c r="F38" s="18" t="s">
        <v>87</v>
      </c>
      <c r="G38" s="18" t="s">
        <v>94</v>
      </c>
      <c r="H38" s="27" t="s">
        <v>274</v>
      </c>
      <c r="I38" s="24">
        <v>3</v>
      </c>
      <c r="J38" s="95" t="s">
        <v>106</v>
      </c>
      <c r="K38" s="29">
        <v>1</v>
      </c>
      <c r="P38" s="22"/>
      <c r="X38" s="22"/>
    </row>
    <row r="39" spans="1:31" s="59" customFormat="1">
      <c r="A39" s="47" t="s">
        <v>303</v>
      </c>
      <c r="B39" s="47" t="s">
        <v>270</v>
      </c>
      <c r="C39" s="48">
        <v>43343</v>
      </c>
      <c r="D39" s="64">
        <f t="shared" ref="D39:D61" si="0">WEEKNUM(C39)</f>
        <v>35</v>
      </c>
      <c r="E39" s="47" t="s">
        <v>123</v>
      </c>
      <c r="F39" s="18" t="s">
        <v>83</v>
      </c>
      <c r="G39" s="18" t="s">
        <v>60</v>
      </c>
      <c r="H39" s="27"/>
      <c r="I39" s="24">
        <v>1</v>
      </c>
      <c r="J39" s="20" t="str">
        <f>VLOOKUP(G39,MD!M$2:O$93,3,FALSE)</f>
        <v>ha</v>
      </c>
      <c r="K39" s="29">
        <v>1</v>
      </c>
      <c r="L39" s="27"/>
      <c r="M39" s="25"/>
      <c r="N39" s="25"/>
      <c r="O39" s="25"/>
      <c r="P39" s="22"/>
      <c r="Q39" s="44"/>
      <c r="R39" s="44"/>
      <c r="S39" s="44"/>
      <c r="T39" s="25"/>
      <c r="U39" s="25"/>
      <c r="V39" s="25"/>
      <c r="W39" s="25"/>
      <c r="X39" s="22"/>
      <c r="Y39" s="44"/>
      <c r="Z39" s="44"/>
      <c r="AA39" s="44"/>
      <c r="AB39" s="25"/>
      <c r="AC39" s="25"/>
      <c r="AD39" s="25"/>
      <c r="AE39" s="25"/>
    </row>
    <row r="40" spans="1:31" s="59" customFormat="1">
      <c r="A40" s="47" t="s">
        <v>303</v>
      </c>
      <c r="B40" s="47" t="s">
        <v>270</v>
      </c>
      <c r="C40" s="48">
        <v>43516</v>
      </c>
      <c r="D40" s="64">
        <f t="shared" si="0"/>
        <v>8</v>
      </c>
      <c r="E40" s="47" t="s">
        <v>317</v>
      </c>
      <c r="F40" s="18" t="s">
        <v>83</v>
      </c>
      <c r="G40" s="18" t="s">
        <v>26</v>
      </c>
      <c r="H40" s="27"/>
      <c r="I40" s="24">
        <v>1</v>
      </c>
      <c r="J40" s="20" t="str">
        <f>VLOOKUP(G40,MD!M$2:O$93,3,FALSE)</f>
        <v>ha</v>
      </c>
      <c r="K40" s="29">
        <v>1</v>
      </c>
      <c r="L40" s="27" t="s">
        <v>407</v>
      </c>
      <c r="M40" s="25"/>
      <c r="N40" s="25"/>
      <c r="O40" s="25"/>
      <c r="P40" s="22"/>
      <c r="Q40" s="44"/>
      <c r="R40" s="44"/>
      <c r="S40" s="44"/>
      <c r="T40" s="25"/>
      <c r="U40" s="25"/>
      <c r="V40" s="25"/>
      <c r="W40" s="25"/>
      <c r="X40" s="22"/>
      <c r="Y40" s="44"/>
      <c r="Z40" s="44"/>
      <c r="AA40" s="44"/>
      <c r="AB40" s="25"/>
      <c r="AC40" s="25"/>
      <c r="AD40" s="25"/>
      <c r="AE40" s="25"/>
    </row>
    <row r="41" spans="1:31" s="59" customFormat="1">
      <c r="A41" s="47" t="s">
        <v>303</v>
      </c>
      <c r="B41" s="47" t="s">
        <v>270</v>
      </c>
      <c r="C41" s="48">
        <v>43517</v>
      </c>
      <c r="D41" s="64">
        <f t="shared" si="0"/>
        <v>8</v>
      </c>
      <c r="E41" s="47" t="s">
        <v>123</v>
      </c>
      <c r="F41" s="18" t="s">
        <v>86</v>
      </c>
      <c r="G41" s="18" t="s">
        <v>64</v>
      </c>
      <c r="H41" s="27"/>
      <c r="I41" s="24">
        <v>1</v>
      </c>
      <c r="J41" s="20" t="str">
        <f>VLOOKUP(G41,MD!M$2:O$93,3,FALSE)</f>
        <v>ha</v>
      </c>
      <c r="K41" s="29">
        <v>1</v>
      </c>
      <c r="L41" s="27"/>
      <c r="M41" s="25"/>
      <c r="N41" s="25"/>
      <c r="O41" s="25"/>
      <c r="P41" s="22"/>
      <c r="Q41" s="44"/>
      <c r="R41" s="44"/>
      <c r="S41" s="44"/>
      <c r="T41" s="25"/>
      <c r="U41" s="25"/>
      <c r="V41" s="25"/>
      <c r="W41" s="25"/>
      <c r="X41" s="22"/>
      <c r="Y41" s="44"/>
      <c r="Z41" s="44"/>
      <c r="AA41" s="44"/>
      <c r="AB41" s="25"/>
      <c r="AC41" s="25"/>
      <c r="AD41" s="25"/>
      <c r="AE41" s="25"/>
    </row>
    <row r="42" spans="1:31" s="59" customFormat="1">
      <c r="A42" s="47" t="s">
        <v>303</v>
      </c>
      <c r="B42" s="47" t="s">
        <v>270</v>
      </c>
      <c r="C42" s="48">
        <v>43517</v>
      </c>
      <c r="D42" s="64">
        <f t="shared" si="0"/>
        <v>8</v>
      </c>
      <c r="E42" s="47" t="s">
        <v>123</v>
      </c>
      <c r="F42" s="18" t="s">
        <v>89</v>
      </c>
      <c r="G42" s="18" t="s">
        <v>113</v>
      </c>
      <c r="H42" s="27" t="s">
        <v>411</v>
      </c>
      <c r="I42" s="24">
        <v>1</v>
      </c>
      <c r="J42" s="20" t="str">
        <f>VLOOKUP(G42,MD!M$2:O$93,3,FALSE)</f>
        <v>Dose hom.</v>
      </c>
      <c r="K42" s="29">
        <v>1</v>
      </c>
      <c r="L42" s="27" t="s">
        <v>413</v>
      </c>
      <c r="M42" s="25" t="s">
        <v>412</v>
      </c>
      <c r="N42" s="25">
        <f>480*3</f>
        <v>1440</v>
      </c>
      <c r="O42" s="25" t="s">
        <v>358</v>
      </c>
      <c r="P42" s="22"/>
      <c r="Q42" s="44"/>
      <c r="R42" s="44"/>
      <c r="S42" s="44"/>
      <c r="T42" s="25"/>
      <c r="U42" s="25"/>
      <c r="V42" s="25"/>
      <c r="W42" s="25"/>
      <c r="X42" s="22"/>
      <c r="Y42" s="44"/>
      <c r="Z42" s="44"/>
      <c r="AA42" s="44"/>
      <c r="AB42" s="25"/>
      <c r="AC42" s="25"/>
      <c r="AD42" s="25"/>
      <c r="AE42" s="25"/>
    </row>
    <row r="43" spans="1:31" s="59" customFormat="1">
      <c r="A43" s="47" t="s">
        <v>303</v>
      </c>
      <c r="B43" s="47" t="s">
        <v>270</v>
      </c>
      <c r="C43" s="48">
        <v>43517</v>
      </c>
      <c r="D43" s="64">
        <f t="shared" si="0"/>
        <v>8</v>
      </c>
      <c r="E43" s="47" t="s">
        <v>123</v>
      </c>
      <c r="F43" s="18" t="s">
        <v>84</v>
      </c>
      <c r="G43" s="18" t="s">
        <v>76</v>
      </c>
      <c r="H43" s="27"/>
      <c r="I43" s="24">
        <v>1</v>
      </c>
      <c r="J43" s="20" t="str">
        <f>VLOOKUP(G43,MD!M$2:O$93,3,FALSE)</f>
        <v>ha</v>
      </c>
      <c r="K43" s="29">
        <v>1</v>
      </c>
      <c r="L43" s="27"/>
      <c r="M43" s="25"/>
      <c r="N43" s="25"/>
      <c r="O43" s="25"/>
      <c r="P43" s="22"/>
      <c r="Q43" s="44"/>
      <c r="R43" s="44"/>
      <c r="S43" s="44"/>
      <c r="T43" s="25"/>
      <c r="U43" s="25"/>
      <c r="V43" s="25"/>
      <c r="W43" s="25"/>
      <c r="X43" s="22"/>
      <c r="Y43" s="44"/>
      <c r="Z43" s="44"/>
      <c r="AA43" s="44"/>
      <c r="AB43" s="25"/>
      <c r="AC43" s="25"/>
      <c r="AD43" s="25"/>
      <c r="AE43" s="25"/>
    </row>
    <row r="44" spans="1:31" s="59" customFormat="1">
      <c r="A44" s="47" t="s">
        <v>303</v>
      </c>
      <c r="B44" s="47" t="s">
        <v>270</v>
      </c>
      <c r="C44" s="48">
        <v>43517</v>
      </c>
      <c r="D44" s="64">
        <f t="shared" si="0"/>
        <v>8</v>
      </c>
      <c r="E44" s="47" t="s">
        <v>123</v>
      </c>
      <c r="F44" s="18" t="s">
        <v>87</v>
      </c>
      <c r="G44" s="18" t="s">
        <v>93</v>
      </c>
      <c r="H44" s="27" t="s">
        <v>414</v>
      </c>
      <c r="I44" s="24">
        <v>280</v>
      </c>
      <c r="J44" s="20" t="str">
        <f>VLOOKUP(G44,MD!M$2:O$93,3,FALSE)</f>
        <v>gr./m2</v>
      </c>
      <c r="K44" s="29">
        <v>1</v>
      </c>
      <c r="L44" s="27">
        <f>280/1000*50/1000*10000</f>
        <v>140.00000000000003</v>
      </c>
      <c r="M44" s="25"/>
      <c r="N44" s="25"/>
      <c r="O44" s="25"/>
      <c r="P44" s="22"/>
      <c r="Q44" s="44"/>
      <c r="R44" s="44"/>
      <c r="S44" s="44"/>
      <c r="T44" s="25"/>
      <c r="U44" s="25"/>
      <c r="V44" s="25"/>
      <c r="W44" s="25"/>
      <c r="X44" s="22"/>
      <c r="Y44" s="44"/>
      <c r="Z44" s="44"/>
      <c r="AA44" s="44"/>
      <c r="AB44" s="25"/>
      <c r="AC44" s="25"/>
      <c r="AD44" s="25"/>
      <c r="AE44" s="25"/>
    </row>
    <row r="45" spans="1:31" s="59" customFormat="1">
      <c r="A45" s="47" t="s">
        <v>303</v>
      </c>
      <c r="B45" s="47" t="s">
        <v>270</v>
      </c>
      <c r="C45" s="48">
        <v>43517</v>
      </c>
      <c r="D45" s="64">
        <f t="shared" si="0"/>
        <v>8</v>
      </c>
      <c r="E45" s="47" t="s">
        <v>123</v>
      </c>
      <c r="F45" s="18" t="s">
        <v>89</v>
      </c>
      <c r="G45" s="18" t="s">
        <v>133</v>
      </c>
      <c r="H45" s="27" t="s">
        <v>349</v>
      </c>
      <c r="I45" s="24"/>
      <c r="J45" s="20" t="str">
        <f>VLOOKUP(G45,MD!M$2:O$93,3,FALSE)</f>
        <v>Dose hom.</v>
      </c>
      <c r="K45" s="29">
        <v>1</v>
      </c>
      <c r="L45" s="27" t="s">
        <v>415</v>
      </c>
      <c r="M45" s="25" t="s">
        <v>348</v>
      </c>
      <c r="N45" s="104">
        <f>25*0.2*280*0.046*0.00001*10000</f>
        <v>6.4400000000000013</v>
      </c>
      <c r="O45" s="25" t="s">
        <v>358</v>
      </c>
      <c r="P45" s="22"/>
      <c r="Q45" s="44"/>
      <c r="R45" s="44"/>
      <c r="S45" s="44"/>
      <c r="T45" s="25"/>
      <c r="U45" s="25"/>
      <c r="V45" s="25"/>
      <c r="W45" s="25"/>
      <c r="X45" s="22"/>
      <c r="Y45" s="44"/>
      <c r="Z45" s="44"/>
      <c r="AA45" s="44"/>
      <c r="AB45" s="25"/>
      <c r="AC45" s="25"/>
      <c r="AD45" s="25"/>
      <c r="AE45" s="25"/>
    </row>
    <row r="46" spans="1:31" s="59" customFormat="1">
      <c r="A46" s="47" t="s">
        <v>303</v>
      </c>
      <c r="B46" s="47" t="s">
        <v>270</v>
      </c>
      <c r="C46" s="48">
        <v>43517</v>
      </c>
      <c r="D46" s="64">
        <f t="shared" si="0"/>
        <v>8</v>
      </c>
      <c r="E46" s="47" t="s">
        <v>123</v>
      </c>
      <c r="F46" s="18" t="s">
        <v>89</v>
      </c>
      <c r="G46" s="18" t="s">
        <v>133</v>
      </c>
      <c r="H46" s="27" t="s">
        <v>350</v>
      </c>
      <c r="I46" s="24"/>
      <c r="J46" s="20" t="str">
        <f>VLOOKUP(G46,MD!M$2:O$93,3,FALSE)</f>
        <v>Dose hom.</v>
      </c>
      <c r="K46" s="29">
        <v>1</v>
      </c>
      <c r="L46" s="27" t="s">
        <v>415</v>
      </c>
      <c r="M46" s="25" t="s">
        <v>351</v>
      </c>
      <c r="N46" s="104">
        <f>25*0.2*280*0.046*0.00001*10000</f>
        <v>6.4400000000000013</v>
      </c>
      <c r="O46" s="25" t="s">
        <v>358</v>
      </c>
      <c r="P46" s="22"/>
      <c r="Q46" s="44"/>
      <c r="R46" s="44"/>
      <c r="S46" s="44"/>
      <c r="T46" s="25"/>
      <c r="U46" s="25"/>
      <c r="V46" s="25"/>
      <c r="W46" s="25"/>
      <c r="X46" s="22"/>
      <c r="Y46" s="44"/>
      <c r="Z46" s="44"/>
      <c r="AA46" s="44"/>
      <c r="AB46" s="25"/>
      <c r="AC46" s="25"/>
      <c r="AD46" s="25"/>
      <c r="AE46" s="25"/>
    </row>
    <row r="47" spans="1:31" s="59" customFormat="1">
      <c r="A47" s="47" t="s">
        <v>303</v>
      </c>
      <c r="B47" s="47" t="s">
        <v>270</v>
      </c>
      <c r="C47" s="48">
        <v>43517</v>
      </c>
      <c r="D47" s="64">
        <f t="shared" si="0"/>
        <v>8</v>
      </c>
      <c r="E47" s="47" t="s">
        <v>123</v>
      </c>
      <c r="F47" s="18" t="s">
        <v>89</v>
      </c>
      <c r="G47" s="18" t="s">
        <v>133</v>
      </c>
      <c r="H47" s="27" t="s">
        <v>352</v>
      </c>
      <c r="I47" s="24"/>
      <c r="J47" s="20" t="str">
        <f>VLOOKUP(G47,MD!M$2:O$93,3,FALSE)</f>
        <v>Dose hom.</v>
      </c>
      <c r="K47" s="29">
        <v>1</v>
      </c>
      <c r="L47" s="27" t="s">
        <v>416</v>
      </c>
      <c r="M47" s="25" t="s">
        <v>353</v>
      </c>
      <c r="N47" s="104">
        <f>50*0.2*280*0.046*0.00001*10000</f>
        <v>12.880000000000003</v>
      </c>
      <c r="O47" s="25" t="s">
        <v>358</v>
      </c>
      <c r="P47" s="22"/>
      <c r="Q47" s="44"/>
      <c r="R47" s="44"/>
      <c r="S47" s="44"/>
      <c r="T47" s="25"/>
      <c r="U47" s="25"/>
      <c r="V47" s="25"/>
      <c r="W47" s="25"/>
      <c r="X47" s="22"/>
      <c r="Y47" s="44"/>
      <c r="Z47" s="44"/>
      <c r="AA47" s="44"/>
      <c r="AB47" s="25"/>
      <c r="AC47" s="25"/>
      <c r="AD47" s="25"/>
      <c r="AE47" s="25"/>
    </row>
    <row r="48" spans="1:31" s="59" customFormat="1">
      <c r="A48" s="47" t="s">
        <v>303</v>
      </c>
      <c r="B48" s="47" t="s">
        <v>270</v>
      </c>
      <c r="C48" s="48">
        <v>43541</v>
      </c>
      <c r="D48" s="64">
        <f t="shared" si="0"/>
        <v>12</v>
      </c>
      <c r="E48" s="47" t="s">
        <v>303</v>
      </c>
      <c r="F48" s="18" t="s">
        <v>85</v>
      </c>
      <c r="G48" s="18" t="s">
        <v>67</v>
      </c>
      <c r="H48" s="27"/>
      <c r="I48" s="24">
        <v>1</v>
      </c>
      <c r="J48" s="20" t="str">
        <f>VLOOKUP(G48,MD!M$2:O$93,3,FALSE)</f>
        <v>ha</v>
      </c>
      <c r="K48" s="29">
        <v>1</v>
      </c>
      <c r="L48" s="27"/>
      <c r="M48" s="25"/>
      <c r="N48" s="25"/>
      <c r="O48" s="25"/>
      <c r="P48" s="22"/>
      <c r="Q48" s="44"/>
      <c r="R48" s="44"/>
      <c r="S48" s="44"/>
      <c r="T48" s="25"/>
      <c r="U48" s="25"/>
      <c r="V48" s="25"/>
      <c r="W48" s="25"/>
      <c r="X48" s="22"/>
      <c r="Y48" s="44"/>
      <c r="Z48" s="44"/>
      <c r="AA48" s="44"/>
      <c r="AB48" s="25"/>
      <c r="AC48" s="25"/>
      <c r="AD48" s="25"/>
      <c r="AE48" s="25"/>
    </row>
    <row r="49" spans="1:31" s="59" customFormat="1">
      <c r="A49" s="47" t="s">
        <v>303</v>
      </c>
      <c r="B49" s="47" t="s">
        <v>270</v>
      </c>
      <c r="C49" s="48">
        <v>43541</v>
      </c>
      <c r="D49" s="64">
        <f t="shared" si="0"/>
        <v>12</v>
      </c>
      <c r="E49" s="47" t="s">
        <v>303</v>
      </c>
      <c r="F49" s="18" t="s">
        <v>88</v>
      </c>
      <c r="G49" s="18" t="s">
        <v>191</v>
      </c>
      <c r="H49" s="27" t="s">
        <v>209</v>
      </c>
      <c r="I49" s="24">
        <v>145</v>
      </c>
      <c r="J49" s="20" t="str">
        <f>VLOOKUP(G49,MD!M$2:O$93,3,FALSE)</f>
        <v>l/ha</v>
      </c>
      <c r="K49" s="29">
        <v>1</v>
      </c>
      <c r="L49" s="27"/>
      <c r="M49" s="25"/>
      <c r="N49" s="25"/>
      <c r="O49" s="25"/>
      <c r="P49" s="22"/>
      <c r="Q49" s="44"/>
      <c r="R49" s="44"/>
      <c r="S49" s="44"/>
      <c r="T49" s="25"/>
      <c r="U49" s="25"/>
      <c r="V49" s="25"/>
      <c r="W49" s="25"/>
      <c r="X49" s="22"/>
      <c r="Y49" s="44"/>
      <c r="Z49" s="44"/>
      <c r="AA49" s="44"/>
      <c r="AB49" s="25"/>
      <c r="AC49" s="25"/>
      <c r="AD49" s="25"/>
      <c r="AE49" s="25"/>
    </row>
    <row r="50" spans="1:31" s="59" customFormat="1">
      <c r="A50" s="47" t="s">
        <v>303</v>
      </c>
      <c r="B50" s="47" t="s">
        <v>270</v>
      </c>
      <c r="C50" s="48">
        <v>43559</v>
      </c>
      <c r="D50" s="64">
        <f t="shared" si="0"/>
        <v>14</v>
      </c>
      <c r="E50" s="47" t="s">
        <v>303</v>
      </c>
      <c r="F50" s="18" t="s">
        <v>83</v>
      </c>
      <c r="G50" s="18" t="s">
        <v>60</v>
      </c>
      <c r="H50" s="27"/>
      <c r="I50" s="24">
        <v>1</v>
      </c>
      <c r="J50" s="20" t="str">
        <f>VLOOKUP(G50,MD!M$2:O$93,3,FALSE)</f>
        <v>ha</v>
      </c>
      <c r="K50" s="29">
        <v>1</v>
      </c>
      <c r="L50" s="27"/>
      <c r="M50" s="25"/>
      <c r="N50" s="25"/>
      <c r="O50" s="25"/>
      <c r="P50" s="22"/>
      <c r="Q50" s="44"/>
      <c r="R50" s="44"/>
      <c r="S50" s="44"/>
      <c r="T50" s="25"/>
      <c r="U50" s="25"/>
      <c r="V50" s="25"/>
      <c r="W50" s="25"/>
      <c r="X50" s="22"/>
      <c r="Y50" s="44"/>
      <c r="Z50" s="44"/>
      <c r="AA50" s="44"/>
      <c r="AB50" s="25"/>
      <c r="AC50" s="25"/>
      <c r="AD50" s="25"/>
      <c r="AE50" s="25"/>
    </row>
    <row r="51" spans="1:31" s="59" customFormat="1">
      <c r="A51" s="47" t="s">
        <v>303</v>
      </c>
      <c r="B51" s="47" t="s">
        <v>270</v>
      </c>
      <c r="C51" s="48">
        <v>43582</v>
      </c>
      <c r="D51" s="64">
        <f t="shared" si="0"/>
        <v>17</v>
      </c>
      <c r="E51" s="47" t="s">
        <v>303</v>
      </c>
      <c r="F51" s="18" t="s">
        <v>85</v>
      </c>
      <c r="G51" s="18" t="s">
        <v>67</v>
      </c>
      <c r="H51" s="27"/>
      <c r="I51" s="24">
        <v>1</v>
      </c>
      <c r="J51" s="20" t="str">
        <f>VLOOKUP(G51,MD!M$2:O$93,3,FALSE)</f>
        <v>ha</v>
      </c>
      <c r="K51" s="29">
        <v>1</v>
      </c>
      <c r="L51" s="27"/>
      <c r="M51" s="25"/>
      <c r="N51" s="25"/>
      <c r="O51" s="25"/>
      <c r="P51" s="22"/>
      <c r="Q51" s="44"/>
      <c r="R51" s="44"/>
      <c r="S51" s="44"/>
      <c r="T51" s="25"/>
      <c r="U51" s="25"/>
      <c r="V51" s="25"/>
      <c r="W51" s="25"/>
      <c r="X51" s="22"/>
      <c r="Y51" s="44"/>
      <c r="Z51" s="44"/>
      <c r="AA51" s="44"/>
      <c r="AB51" s="25"/>
      <c r="AC51" s="25"/>
      <c r="AD51" s="25"/>
      <c r="AE51" s="25"/>
    </row>
    <row r="52" spans="1:31" s="59" customFormat="1">
      <c r="A52" s="47" t="s">
        <v>303</v>
      </c>
      <c r="B52" s="47" t="s">
        <v>270</v>
      </c>
      <c r="C52" s="48">
        <v>43582</v>
      </c>
      <c r="D52" s="64">
        <f t="shared" si="0"/>
        <v>17</v>
      </c>
      <c r="E52" s="47" t="s">
        <v>303</v>
      </c>
      <c r="F52" s="18" t="s">
        <v>88</v>
      </c>
      <c r="G52" s="18" t="s">
        <v>191</v>
      </c>
      <c r="H52" s="27" t="s">
        <v>209</v>
      </c>
      <c r="I52" s="24">
        <v>145</v>
      </c>
      <c r="J52" s="20" t="str">
        <f>VLOOKUP(G52,MD!M$2:O$93,3,FALSE)</f>
        <v>l/ha</v>
      </c>
      <c r="K52" s="29">
        <v>1</v>
      </c>
      <c r="L52" s="27"/>
      <c r="M52" s="25"/>
      <c r="N52" s="25"/>
      <c r="O52" s="25"/>
      <c r="P52" s="22"/>
      <c r="Q52" s="44"/>
      <c r="R52" s="44"/>
      <c r="S52" s="44"/>
      <c r="T52" s="25"/>
      <c r="U52" s="25"/>
      <c r="V52" s="25"/>
      <c r="W52" s="25"/>
      <c r="X52" s="22"/>
      <c r="Y52" s="44"/>
      <c r="Z52" s="44"/>
      <c r="AA52" s="44"/>
      <c r="AB52" s="25"/>
      <c r="AC52" s="25"/>
      <c r="AD52" s="25"/>
      <c r="AE52" s="25"/>
    </row>
    <row r="53" spans="1:31" s="59" customFormat="1">
      <c r="A53" s="47" t="s">
        <v>303</v>
      </c>
      <c r="B53" s="47" t="s">
        <v>270</v>
      </c>
      <c r="C53" s="48">
        <v>43595</v>
      </c>
      <c r="D53" s="64">
        <f t="shared" si="0"/>
        <v>19</v>
      </c>
      <c r="E53" s="47" t="s">
        <v>303</v>
      </c>
      <c r="F53" s="18" t="s">
        <v>86</v>
      </c>
      <c r="G53" s="18" t="s">
        <v>64</v>
      </c>
      <c r="H53" s="27"/>
      <c r="I53" s="24">
        <v>1</v>
      </c>
      <c r="J53" s="20" t="str">
        <f>VLOOKUP(G53,MD!M$2:O$93,3,FALSE)</f>
        <v>ha</v>
      </c>
      <c r="K53" s="29">
        <v>1</v>
      </c>
      <c r="L53" s="27"/>
      <c r="M53" s="25"/>
      <c r="N53" s="25"/>
      <c r="O53" s="25"/>
      <c r="P53" s="22"/>
      <c r="Q53" s="44"/>
      <c r="R53" s="44"/>
      <c r="S53" s="44"/>
      <c r="T53" s="25"/>
      <c r="U53" s="25"/>
      <c r="V53" s="25"/>
      <c r="W53" s="25"/>
      <c r="X53" s="22"/>
      <c r="Y53" s="44"/>
      <c r="Z53" s="44"/>
      <c r="AA53" s="44"/>
      <c r="AB53" s="25"/>
      <c r="AC53" s="25"/>
      <c r="AD53" s="25"/>
      <c r="AE53" s="25"/>
    </row>
    <row r="54" spans="1:31" s="59" customFormat="1">
      <c r="A54" s="47" t="s">
        <v>303</v>
      </c>
      <c r="B54" s="47" t="s">
        <v>270</v>
      </c>
      <c r="C54" s="48">
        <v>43595</v>
      </c>
      <c r="D54" s="64">
        <f t="shared" si="0"/>
        <v>19</v>
      </c>
      <c r="E54" s="47" t="s">
        <v>303</v>
      </c>
      <c r="F54" s="18" t="s">
        <v>89</v>
      </c>
      <c r="G54" s="18" t="s">
        <v>113</v>
      </c>
      <c r="H54" s="27" t="s">
        <v>498</v>
      </c>
      <c r="I54" s="102">
        <f>0.8/1.8</f>
        <v>0.44444444444444448</v>
      </c>
      <c r="J54" s="20" t="str">
        <f>VLOOKUP(G54,MD!M$2:O$93,3,FALSE)</f>
        <v>Dose hom.</v>
      </c>
      <c r="K54" s="29">
        <v>1</v>
      </c>
      <c r="L54" s="27" t="s">
        <v>499</v>
      </c>
      <c r="M54" s="25" t="s">
        <v>484</v>
      </c>
      <c r="N54" s="25">
        <v>0.8</v>
      </c>
      <c r="O54" s="25" t="s">
        <v>358</v>
      </c>
      <c r="P54" s="22"/>
      <c r="Q54" s="44"/>
      <c r="R54" s="44"/>
      <c r="S54" s="44"/>
      <c r="T54" s="25"/>
      <c r="U54" s="25"/>
      <c r="V54" s="25"/>
      <c r="W54" s="25"/>
      <c r="X54" s="22"/>
      <c r="Y54" s="44"/>
      <c r="Z54" s="44"/>
      <c r="AA54" s="44"/>
      <c r="AB54" s="25"/>
      <c r="AC54" s="25"/>
      <c r="AD54" s="25"/>
      <c r="AE54" s="25"/>
    </row>
    <row r="55" spans="1:31" s="59" customFormat="1">
      <c r="A55" s="47" t="s">
        <v>303</v>
      </c>
      <c r="B55" s="47" t="s">
        <v>270</v>
      </c>
      <c r="C55" s="48">
        <v>43595</v>
      </c>
      <c r="D55" s="64">
        <f t="shared" si="0"/>
        <v>19</v>
      </c>
      <c r="E55" s="47" t="s">
        <v>303</v>
      </c>
      <c r="F55" s="18" t="s">
        <v>89</v>
      </c>
      <c r="G55" s="18" t="s">
        <v>113</v>
      </c>
      <c r="H55" s="27" t="s">
        <v>500</v>
      </c>
      <c r="I55" s="102">
        <f>0.8/1.8</f>
        <v>0.44444444444444448</v>
      </c>
      <c r="J55" s="20" t="str">
        <f>VLOOKUP(G55,MD!M$2:O$93,3,FALSE)</f>
        <v>Dose hom.</v>
      </c>
      <c r="K55" s="29">
        <v>1</v>
      </c>
      <c r="L55" s="27" t="s">
        <v>502</v>
      </c>
      <c r="M55" s="25" t="s">
        <v>501</v>
      </c>
      <c r="N55" s="104">
        <v>80</v>
      </c>
      <c r="O55" s="25" t="s">
        <v>358</v>
      </c>
      <c r="P55" s="22"/>
      <c r="Q55" s="44"/>
      <c r="R55" s="44"/>
      <c r="S55" s="44"/>
      <c r="T55" s="25"/>
      <c r="U55" s="25"/>
      <c r="V55" s="25"/>
      <c r="W55" s="25"/>
      <c r="X55" s="22"/>
      <c r="Y55" s="44"/>
      <c r="Z55" s="44"/>
      <c r="AA55" s="44"/>
      <c r="AB55" s="25"/>
      <c r="AC55" s="25"/>
      <c r="AD55" s="25"/>
      <c r="AE55" s="25"/>
    </row>
    <row r="56" spans="1:31" s="59" customFormat="1">
      <c r="A56" s="47" t="s">
        <v>303</v>
      </c>
      <c r="B56" s="47" t="s">
        <v>270</v>
      </c>
      <c r="C56" s="48">
        <v>43607</v>
      </c>
      <c r="D56" s="64">
        <f t="shared" si="0"/>
        <v>21</v>
      </c>
      <c r="E56" s="47" t="s">
        <v>303</v>
      </c>
      <c r="F56" s="18" t="s">
        <v>86</v>
      </c>
      <c r="G56" s="18" t="s">
        <v>64</v>
      </c>
      <c r="H56" s="27"/>
      <c r="I56" s="24">
        <v>1</v>
      </c>
      <c r="J56" s="20" t="str">
        <f>VLOOKUP(G56,MD!M$2:O$93,3,FALSE)</f>
        <v>ha</v>
      </c>
      <c r="K56" s="29">
        <v>1</v>
      </c>
      <c r="L56" s="27"/>
      <c r="M56" s="25"/>
      <c r="N56" s="104"/>
      <c r="O56" s="25"/>
      <c r="P56" s="22"/>
      <c r="Q56" s="44"/>
      <c r="R56" s="44"/>
      <c r="S56" s="44"/>
      <c r="T56" s="25"/>
      <c r="U56" s="25"/>
      <c r="V56" s="25"/>
      <c r="W56" s="25"/>
      <c r="X56" s="22"/>
      <c r="Y56" s="44"/>
      <c r="Z56" s="44"/>
      <c r="AA56" s="44"/>
      <c r="AB56" s="25"/>
      <c r="AC56" s="25"/>
      <c r="AD56" s="25"/>
      <c r="AE56" s="25"/>
    </row>
    <row r="57" spans="1:31" s="59" customFormat="1">
      <c r="A57" s="47" t="s">
        <v>303</v>
      </c>
      <c r="B57" s="47" t="s">
        <v>270</v>
      </c>
      <c r="C57" s="48">
        <v>43607</v>
      </c>
      <c r="D57" s="64">
        <f t="shared" si="0"/>
        <v>21</v>
      </c>
      <c r="E57" s="47" t="s">
        <v>303</v>
      </c>
      <c r="F57" s="18" t="s">
        <v>89</v>
      </c>
      <c r="G57" s="18" t="s">
        <v>112</v>
      </c>
      <c r="H57" s="27" t="s">
        <v>529</v>
      </c>
      <c r="I57" s="102">
        <f>0.6/1.2</f>
        <v>0.5</v>
      </c>
      <c r="J57" s="20" t="str">
        <f>VLOOKUP(G57,MD!M$2:O$93,3,FALSE)</f>
        <v>Dose hom.</v>
      </c>
      <c r="K57" s="29">
        <v>1</v>
      </c>
      <c r="L57" s="27" t="s">
        <v>532</v>
      </c>
      <c r="M57" s="25" t="s">
        <v>369</v>
      </c>
      <c r="N57" s="104">
        <v>39</v>
      </c>
      <c r="O57" s="25" t="s">
        <v>358</v>
      </c>
      <c r="P57" s="22"/>
      <c r="Q57" s="44"/>
      <c r="R57" s="44"/>
      <c r="S57" s="44"/>
      <c r="T57" s="25"/>
      <c r="U57" s="25"/>
      <c r="V57" s="25"/>
      <c r="W57" s="25"/>
      <c r="X57" s="22"/>
      <c r="Y57" s="44"/>
      <c r="Z57" s="44"/>
      <c r="AA57" s="44"/>
      <c r="AB57" s="25"/>
      <c r="AC57" s="25"/>
      <c r="AD57" s="25"/>
      <c r="AE57" s="25"/>
    </row>
    <row r="58" spans="1:31" s="59" customFormat="1">
      <c r="A58" s="47" t="s">
        <v>303</v>
      </c>
      <c r="B58" s="47" t="s">
        <v>270</v>
      </c>
      <c r="C58" s="48">
        <v>43607</v>
      </c>
      <c r="D58" s="64">
        <f t="shared" si="0"/>
        <v>21</v>
      </c>
      <c r="E58" s="47" t="s">
        <v>303</v>
      </c>
      <c r="F58" s="18" t="s">
        <v>89</v>
      </c>
      <c r="G58" s="18" t="s">
        <v>112</v>
      </c>
      <c r="H58" s="27" t="s">
        <v>530</v>
      </c>
      <c r="I58" s="102">
        <f>0.6/1.2</f>
        <v>0.5</v>
      </c>
      <c r="J58" s="20" t="str">
        <f>VLOOKUP(G58,MD!M$2:O$93,3,FALSE)</f>
        <v>Dose hom.</v>
      </c>
      <c r="K58" s="29">
        <v>1</v>
      </c>
      <c r="L58" s="27" t="s">
        <v>532</v>
      </c>
      <c r="M58" s="25" t="s">
        <v>533</v>
      </c>
      <c r="N58" s="104">
        <v>39</v>
      </c>
      <c r="O58" s="25" t="s">
        <v>358</v>
      </c>
      <c r="P58" s="22"/>
      <c r="Q58" s="44"/>
      <c r="R58" s="44"/>
      <c r="S58" s="44"/>
      <c r="T58" s="25"/>
      <c r="U58" s="25"/>
      <c r="V58" s="25"/>
      <c r="W58" s="25"/>
      <c r="X58" s="22"/>
      <c r="Y58" s="44"/>
      <c r="Z58" s="44"/>
      <c r="AA58" s="44"/>
      <c r="AB58" s="25"/>
      <c r="AC58" s="25"/>
      <c r="AD58" s="25"/>
      <c r="AE58" s="25"/>
    </row>
    <row r="59" spans="1:31" s="59" customFormat="1">
      <c r="A59" s="47" t="s">
        <v>303</v>
      </c>
      <c r="B59" s="47" t="s">
        <v>270</v>
      </c>
      <c r="C59" s="48">
        <v>43607</v>
      </c>
      <c r="D59" s="64">
        <f t="shared" si="0"/>
        <v>21</v>
      </c>
      <c r="E59" s="47" t="s">
        <v>303</v>
      </c>
      <c r="F59" s="18" t="s">
        <v>89</v>
      </c>
      <c r="G59" s="18" t="s">
        <v>112</v>
      </c>
      <c r="H59" s="27" t="s">
        <v>531</v>
      </c>
      <c r="I59" s="102">
        <f>0.6/1.2</f>
        <v>0.5</v>
      </c>
      <c r="J59" s="20" t="str">
        <f>VLOOKUP(G59,MD!M$2:O$93,3,FALSE)</f>
        <v>Dose hom.</v>
      </c>
      <c r="K59" s="29">
        <v>1</v>
      </c>
      <c r="L59" s="27" t="s">
        <v>534</v>
      </c>
      <c r="M59" s="25" t="s">
        <v>367</v>
      </c>
      <c r="N59" s="104">
        <v>78</v>
      </c>
      <c r="O59" s="25" t="s">
        <v>358</v>
      </c>
      <c r="P59" s="22"/>
      <c r="Q59" s="44"/>
      <c r="R59" s="44"/>
      <c r="S59" s="44"/>
      <c r="T59" s="25"/>
      <c r="U59" s="25"/>
      <c r="V59" s="25"/>
      <c r="W59" s="25"/>
      <c r="X59" s="22"/>
      <c r="Y59" s="44"/>
      <c r="Z59" s="44"/>
      <c r="AA59" s="44"/>
      <c r="AB59" s="25"/>
      <c r="AC59" s="25"/>
      <c r="AD59" s="25"/>
      <c r="AE59" s="25"/>
    </row>
    <row r="60" spans="1:31" s="59" customFormat="1">
      <c r="A60" s="47" t="s">
        <v>303</v>
      </c>
      <c r="B60" s="47" t="s">
        <v>270</v>
      </c>
      <c r="C60" s="48">
        <v>43607</v>
      </c>
      <c r="D60" s="64">
        <f t="shared" si="0"/>
        <v>21</v>
      </c>
      <c r="E60" s="47" t="s">
        <v>303</v>
      </c>
      <c r="F60" s="18" t="s">
        <v>89</v>
      </c>
      <c r="G60" s="18" t="s">
        <v>112</v>
      </c>
      <c r="H60" s="27" t="s">
        <v>535</v>
      </c>
      <c r="I60" s="24">
        <f>0.12/0.5</f>
        <v>0.24</v>
      </c>
      <c r="J60" s="20" t="str">
        <f>VLOOKUP(G60,MD!M$2:O$93,3,FALSE)</f>
        <v>Dose hom.</v>
      </c>
      <c r="K60" s="29">
        <v>1</v>
      </c>
      <c r="L60" s="27" t="s">
        <v>537</v>
      </c>
      <c r="M60" s="25" t="s">
        <v>536</v>
      </c>
      <c r="N60" s="104">
        <v>60</v>
      </c>
      <c r="O60" s="25" t="s">
        <v>358</v>
      </c>
      <c r="P60" s="22"/>
      <c r="Q60" s="44"/>
      <c r="R60" s="44"/>
      <c r="S60" s="44"/>
      <c r="T60" s="25"/>
      <c r="U60" s="25"/>
      <c r="V60" s="25"/>
      <c r="W60" s="25"/>
      <c r="X60" s="22"/>
      <c r="Y60" s="44"/>
      <c r="Z60" s="44"/>
      <c r="AA60" s="44"/>
      <c r="AB60" s="25"/>
      <c r="AC60" s="25"/>
      <c r="AD60" s="25"/>
      <c r="AE60" s="25"/>
    </row>
    <row r="61" spans="1:31" s="59" customFormat="1">
      <c r="A61" s="47" t="s">
        <v>303</v>
      </c>
      <c r="B61" s="47" t="s">
        <v>270</v>
      </c>
      <c r="C61" s="48">
        <v>43607</v>
      </c>
      <c r="D61" s="64">
        <f t="shared" si="0"/>
        <v>21</v>
      </c>
      <c r="E61" s="47" t="s">
        <v>303</v>
      </c>
      <c r="F61" s="18" t="s">
        <v>89</v>
      </c>
      <c r="G61" s="18" t="s">
        <v>110</v>
      </c>
      <c r="H61" s="27" t="s">
        <v>538</v>
      </c>
      <c r="I61" s="57">
        <f>0.25/0.75</f>
        <v>0.33333333333333331</v>
      </c>
      <c r="J61" s="20" t="str">
        <f>VLOOKUP(G61,MD!M$2:O$93,3,FALSE)</f>
        <v>Dose hom.</v>
      </c>
      <c r="K61" s="29">
        <v>1</v>
      </c>
      <c r="L61" s="27" t="s">
        <v>539</v>
      </c>
      <c r="M61" s="25" t="s">
        <v>481</v>
      </c>
      <c r="N61" s="104">
        <v>120</v>
      </c>
      <c r="O61" s="25" t="s">
        <v>358</v>
      </c>
      <c r="P61" s="22"/>
      <c r="Q61" s="44"/>
      <c r="R61" s="44"/>
      <c r="S61" s="44"/>
      <c r="T61" s="25"/>
      <c r="U61" s="25"/>
      <c r="V61" s="25"/>
      <c r="W61" s="25"/>
      <c r="X61" s="22"/>
      <c r="Y61" s="44"/>
      <c r="Z61" s="44"/>
      <c r="AA61" s="44"/>
      <c r="AB61" s="25"/>
      <c r="AC61" s="25"/>
      <c r="AD61" s="25"/>
      <c r="AE61" s="25"/>
    </row>
    <row r="62" spans="1:31" s="59" customFormat="1">
      <c r="A62" s="47" t="s">
        <v>303</v>
      </c>
      <c r="B62" s="47" t="s">
        <v>270</v>
      </c>
      <c r="C62" s="48">
        <v>43670</v>
      </c>
      <c r="D62" s="64">
        <f t="shared" ref="D62:D126" si="1">WEEKNUM(C62)</f>
        <v>30</v>
      </c>
      <c r="E62" s="47" t="s">
        <v>303</v>
      </c>
      <c r="F62" s="18" t="s">
        <v>86</v>
      </c>
      <c r="G62" s="18" t="s">
        <v>55</v>
      </c>
      <c r="H62" s="27"/>
      <c r="I62" s="24">
        <v>1</v>
      </c>
      <c r="J62" s="20" t="str">
        <f>VLOOKUP(G62,MD!M$2:O$93,3,FALSE)</f>
        <v>ha</v>
      </c>
      <c r="K62" s="29">
        <v>1</v>
      </c>
      <c r="L62" s="27"/>
      <c r="M62" s="25"/>
      <c r="N62" s="25"/>
      <c r="O62" s="25"/>
      <c r="P62" s="22"/>
      <c r="Q62" s="44"/>
      <c r="R62" s="44"/>
      <c r="S62" s="44"/>
      <c r="T62" s="25"/>
      <c r="U62" s="25"/>
      <c r="V62" s="25"/>
      <c r="W62" s="25"/>
      <c r="X62" s="22"/>
      <c r="Y62" s="44"/>
      <c r="Z62" s="44"/>
      <c r="AA62" s="44"/>
      <c r="AB62" s="25"/>
      <c r="AC62" s="25"/>
      <c r="AD62" s="25"/>
      <c r="AE62" s="25"/>
    </row>
    <row r="63" spans="1:31" s="59" customFormat="1">
      <c r="A63" s="47" t="s">
        <v>303</v>
      </c>
      <c r="B63" s="47" t="s">
        <v>270</v>
      </c>
      <c r="C63" s="48">
        <v>43670</v>
      </c>
      <c r="D63" s="64">
        <f t="shared" si="1"/>
        <v>30</v>
      </c>
      <c r="E63" s="47" t="s">
        <v>303</v>
      </c>
      <c r="F63" s="18" t="s">
        <v>2</v>
      </c>
      <c r="G63" s="18" t="s">
        <v>115</v>
      </c>
      <c r="H63" s="27" t="s">
        <v>285</v>
      </c>
      <c r="I63" s="24">
        <v>96</v>
      </c>
      <c r="J63" s="20" t="str">
        <f>VLOOKUP(G63,MD!M$2:O$93,3,FALSE)</f>
        <v>Qtx/ha</v>
      </c>
      <c r="K63" s="29">
        <v>1</v>
      </c>
      <c r="L63" s="27" t="s">
        <v>563</v>
      </c>
      <c r="M63" s="25"/>
      <c r="N63" s="25"/>
      <c r="O63" s="25"/>
      <c r="P63" s="22"/>
      <c r="Q63" s="44"/>
      <c r="R63" s="44"/>
      <c r="S63" s="44"/>
      <c r="T63" s="25"/>
      <c r="U63" s="25"/>
      <c r="V63" s="25"/>
      <c r="W63" s="25"/>
      <c r="X63" s="22"/>
      <c r="Y63" s="44"/>
      <c r="Z63" s="44"/>
      <c r="AA63" s="44"/>
      <c r="AB63" s="25"/>
      <c r="AC63" s="25"/>
      <c r="AD63" s="25"/>
      <c r="AE63" s="25"/>
    </row>
    <row r="64" spans="1:31" s="59" customFormat="1">
      <c r="A64" s="47" t="s">
        <v>553</v>
      </c>
      <c r="B64" s="47" t="s">
        <v>554</v>
      </c>
      <c r="C64" s="48">
        <v>43672</v>
      </c>
      <c r="D64" s="64">
        <f t="shared" si="1"/>
        <v>30</v>
      </c>
      <c r="E64" s="47" t="s">
        <v>123</v>
      </c>
      <c r="F64" s="18" t="s">
        <v>83</v>
      </c>
      <c r="G64" s="18" t="s">
        <v>77</v>
      </c>
      <c r="H64" s="27"/>
      <c r="I64" s="24">
        <v>1</v>
      </c>
      <c r="J64" s="20" t="str">
        <f>VLOOKUP(G64,MD!M$2:O$93,3,FALSE)</f>
        <v>ha</v>
      </c>
      <c r="K64" s="29">
        <v>1</v>
      </c>
      <c r="L64" s="27"/>
      <c r="M64" s="25"/>
      <c r="N64" s="104"/>
      <c r="O64" s="25"/>
      <c r="P64" s="22"/>
      <c r="Q64" s="44"/>
      <c r="R64" s="44"/>
      <c r="S64" s="44"/>
      <c r="T64" s="25"/>
      <c r="U64" s="25"/>
      <c r="V64" s="25"/>
      <c r="W64" s="25"/>
      <c r="X64" s="22"/>
      <c r="Y64" s="44"/>
      <c r="Z64" s="44"/>
      <c r="AA64" s="44"/>
      <c r="AB64" s="25"/>
      <c r="AC64" s="25"/>
      <c r="AD64" s="25"/>
      <c r="AE64" s="25"/>
    </row>
    <row r="65" spans="1:31" s="59" customFormat="1">
      <c r="A65" s="47" t="s">
        <v>553</v>
      </c>
      <c r="B65" s="47" t="s">
        <v>554</v>
      </c>
      <c r="C65" s="48">
        <v>43696</v>
      </c>
      <c r="D65" s="64">
        <f t="shared" si="1"/>
        <v>34</v>
      </c>
      <c r="E65" s="47" t="s">
        <v>123</v>
      </c>
      <c r="F65" s="18" t="s">
        <v>83</v>
      </c>
      <c r="G65" s="18" t="s">
        <v>26</v>
      </c>
      <c r="H65" s="27"/>
      <c r="I65" s="24">
        <v>1</v>
      </c>
      <c r="J65" s="20" t="str">
        <f>VLOOKUP(G65,MD!M$2:O$93,3,FALSE)</f>
        <v>ha</v>
      </c>
      <c r="K65" s="29">
        <v>1</v>
      </c>
      <c r="L65" s="27"/>
      <c r="M65" s="25"/>
      <c r="N65" s="104"/>
      <c r="O65" s="25"/>
      <c r="P65" s="22"/>
      <c r="Q65" s="44"/>
      <c r="R65" s="44"/>
      <c r="S65" s="44"/>
      <c r="T65" s="25"/>
      <c r="U65" s="25"/>
      <c r="V65" s="25"/>
      <c r="W65" s="25"/>
      <c r="X65" s="22"/>
      <c r="Y65" s="44"/>
      <c r="Z65" s="44"/>
      <c r="AA65" s="44"/>
      <c r="AB65" s="25"/>
      <c r="AC65" s="25"/>
      <c r="AD65" s="25"/>
      <c r="AE65" s="25"/>
    </row>
    <row r="66" spans="1:31" s="59" customFormat="1">
      <c r="A66" s="47" t="s">
        <v>553</v>
      </c>
      <c r="B66" s="47" t="s">
        <v>554</v>
      </c>
      <c r="C66" s="48">
        <v>43696</v>
      </c>
      <c r="D66" s="64">
        <f t="shared" si="1"/>
        <v>34</v>
      </c>
      <c r="E66" s="47" t="s">
        <v>634</v>
      </c>
      <c r="F66" s="18" t="s">
        <v>84</v>
      </c>
      <c r="G66" s="18" t="s">
        <v>76</v>
      </c>
      <c r="H66" s="27"/>
      <c r="I66" s="24">
        <v>1</v>
      </c>
      <c r="J66" s="20" t="str">
        <f>VLOOKUP(G66,MD!M$2:O$93,3,FALSE)</f>
        <v>ha</v>
      </c>
      <c r="K66" s="29">
        <v>1</v>
      </c>
      <c r="L66" s="27"/>
      <c r="M66" s="25"/>
      <c r="N66" s="104"/>
      <c r="O66" s="25"/>
      <c r="P66" s="22"/>
      <c r="Q66" s="44"/>
      <c r="R66" s="44"/>
      <c r="S66" s="44"/>
      <c r="T66" s="25"/>
      <c r="U66" s="25"/>
      <c r="V66" s="25"/>
      <c r="W66" s="25"/>
      <c r="X66" s="22"/>
      <c r="Y66" s="44"/>
      <c r="Z66" s="44"/>
      <c r="AA66" s="44"/>
      <c r="AB66" s="25"/>
      <c r="AC66" s="25"/>
      <c r="AD66" s="25"/>
      <c r="AE66" s="25"/>
    </row>
    <row r="67" spans="1:31" s="59" customFormat="1">
      <c r="A67" s="47" t="s">
        <v>553</v>
      </c>
      <c r="B67" s="47" t="s">
        <v>554</v>
      </c>
      <c r="C67" s="48">
        <v>43696</v>
      </c>
      <c r="D67" s="64">
        <f t="shared" si="1"/>
        <v>34</v>
      </c>
      <c r="E67" s="47" t="s">
        <v>634</v>
      </c>
      <c r="F67" s="18" t="s">
        <v>87</v>
      </c>
      <c r="G67" s="18" t="s">
        <v>93</v>
      </c>
      <c r="H67" s="27" t="s">
        <v>603</v>
      </c>
      <c r="I67" s="24">
        <v>38</v>
      </c>
      <c r="J67" s="20" t="str">
        <f>VLOOKUP(G67,MD!M$2:O$93,3,FALSE)</f>
        <v>gr./m2</v>
      </c>
      <c r="K67" s="29">
        <v>1</v>
      </c>
      <c r="L67" s="27">
        <f>38/1000*0.00465*10000</f>
        <v>1.7669999999999999</v>
      </c>
      <c r="M67" s="25"/>
      <c r="N67" s="104"/>
      <c r="O67" s="25"/>
      <c r="P67" s="22"/>
      <c r="Q67" s="44"/>
      <c r="R67" s="44"/>
      <c r="S67" s="44"/>
      <c r="T67" s="25"/>
      <c r="U67" s="25"/>
      <c r="V67" s="25"/>
      <c r="W67" s="25"/>
      <c r="X67" s="22"/>
      <c r="Y67" s="44"/>
      <c r="Z67" s="44"/>
      <c r="AA67" s="44"/>
      <c r="AB67" s="25"/>
      <c r="AC67" s="25"/>
      <c r="AD67" s="25"/>
      <c r="AE67" s="25"/>
    </row>
    <row r="68" spans="1:31" s="59" customFormat="1">
      <c r="A68" s="47" t="s">
        <v>553</v>
      </c>
      <c r="B68" s="47" t="s">
        <v>554</v>
      </c>
      <c r="C68" s="48">
        <v>43696</v>
      </c>
      <c r="D68" s="64">
        <f t="shared" si="1"/>
        <v>34</v>
      </c>
      <c r="E68" s="47" t="s">
        <v>634</v>
      </c>
      <c r="F68" s="18" t="s">
        <v>89</v>
      </c>
      <c r="G68" s="18" t="s">
        <v>133</v>
      </c>
      <c r="H68" s="27" t="s">
        <v>606</v>
      </c>
      <c r="I68" s="57"/>
      <c r="J68" s="20" t="str">
        <f>VLOOKUP(G68,MD!M$2:O$93,3,FALSE)</f>
        <v>Dose hom.</v>
      </c>
      <c r="K68" s="29">
        <v>1</v>
      </c>
      <c r="L68" s="27" t="s">
        <v>642</v>
      </c>
      <c r="M68" s="25" t="s">
        <v>607</v>
      </c>
      <c r="N68" s="103">
        <f>22000000000*160*0.00465*38*0.00001*10000/1000000000</f>
        <v>62.198399999999992</v>
      </c>
      <c r="O68" s="25" t="s">
        <v>608</v>
      </c>
      <c r="P68" s="22"/>
      <c r="Q68" s="44"/>
      <c r="R68" s="44"/>
      <c r="S68" s="44"/>
      <c r="T68" s="25"/>
      <c r="U68" s="25"/>
      <c r="V68" s="25"/>
      <c r="W68" s="25"/>
      <c r="X68" s="22"/>
      <c r="Y68" s="44"/>
      <c r="Z68" s="44"/>
      <c r="AA68" s="44"/>
      <c r="AB68" s="25"/>
      <c r="AC68" s="25"/>
      <c r="AD68" s="25"/>
      <c r="AE68" s="25"/>
    </row>
    <row r="69" spans="1:31" s="59" customFormat="1">
      <c r="A69" s="47" t="s">
        <v>553</v>
      </c>
      <c r="B69" s="47" t="s">
        <v>554</v>
      </c>
      <c r="C69" s="48">
        <v>43696</v>
      </c>
      <c r="D69" s="64">
        <f t="shared" si="1"/>
        <v>34</v>
      </c>
      <c r="E69" s="47" t="s">
        <v>634</v>
      </c>
      <c r="F69" s="18" t="s">
        <v>87</v>
      </c>
      <c r="G69" s="18" t="s">
        <v>93</v>
      </c>
      <c r="H69" s="27" t="s">
        <v>604</v>
      </c>
      <c r="I69" s="57">
        <f>0.01/0.00465</f>
        <v>2.1505376344086025</v>
      </c>
      <c r="J69" s="20" t="str">
        <f>VLOOKUP(G69,MD!M$2:O$93,3,FALSE)</f>
        <v>gr./m2</v>
      </c>
      <c r="K69" s="29">
        <v>1</v>
      </c>
      <c r="L69" s="27" t="s">
        <v>635</v>
      </c>
      <c r="M69" s="25"/>
      <c r="N69" s="104"/>
      <c r="O69" s="25"/>
      <c r="P69" s="22"/>
      <c r="Q69" s="44"/>
      <c r="R69" s="44"/>
      <c r="S69" s="44"/>
      <c r="T69" s="25"/>
      <c r="U69" s="25"/>
      <c r="V69" s="25"/>
      <c r="W69" s="25"/>
      <c r="X69" s="22"/>
      <c r="Y69" s="44"/>
      <c r="Z69" s="44"/>
      <c r="AA69" s="44"/>
      <c r="AB69" s="25"/>
      <c r="AC69" s="25"/>
      <c r="AD69" s="25"/>
      <c r="AE69" s="25"/>
    </row>
    <row r="70" spans="1:31" s="59" customFormat="1">
      <c r="A70" s="47" t="s">
        <v>553</v>
      </c>
      <c r="B70" s="47" t="s">
        <v>554</v>
      </c>
      <c r="C70" s="48">
        <v>43696</v>
      </c>
      <c r="D70" s="64">
        <f t="shared" si="1"/>
        <v>34</v>
      </c>
      <c r="E70" s="47" t="s">
        <v>634</v>
      </c>
      <c r="F70" s="18" t="s">
        <v>89</v>
      </c>
      <c r="G70" s="18" t="s">
        <v>133</v>
      </c>
      <c r="H70" s="27" t="s">
        <v>606</v>
      </c>
      <c r="I70" s="24"/>
      <c r="J70" s="20" t="str">
        <f>VLOOKUP(G70,MD!M$2:O$93,3,FALSE)</f>
        <v>Dose hom.</v>
      </c>
      <c r="K70" s="29">
        <v>1</v>
      </c>
      <c r="L70" s="27" t="s">
        <v>636</v>
      </c>
      <c r="M70" s="25" t="s">
        <v>607</v>
      </c>
      <c r="N70" s="103">
        <f>22000000000*160*0.00465*2.15*0.00001*10000/1000000000</f>
        <v>3.5191199999999996</v>
      </c>
      <c r="O70" s="25" t="s">
        <v>608</v>
      </c>
      <c r="P70" s="22"/>
      <c r="Q70" s="44"/>
      <c r="R70" s="44"/>
      <c r="S70" s="44"/>
      <c r="T70" s="25"/>
      <c r="U70" s="25"/>
      <c r="V70" s="25"/>
      <c r="W70" s="25"/>
      <c r="X70" s="22"/>
      <c r="Y70" s="44"/>
      <c r="Z70" s="44"/>
      <c r="AA70" s="44"/>
      <c r="AB70" s="25"/>
      <c r="AC70" s="25"/>
      <c r="AD70" s="25"/>
      <c r="AE70" s="25"/>
    </row>
    <row r="71" spans="1:31" s="59" customFormat="1">
      <c r="A71" s="47" t="s">
        <v>553</v>
      </c>
      <c r="B71" s="47" t="s">
        <v>554</v>
      </c>
      <c r="C71" s="48">
        <v>43696</v>
      </c>
      <c r="D71" s="64">
        <f t="shared" si="1"/>
        <v>34</v>
      </c>
      <c r="E71" s="47" t="s">
        <v>634</v>
      </c>
      <c r="F71" s="18" t="s">
        <v>87</v>
      </c>
      <c r="G71" s="18" t="s">
        <v>94</v>
      </c>
      <c r="H71" s="27" t="s">
        <v>661</v>
      </c>
      <c r="I71" s="58">
        <f>(22/4/10)/53 *1000</f>
        <v>10.377358490566039</v>
      </c>
      <c r="J71" s="20" t="str">
        <f>VLOOKUP(G71,MD!M$2:O$93,3,FALSE)</f>
        <v>gr./m2</v>
      </c>
      <c r="K71" s="29">
        <v>1</v>
      </c>
      <c r="L71" s="27" t="s">
        <v>645</v>
      </c>
      <c r="M71" s="25"/>
      <c r="N71" s="104"/>
      <c r="O71" s="25"/>
      <c r="P71" s="22"/>
      <c r="Q71" s="44"/>
      <c r="R71" s="44"/>
      <c r="S71" s="44"/>
      <c r="T71" s="25"/>
      <c r="U71" s="25"/>
      <c r="V71" s="25"/>
      <c r="W71" s="25"/>
      <c r="X71" s="22"/>
      <c r="Y71" s="44"/>
      <c r="Z71" s="44"/>
      <c r="AA71" s="44"/>
      <c r="AB71" s="25"/>
      <c r="AC71" s="25"/>
      <c r="AD71" s="25"/>
      <c r="AE71" s="25"/>
    </row>
    <row r="72" spans="1:31" s="59" customFormat="1">
      <c r="A72" s="47" t="s">
        <v>553</v>
      </c>
      <c r="B72" s="47" t="s">
        <v>554</v>
      </c>
      <c r="C72" s="48">
        <v>43696</v>
      </c>
      <c r="D72" s="64">
        <f t="shared" si="1"/>
        <v>34</v>
      </c>
      <c r="E72" s="47" t="s">
        <v>634</v>
      </c>
      <c r="F72" s="18" t="s">
        <v>87</v>
      </c>
      <c r="G72" s="18" t="s">
        <v>94</v>
      </c>
      <c r="H72" s="27" t="s">
        <v>638</v>
      </c>
      <c r="I72" s="58">
        <f>(22/4/10)/170 *1000</f>
        <v>3.2352941176470593</v>
      </c>
      <c r="J72" s="20" t="str">
        <f>VLOOKUP(G72,MD!M$2:O$93,3,FALSE)</f>
        <v>gr./m2</v>
      </c>
      <c r="K72" s="29">
        <v>1</v>
      </c>
      <c r="L72" s="27" t="s">
        <v>646</v>
      </c>
      <c r="M72" s="25"/>
      <c r="N72" s="104"/>
      <c r="O72" s="25"/>
      <c r="P72" s="22"/>
      <c r="Q72" s="44"/>
      <c r="R72" s="44"/>
      <c r="S72" s="44"/>
      <c r="T72" s="25"/>
      <c r="U72" s="25"/>
      <c r="V72" s="25"/>
      <c r="W72" s="25"/>
      <c r="X72" s="22"/>
      <c r="Y72" s="44"/>
      <c r="Z72" s="44"/>
      <c r="AA72" s="44"/>
      <c r="AB72" s="25"/>
      <c r="AC72" s="25"/>
      <c r="AD72" s="25"/>
      <c r="AE72" s="25"/>
    </row>
    <row r="73" spans="1:31" s="59" customFormat="1">
      <c r="A73" s="47" t="s">
        <v>553</v>
      </c>
      <c r="B73" s="47" t="s">
        <v>554</v>
      </c>
      <c r="C73" s="48">
        <v>43696</v>
      </c>
      <c r="D73" s="64">
        <f t="shared" si="1"/>
        <v>34</v>
      </c>
      <c r="E73" s="47" t="s">
        <v>634</v>
      </c>
      <c r="F73" s="18" t="s">
        <v>87</v>
      </c>
      <c r="G73" s="18" t="s">
        <v>94</v>
      </c>
      <c r="H73" s="27" t="s">
        <v>639</v>
      </c>
      <c r="I73" s="58">
        <f>(22/4/10)/16 *1000</f>
        <v>34.375</v>
      </c>
      <c r="J73" s="20" t="str">
        <f>VLOOKUP(G73,MD!M$2:O$93,3,FALSE)</f>
        <v>gr./m2</v>
      </c>
      <c r="K73" s="29">
        <v>1</v>
      </c>
      <c r="L73" s="27" t="s">
        <v>647</v>
      </c>
      <c r="M73" s="25"/>
      <c r="N73" s="104"/>
      <c r="O73" s="25"/>
      <c r="P73" s="22"/>
      <c r="Q73" s="44"/>
      <c r="R73" s="44"/>
      <c r="S73" s="44"/>
      <c r="T73" s="25"/>
      <c r="U73" s="25"/>
      <c r="V73" s="25"/>
      <c r="W73" s="25"/>
      <c r="X73" s="22"/>
      <c r="Y73" s="44"/>
      <c r="Z73" s="44"/>
      <c r="AA73" s="44"/>
      <c r="AB73" s="25"/>
      <c r="AC73" s="25"/>
      <c r="AD73" s="25"/>
      <c r="AE73" s="25"/>
    </row>
    <row r="74" spans="1:31" s="59" customFormat="1">
      <c r="A74" s="47" t="s">
        <v>553</v>
      </c>
      <c r="B74" s="47" t="s">
        <v>554</v>
      </c>
      <c r="C74" s="48">
        <v>43696</v>
      </c>
      <c r="D74" s="64">
        <f t="shared" si="1"/>
        <v>34</v>
      </c>
      <c r="E74" s="47" t="s">
        <v>634</v>
      </c>
      <c r="F74" s="18" t="s">
        <v>87</v>
      </c>
      <c r="G74" s="18" t="s">
        <v>94</v>
      </c>
      <c r="H74" s="27" t="s">
        <v>640</v>
      </c>
      <c r="I74" s="58">
        <f>(22/4/10)/20 *1000</f>
        <v>27.500000000000004</v>
      </c>
      <c r="J74" s="20" t="str">
        <f>VLOOKUP(G74,MD!M$2:O$93,3,FALSE)</f>
        <v>gr./m2</v>
      </c>
      <c r="K74" s="29">
        <v>1</v>
      </c>
      <c r="L74" s="27" t="s">
        <v>648</v>
      </c>
      <c r="M74" s="25"/>
      <c r="N74" s="104"/>
      <c r="O74" s="25"/>
      <c r="P74" s="22"/>
      <c r="Q74" s="44"/>
      <c r="R74" s="44"/>
      <c r="S74" s="44"/>
      <c r="T74" s="25"/>
      <c r="U74" s="25"/>
      <c r="V74" s="25"/>
      <c r="W74" s="25"/>
      <c r="X74" s="22"/>
      <c r="Y74" s="44"/>
      <c r="Z74" s="44"/>
      <c r="AA74" s="44"/>
      <c r="AB74" s="25"/>
      <c r="AC74" s="25"/>
      <c r="AD74" s="25"/>
      <c r="AE74" s="25"/>
    </row>
    <row r="75" spans="1:31" s="59" customFormat="1">
      <c r="A75" s="47" t="s">
        <v>553</v>
      </c>
      <c r="B75" s="47" t="s">
        <v>554</v>
      </c>
      <c r="C75" s="48">
        <v>43698</v>
      </c>
      <c r="D75" s="64">
        <f t="shared" si="1"/>
        <v>34</v>
      </c>
      <c r="E75" s="47" t="s">
        <v>634</v>
      </c>
      <c r="F75" s="18" t="s">
        <v>83</v>
      </c>
      <c r="G75" s="18" t="s">
        <v>60</v>
      </c>
      <c r="H75" s="27"/>
      <c r="I75" s="24">
        <v>1</v>
      </c>
      <c r="J75" s="20" t="str">
        <f>VLOOKUP(G75,MD!M$2:O$93,3,FALSE)</f>
        <v>ha</v>
      </c>
      <c r="K75" s="29">
        <v>1</v>
      </c>
      <c r="L75" s="27"/>
      <c r="M75" s="25"/>
      <c r="N75" s="104"/>
      <c r="O75" s="25"/>
      <c r="P75" s="22"/>
      <c r="Q75" s="44"/>
      <c r="R75" s="44"/>
      <c r="S75" s="44"/>
      <c r="T75" s="25"/>
      <c r="U75" s="25"/>
      <c r="V75" s="25"/>
      <c r="W75" s="25"/>
      <c r="X75" s="22"/>
      <c r="Y75" s="44"/>
      <c r="Z75" s="44"/>
      <c r="AA75" s="44"/>
      <c r="AB75" s="25"/>
      <c r="AC75" s="25"/>
      <c r="AD75" s="25"/>
      <c r="AE75" s="25"/>
    </row>
    <row r="76" spans="1:31" s="59" customFormat="1">
      <c r="A76" s="47" t="s">
        <v>553</v>
      </c>
      <c r="B76" s="47" t="s">
        <v>554</v>
      </c>
      <c r="C76" s="48">
        <v>43837</v>
      </c>
      <c r="D76" s="64">
        <f t="shared" si="1"/>
        <v>2</v>
      </c>
      <c r="E76" s="47" t="s">
        <v>553</v>
      </c>
      <c r="F76" s="18" t="s">
        <v>86</v>
      </c>
      <c r="G76" s="18" t="s">
        <v>64</v>
      </c>
      <c r="H76" s="27"/>
      <c r="I76" s="24">
        <v>1</v>
      </c>
      <c r="J76" s="20" t="str">
        <f>VLOOKUP(G76,MD!M$2:O$93,3,FALSE)</f>
        <v>ha</v>
      </c>
      <c r="K76" s="29">
        <v>1</v>
      </c>
      <c r="L76" s="27"/>
      <c r="M76" s="25"/>
      <c r="N76" s="25"/>
      <c r="O76" s="25"/>
      <c r="P76" s="22"/>
      <c r="Q76" s="44"/>
      <c r="R76" s="44"/>
      <c r="S76" s="44"/>
      <c r="T76" s="25"/>
      <c r="U76" s="25"/>
      <c r="V76" s="25"/>
      <c r="W76" s="25"/>
      <c r="X76" s="22"/>
      <c r="Y76" s="44"/>
      <c r="Z76" s="44"/>
      <c r="AA76" s="44"/>
      <c r="AB76" s="25"/>
      <c r="AC76" s="25"/>
      <c r="AD76" s="25"/>
      <c r="AE76" s="25"/>
    </row>
    <row r="77" spans="1:31" s="59" customFormat="1">
      <c r="A77" s="47" t="s">
        <v>553</v>
      </c>
      <c r="B77" s="47" t="s">
        <v>554</v>
      </c>
      <c r="C77" s="48">
        <v>43837</v>
      </c>
      <c r="D77" s="64">
        <f t="shared" si="1"/>
        <v>2</v>
      </c>
      <c r="E77" s="47" t="s">
        <v>553</v>
      </c>
      <c r="F77" s="18" t="s">
        <v>89</v>
      </c>
      <c r="G77" s="18" t="s">
        <v>113</v>
      </c>
      <c r="H77" s="27" t="s">
        <v>709</v>
      </c>
      <c r="I77" s="102">
        <f>1/1.5</f>
        <v>0.66666666666666663</v>
      </c>
      <c r="J77" s="20" t="str">
        <f>VLOOKUP(G77,MD!M$2:O$93,3,FALSE)</f>
        <v>Dose hom.</v>
      </c>
      <c r="K77" s="29">
        <v>1</v>
      </c>
      <c r="L77" s="27" t="s">
        <v>710</v>
      </c>
      <c r="M77" s="25" t="s">
        <v>711</v>
      </c>
      <c r="N77" s="103">
        <f>1*500</f>
        <v>500</v>
      </c>
      <c r="O77" s="25" t="s">
        <v>358</v>
      </c>
      <c r="P77" s="22"/>
      <c r="Q77" s="44"/>
      <c r="R77" s="44"/>
      <c r="S77" s="44"/>
      <c r="T77" s="25"/>
      <c r="U77" s="25"/>
      <c r="V77" s="25"/>
      <c r="W77" s="25"/>
      <c r="X77" s="22"/>
      <c r="Y77" s="44"/>
      <c r="Z77" s="44"/>
      <c r="AA77" s="44"/>
      <c r="AB77" s="25"/>
      <c r="AC77" s="25"/>
      <c r="AD77" s="25"/>
      <c r="AE77" s="25"/>
    </row>
    <row r="78" spans="1:31" s="59" customFormat="1">
      <c r="A78" s="47" t="s">
        <v>553</v>
      </c>
      <c r="B78" s="47" t="s">
        <v>554</v>
      </c>
      <c r="C78" s="48">
        <v>43837</v>
      </c>
      <c r="D78" s="64">
        <f t="shared" si="1"/>
        <v>2</v>
      </c>
      <c r="E78" s="47" t="s">
        <v>553</v>
      </c>
      <c r="F78" s="18" t="s">
        <v>89</v>
      </c>
      <c r="G78" s="18" t="s">
        <v>113</v>
      </c>
      <c r="H78" s="27" t="s">
        <v>712</v>
      </c>
      <c r="I78" s="102">
        <f>1/1.5</f>
        <v>0.66666666666666663</v>
      </c>
      <c r="J78" s="20" t="str">
        <f>VLOOKUP(G78,MD!M$2:O$93,3,FALSE)</f>
        <v>Dose hom.</v>
      </c>
      <c r="K78" s="29">
        <v>1</v>
      </c>
      <c r="L78" s="27" t="s">
        <v>713</v>
      </c>
      <c r="M78" s="25" t="s">
        <v>714</v>
      </c>
      <c r="N78" s="103">
        <f>1*6.272</f>
        <v>6.2720000000000002</v>
      </c>
      <c r="O78" s="25" t="s">
        <v>358</v>
      </c>
      <c r="P78" s="22"/>
      <c r="Q78" s="44"/>
      <c r="R78" s="44"/>
      <c r="S78" s="44"/>
      <c r="T78" s="25"/>
      <c r="U78" s="25"/>
      <c r="V78" s="25"/>
      <c r="W78" s="25"/>
      <c r="X78" s="22"/>
      <c r="Y78" s="44"/>
      <c r="Z78" s="44"/>
      <c r="AA78" s="44"/>
      <c r="AB78" s="25"/>
      <c r="AC78" s="25"/>
      <c r="AD78" s="25"/>
      <c r="AE78" s="25"/>
    </row>
    <row r="79" spans="1:31" s="59" customFormat="1">
      <c r="A79" s="47" t="s">
        <v>553</v>
      </c>
      <c r="B79" s="47" t="s">
        <v>554</v>
      </c>
      <c r="C79" s="48">
        <v>43879</v>
      </c>
      <c r="D79" s="64">
        <f t="shared" si="1"/>
        <v>8</v>
      </c>
      <c r="E79" s="47" t="s">
        <v>553</v>
      </c>
      <c r="F79" s="18" t="s">
        <v>85</v>
      </c>
      <c r="G79" s="18" t="s">
        <v>67</v>
      </c>
      <c r="H79" s="27"/>
      <c r="I79" s="24">
        <v>1</v>
      </c>
      <c r="J79" s="20" t="str">
        <f>VLOOKUP(G79,MD!M$2:O$93,3,FALSE)</f>
        <v>ha</v>
      </c>
      <c r="K79" s="29">
        <v>1</v>
      </c>
      <c r="L79" s="27"/>
      <c r="M79" s="25"/>
      <c r="N79" s="25"/>
      <c r="O79" s="25"/>
      <c r="P79" s="22"/>
      <c r="Q79" s="44"/>
      <c r="R79" s="44"/>
      <c r="S79" s="44"/>
      <c r="T79" s="25"/>
      <c r="U79" s="25"/>
      <c r="V79" s="25"/>
      <c r="W79" s="25"/>
      <c r="X79" s="22"/>
      <c r="Y79" s="44"/>
      <c r="Z79" s="44"/>
      <c r="AA79" s="44"/>
      <c r="AB79" s="25"/>
      <c r="AC79" s="25"/>
      <c r="AD79" s="25"/>
      <c r="AE79" s="25"/>
    </row>
    <row r="80" spans="1:31" s="59" customFormat="1">
      <c r="A80" s="47" t="s">
        <v>553</v>
      </c>
      <c r="B80" s="47" t="s">
        <v>554</v>
      </c>
      <c r="C80" s="48">
        <v>43879</v>
      </c>
      <c r="D80" s="64">
        <f t="shared" si="1"/>
        <v>8</v>
      </c>
      <c r="E80" s="47" t="s">
        <v>553</v>
      </c>
      <c r="F80" s="18" t="s">
        <v>88</v>
      </c>
      <c r="G80" s="18" t="s">
        <v>718</v>
      </c>
      <c r="H80" s="27" t="s">
        <v>717</v>
      </c>
      <c r="I80" s="24">
        <v>330</v>
      </c>
      <c r="J80" s="20" t="str">
        <f>VLOOKUP(G80,MD!M$2:O$93,3,FALSE)</f>
        <v>l/ha</v>
      </c>
      <c r="K80" s="29">
        <v>1</v>
      </c>
      <c r="L80" s="27"/>
      <c r="M80" s="25"/>
      <c r="N80" s="25"/>
      <c r="O80" s="25"/>
      <c r="P80" s="22"/>
      <c r="Q80" s="44"/>
      <c r="R80" s="44"/>
      <c r="S80" s="44"/>
      <c r="T80" s="25"/>
      <c r="U80" s="25"/>
      <c r="V80" s="25"/>
      <c r="W80" s="25"/>
      <c r="X80" s="22"/>
      <c r="Y80" s="44"/>
      <c r="Z80" s="44"/>
      <c r="AA80" s="44"/>
      <c r="AB80" s="25"/>
      <c r="AC80" s="25"/>
      <c r="AD80" s="25"/>
      <c r="AE80" s="25"/>
    </row>
    <row r="81" spans="1:31" s="59" customFormat="1">
      <c r="A81" s="47" t="s">
        <v>553</v>
      </c>
      <c r="B81" s="47" t="s">
        <v>554</v>
      </c>
      <c r="C81" s="48">
        <v>43898</v>
      </c>
      <c r="D81" s="64">
        <f t="shared" si="1"/>
        <v>11</v>
      </c>
      <c r="E81" s="47" t="s">
        <v>553</v>
      </c>
      <c r="F81" s="18" t="s">
        <v>85</v>
      </c>
      <c r="G81" s="18" t="s">
        <v>67</v>
      </c>
      <c r="H81" s="27"/>
      <c r="I81" s="24">
        <v>1</v>
      </c>
      <c r="J81" s="20" t="str">
        <f>VLOOKUP(G81,MD!M$2:O$93,3,FALSE)</f>
        <v>ha</v>
      </c>
      <c r="K81" s="29">
        <v>1</v>
      </c>
      <c r="L81" s="27"/>
      <c r="M81" s="25"/>
      <c r="N81" s="25"/>
      <c r="O81" s="25"/>
      <c r="P81" s="22"/>
      <c r="Q81" s="44"/>
      <c r="R81" s="44"/>
      <c r="S81" s="44"/>
      <c r="T81" s="25"/>
      <c r="U81" s="25"/>
      <c r="V81" s="25"/>
      <c r="W81" s="25"/>
      <c r="X81" s="22"/>
      <c r="Y81" s="44"/>
      <c r="Z81" s="44"/>
      <c r="AA81" s="44"/>
      <c r="AB81" s="25"/>
      <c r="AC81" s="25"/>
      <c r="AD81" s="25"/>
      <c r="AE81" s="25"/>
    </row>
    <row r="82" spans="1:31" s="59" customFormat="1">
      <c r="A82" s="47" t="s">
        <v>553</v>
      </c>
      <c r="B82" s="47" t="s">
        <v>554</v>
      </c>
      <c r="C82" s="48">
        <v>43898</v>
      </c>
      <c r="D82" s="64">
        <f t="shared" si="1"/>
        <v>11</v>
      </c>
      <c r="E82" s="47" t="s">
        <v>553</v>
      </c>
      <c r="F82" s="18" t="s">
        <v>88</v>
      </c>
      <c r="G82" s="18" t="s">
        <v>720</v>
      </c>
      <c r="H82" s="27"/>
      <c r="I82" s="24">
        <v>3</v>
      </c>
      <c r="J82" s="20" t="str">
        <f>VLOOKUP(G82,MD!M$2:O$93,3,FALSE)</f>
        <v>l/ha</v>
      </c>
      <c r="K82" s="29">
        <v>1</v>
      </c>
      <c r="L82" s="27"/>
      <c r="M82" s="25"/>
      <c r="N82" s="25"/>
      <c r="O82" s="25"/>
      <c r="P82" s="22"/>
      <c r="Q82" s="44"/>
      <c r="R82" s="44"/>
      <c r="S82" s="44"/>
      <c r="T82" s="25"/>
      <c r="U82" s="25"/>
      <c r="V82" s="25"/>
      <c r="W82" s="25"/>
      <c r="X82" s="22"/>
      <c r="Y82" s="44"/>
      <c r="Z82" s="44"/>
      <c r="AA82" s="44"/>
      <c r="AB82" s="25"/>
      <c r="AC82" s="25"/>
      <c r="AD82" s="25"/>
      <c r="AE82" s="25"/>
    </row>
    <row r="83" spans="1:31" s="59" customFormat="1">
      <c r="A83" s="47" t="s">
        <v>553</v>
      </c>
      <c r="B83" s="47" t="s">
        <v>554</v>
      </c>
      <c r="C83" s="48">
        <v>43899</v>
      </c>
      <c r="D83" s="64">
        <f t="shared" si="1"/>
        <v>11</v>
      </c>
      <c r="E83" s="47" t="s">
        <v>553</v>
      </c>
      <c r="F83" s="18" t="s">
        <v>85</v>
      </c>
      <c r="G83" s="18" t="s">
        <v>67</v>
      </c>
      <c r="H83" s="27"/>
      <c r="I83" s="24">
        <v>1</v>
      </c>
      <c r="J83" s="20" t="str">
        <f>VLOOKUP(G83,MD!M$2:O$93,3,FALSE)</f>
        <v>ha</v>
      </c>
      <c r="K83" s="29">
        <v>1</v>
      </c>
      <c r="L83" s="27"/>
      <c r="M83" s="25"/>
      <c r="N83" s="25"/>
      <c r="O83" s="25"/>
      <c r="P83" s="22"/>
      <c r="Q83" s="44"/>
      <c r="R83" s="44"/>
      <c r="S83" s="44"/>
      <c r="T83" s="25"/>
      <c r="U83" s="25"/>
      <c r="V83" s="25"/>
      <c r="W83" s="25"/>
      <c r="X83" s="22"/>
      <c r="Y83" s="44"/>
      <c r="Z83" s="44"/>
      <c r="AA83" s="44"/>
      <c r="AB83" s="25"/>
      <c r="AC83" s="25"/>
      <c r="AD83" s="25"/>
      <c r="AE83" s="25"/>
    </row>
    <row r="84" spans="1:31" s="59" customFormat="1">
      <c r="A84" s="47" t="s">
        <v>553</v>
      </c>
      <c r="B84" s="47" t="s">
        <v>554</v>
      </c>
      <c r="C84" s="48">
        <v>43899</v>
      </c>
      <c r="D84" s="64">
        <f t="shared" si="1"/>
        <v>11</v>
      </c>
      <c r="E84" s="47" t="s">
        <v>553</v>
      </c>
      <c r="F84" s="18" t="s">
        <v>88</v>
      </c>
      <c r="G84" s="18" t="s">
        <v>715</v>
      </c>
      <c r="H84" s="27" t="s">
        <v>731</v>
      </c>
      <c r="I84" s="24">
        <v>270</v>
      </c>
      <c r="J84" s="20" t="str">
        <f>VLOOKUP(G84,MD!M$2:O$93,3,FALSE)</f>
        <v>l/ha</v>
      </c>
      <c r="K84" s="29">
        <v>1</v>
      </c>
      <c r="L84" s="27"/>
      <c r="M84" s="25"/>
      <c r="N84" s="25"/>
      <c r="O84" s="25"/>
      <c r="P84" s="22"/>
      <c r="Q84" s="44"/>
      <c r="R84" s="44"/>
      <c r="S84" s="44"/>
      <c r="T84" s="25"/>
      <c r="U84" s="25"/>
      <c r="V84" s="25"/>
      <c r="W84" s="25"/>
      <c r="X84" s="22"/>
      <c r="Y84" s="44"/>
      <c r="Z84" s="44"/>
      <c r="AA84" s="44"/>
      <c r="AB84" s="25"/>
      <c r="AC84" s="25"/>
      <c r="AD84" s="25"/>
      <c r="AE84" s="25"/>
    </row>
    <row r="85" spans="1:31" s="59" customFormat="1">
      <c r="A85" s="47" t="s">
        <v>553</v>
      </c>
      <c r="B85" s="47" t="s">
        <v>554</v>
      </c>
      <c r="C85" s="48">
        <v>43909</v>
      </c>
      <c r="D85" s="64">
        <f t="shared" si="1"/>
        <v>12</v>
      </c>
      <c r="E85" s="47" t="s">
        <v>553</v>
      </c>
      <c r="F85" s="18" t="s">
        <v>86</v>
      </c>
      <c r="G85" s="18" t="s">
        <v>64</v>
      </c>
      <c r="H85" s="27"/>
      <c r="I85" s="24">
        <v>1</v>
      </c>
      <c r="J85" s="20" t="str">
        <f>VLOOKUP(G85,MD!M$2:O$93,3,FALSE)</f>
        <v>ha</v>
      </c>
      <c r="K85" s="29">
        <v>1</v>
      </c>
      <c r="L85" s="27"/>
      <c r="M85" s="25"/>
      <c r="N85" s="25"/>
      <c r="O85" s="25"/>
      <c r="P85" s="22"/>
      <c r="Q85" s="44"/>
      <c r="R85" s="44"/>
      <c r="S85" s="44"/>
      <c r="T85" s="25"/>
      <c r="U85" s="25"/>
      <c r="V85" s="25"/>
      <c r="W85" s="25"/>
      <c r="X85" s="22"/>
      <c r="Y85" s="44"/>
      <c r="Z85" s="44"/>
      <c r="AA85" s="44"/>
      <c r="AB85" s="25"/>
      <c r="AC85" s="25"/>
      <c r="AD85" s="25"/>
      <c r="AE85" s="25"/>
    </row>
    <row r="86" spans="1:31" s="59" customFormat="1">
      <c r="A86" s="47" t="s">
        <v>553</v>
      </c>
      <c r="B86" s="47" t="s">
        <v>554</v>
      </c>
      <c r="C86" s="48">
        <v>43909</v>
      </c>
      <c r="D86" s="64">
        <f t="shared" si="1"/>
        <v>12</v>
      </c>
      <c r="E86" s="47" t="s">
        <v>553</v>
      </c>
      <c r="F86" s="18" t="s">
        <v>89</v>
      </c>
      <c r="G86" s="18" t="s">
        <v>111</v>
      </c>
      <c r="H86" s="27" t="s">
        <v>797</v>
      </c>
      <c r="I86" s="24">
        <f>0.2/0.2</f>
        <v>1</v>
      </c>
      <c r="J86" s="20" t="str">
        <f>VLOOKUP(G86,MD!M$2:O$93,3,FALSE)</f>
        <v>Dose hom.</v>
      </c>
      <c r="K86" s="29">
        <v>1</v>
      </c>
      <c r="L86" s="27" t="s">
        <v>799</v>
      </c>
      <c r="M86" s="25" t="s">
        <v>798</v>
      </c>
      <c r="N86" s="25">
        <f>0.2*240</f>
        <v>48</v>
      </c>
      <c r="O86" s="25" t="s">
        <v>358</v>
      </c>
      <c r="P86" s="22"/>
      <c r="Q86" s="44"/>
      <c r="R86" s="44"/>
      <c r="S86" s="44"/>
      <c r="T86" s="25"/>
      <c r="U86" s="25"/>
      <c r="V86" s="25"/>
      <c r="W86" s="25"/>
      <c r="X86" s="22"/>
      <c r="Y86" s="44"/>
      <c r="Z86" s="44"/>
      <c r="AA86" s="44"/>
      <c r="AB86" s="25"/>
      <c r="AC86" s="25"/>
      <c r="AD86" s="25"/>
      <c r="AE86" s="25"/>
    </row>
    <row r="87" spans="1:31" s="59" customFormat="1">
      <c r="A87" s="47" t="s">
        <v>553</v>
      </c>
      <c r="B87" s="47" t="s">
        <v>554</v>
      </c>
      <c r="C87" s="48">
        <v>43926</v>
      </c>
      <c r="D87" s="64">
        <f t="shared" si="1"/>
        <v>15</v>
      </c>
      <c r="E87" s="47" t="s">
        <v>553</v>
      </c>
      <c r="F87" s="18" t="s">
        <v>86</v>
      </c>
      <c r="G87" s="18" t="s">
        <v>64</v>
      </c>
      <c r="H87" s="27"/>
      <c r="I87" s="24">
        <v>1</v>
      </c>
      <c r="J87" s="20" t="str">
        <f>VLOOKUP(G87,MD!M$2:O$93,3,FALSE)</f>
        <v>ha</v>
      </c>
      <c r="K87" s="29">
        <v>1</v>
      </c>
      <c r="L87" s="27"/>
      <c r="M87" s="25"/>
      <c r="N87" s="25"/>
      <c r="O87" s="25"/>
      <c r="P87" s="22"/>
      <c r="Q87" s="44"/>
      <c r="R87" s="44"/>
      <c r="S87" s="44"/>
      <c r="T87" s="25"/>
      <c r="U87" s="25"/>
      <c r="V87" s="25"/>
      <c r="W87" s="25"/>
      <c r="X87" s="22"/>
      <c r="Y87" s="44"/>
      <c r="Z87" s="44"/>
      <c r="AA87" s="44"/>
      <c r="AB87" s="25"/>
      <c r="AC87" s="25"/>
      <c r="AD87" s="25"/>
      <c r="AE87" s="25"/>
    </row>
    <row r="88" spans="1:31" s="59" customFormat="1">
      <c r="A88" s="47" t="s">
        <v>553</v>
      </c>
      <c r="B88" s="47" t="s">
        <v>554</v>
      </c>
      <c r="C88" s="48">
        <v>43926</v>
      </c>
      <c r="D88" s="64">
        <f t="shared" si="1"/>
        <v>15</v>
      </c>
      <c r="E88" s="47" t="s">
        <v>553</v>
      </c>
      <c r="F88" s="18" t="s">
        <v>89</v>
      </c>
      <c r="G88" s="18" t="s">
        <v>111</v>
      </c>
      <c r="H88" s="27" t="s">
        <v>797</v>
      </c>
      <c r="I88" s="24">
        <f>0.2/0.2</f>
        <v>1</v>
      </c>
      <c r="J88" s="20" t="str">
        <f>VLOOKUP(G88,MD!M$2:O$93,3,FALSE)</f>
        <v>Dose hom.</v>
      </c>
      <c r="K88" s="29">
        <v>1</v>
      </c>
      <c r="L88" s="27" t="s">
        <v>799</v>
      </c>
      <c r="M88" s="25" t="s">
        <v>798</v>
      </c>
      <c r="N88" s="25">
        <f>0.2*240</f>
        <v>48</v>
      </c>
      <c r="O88" s="25" t="s">
        <v>358</v>
      </c>
      <c r="P88" s="22"/>
      <c r="Q88" s="44"/>
      <c r="R88" s="44"/>
      <c r="S88" s="44"/>
      <c r="T88" s="25"/>
      <c r="U88" s="25"/>
      <c r="V88" s="25"/>
      <c r="W88" s="25"/>
      <c r="X88" s="22"/>
      <c r="Y88" s="44"/>
      <c r="Z88" s="44"/>
      <c r="AA88" s="44"/>
      <c r="AB88" s="25"/>
      <c r="AC88" s="25"/>
      <c r="AD88" s="25"/>
      <c r="AE88" s="25"/>
    </row>
    <row r="89" spans="1:31" s="59" customFormat="1">
      <c r="A89" s="47" t="s">
        <v>553</v>
      </c>
      <c r="B89" s="47" t="s">
        <v>554</v>
      </c>
      <c r="C89" s="48">
        <v>43929</v>
      </c>
      <c r="D89" s="64">
        <f t="shared" si="1"/>
        <v>15</v>
      </c>
      <c r="E89" s="47" t="s">
        <v>553</v>
      </c>
      <c r="F89" s="18" t="s">
        <v>86</v>
      </c>
      <c r="G89" s="18" t="s">
        <v>64</v>
      </c>
      <c r="H89" s="27"/>
      <c r="I89" s="24">
        <v>1</v>
      </c>
      <c r="J89" s="20" t="str">
        <f>VLOOKUP(G89,MD!M$2:O$93,3,FALSE)</f>
        <v>ha</v>
      </c>
      <c r="K89" s="29">
        <v>1</v>
      </c>
      <c r="L89" s="27"/>
      <c r="M89" s="25"/>
      <c r="N89" s="25"/>
      <c r="O89" s="25"/>
      <c r="P89" s="22"/>
      <c r="Q89" s="44"/>
      <c r="R89" s="44"/>
      <c r="S89" s="44"/>
      <c r="T89" s="25"/>
      <c r="U89" s="25"/>
      <c r="V89" s="25"/>
      <c r="W89" s="25"/>
      <c r="X89" s="22"/>
      <c r="Y89" s="44"/>
      <c r="Z89" s="44"/>
      <c r="AA89" s="44"/>
      <c r="AB89" s="25"/>
      <c r="AC89" s="25"/>
      <c r="AD89" s="25"/>
      <c r="AE89" s="25"/>
    </row>
    <row r="90" spans="1:31" s="59" customFormat="1">
      <c r="A90" s="47" t="s">
        <v>553</v>
      </c>
      <c r="B90" s="47" t="s">
        <v>554</v>
      </c>
      <c r="C90" s="48">
        <v>43929</v>
      </c>
      <c r="D90" s="64">
        <f t="shared" si="1"/>
        <v>15</v>
      </c>
      <c r="E90" s="47" t="s">
        <v>553</v>
      </c>
      <c r="F90" s="18" t="s">
        <v>89</v>
      </c>
      <c r="G90" s="18" t="s">
        <v>112</v>
      </c>
      <c r="H90" s="27" t="s">
        <v>800</v>
      </c>
      <c r="I90" s="24">
        <f>0.7/1</f>
        <v>0.7</v>
      </c>
      <c r="J90" s="20" t="str">
        <f>VLOOKUP(G90,MD!M$2:O$93,3,FALSE)</f>
        <v>Dose hom.</v>
      </c>
      <c r="K90" s="29">
        <v>1</v>
      </c>
      <c r="L90" s="27" t="s">
        <v>801</v>
      </c>
      <c r="M90" s="25" t="s">
        <v>369</v>
      </c>
      <c r="N90" s="25">
        <f>0.7*125</f>
        <v>87.5</v>
      </c>
      <c r="O90" s="25" t="s">
        <v>358</v>
      </c>
      <c r="P90" s="22"/>
      <c r="Q90" s="44"/>
      <c r="R90" s="44"/>
      <c r="S90" s="44"/>
      <c r="T90" s="25"/>
      <c r="U90" s="25"/>
      <c r="V90" s="25"/>
      <c r="W90" s="25"/>
      <c r="X90" s="22"/>
      <c r="Y90" s="44"/>
      <c r="Z90" s="44"/>
      <c r="AA90" s="44"/>
      <c r="AB90" s="25"/>
      <c r="AC90" s="25"/>
      <c r="AD90" s="25"/>
      <c r="AE90" s="25"/>
    </row>
    <row r="91" spans="1:31" s="59" customFormat="1">
      <c r="A91" s="47" t="s">
        <v>553</v>
      </c>
      <c r="B91" s="47" t="s">
        <v>554</v>
      </c>
      <c r="C91" s="48">
        <v>43929</v>
      </c>
      <c r="D91" s="64">
        <f t="shared" si="1"/>
        <v>15</v>
      </c>
      <c r="E91" s="47" t="s">
        <v>553</v>
      </c>
      <c r="F91" s="18" t="s">
        <v>89</v>
      </c>
      <c r="G91" s="18" t="s">
        <v>112</v>
      </c>
      <c r="H91" s="27" t="s">
        <v>802</v>
      </c>
      <c r="I91" s="24">
        <f>0.7/1</f>
        <v>0.7</v>
      </c>
      <c r="J91" s="20" t="str">
        <f>VLOOKUP(G91,MD!M$2:O$93,3,FALSE)</f>
        <v>Dose hom.</v>
      </c>
      <c r="K91" s="29">
        <v>1</v>
      </c>
      <c r="L91" s="27" t="s">
        <v>801</v>
      </c>
      <c r="M91" s="25" t="s">
        <v>367</v>
      </c>
      <c r="N91" s="25">
        <f>0.7*125</f>
        <v>87.5</v>
      </c>
      <c r="O91" s="25" t="s">
        <v>358</v>
      </c>
      <c r="P91" s="22"/>
      <c r="Q91" s="44"/>
      <c r="R91" s="44"/>
      <c r="S91" s="44"/>
      <c r="T91" s="25"/>
      <c r="U91" s="25"/>
      <c r="V91" s="25"/>
      <c r="W91" s="25"/>
      <c r="X91" s="22"/>
      <c r="Y91" s="44"/>
      <c r="Z91" s="44"/>
      <c r="AA91" s="44"/>
      <c r="AB91" s="25"/>
      <c r="AC91" s="25"/>
      <c r="AD91" s="25"/>
      <c r="AE91" s="25"/>
    </row>
    <row r="92" spans="1:31" s="59" customFormat="1">
      <c r="A92" s="47" t="s">
        <v>553</v>
      </c>
      <c r="B92" s="47" t="s">
        <v>554</v>
      </c>
      <c r="C92" s="48">
        <v>43958</v>
      </c>
      <c r="D92" s="64">
        <f t="shared" si="1"/>
        <v>19</v>
      </c>
      <c r="E92" s="47" t="s">
        <v>553</v>
      </c>
      <c r="F92" s="18" t="s">
        <v>86</v>
      </c>
      <c r="G92" s="18" t="s">
        <v>64</v>
      </c>
      <c r="H92" s="27"/>
      <c r="I92" s="24">
        <v>1</v>
      </c>
      <c r="J92" s="20" t="str">
        <f>VLOOKUP(G92,MD!M$2:O$93,3,FALSE)</f>
        <v>ha</v>
      </c>
      <c r="K92" s="29">
        <v>1</v>
      </c>
      <c r="L92" s="27"/>
      <c r="M92" s="25"/>
      <c r="N92" s="25"/>
      <c r="O92" s="25"/>
      <c r="P92" s="22"/>
      <c r="Q92" s="44"/>
      <c r="R92" s="44"/>
      <c r="S92" s="44"/>
      <c r="T92" s="25"/>
      <c r="U92" s="25"/>
      <c r="V92" s="25"/>
      <c r="W92" s="25"/>
      <c r="X92" s="22"/>
      <c r="Y92" s="44"/>
      <c r="Z92" s="44"/>
      <c r="AA92" s="44"/>
      <c r="AB92" s="25"/>
      <c r="AC92" s="25"/>
      <c r="AD92" s="25"/>
      <c r="AE92" s="25"/>
    </row>
    <row r="93" spans="1:31" s="59" customFormat="1">
      <c r="A93" s="47" t="s">
        <v>553</v>
      </c>
      <c r="B93" s="47" t="s">
        <v>554</v>
      </c>
      <c r="C93" s="48">
        <v>43958</v>
      </c>
      <c r="D93" s="64">
        <f t="shared" si="1"/>
        <v>19</v>
      </c>
      <c r="E93" s="47" t="s">
        <v>553</v>
      </c>
      <c r="F93" s="18" t="s">
        <v>89</v>
      </c>
      <c r="G93" s="18" t="s">
        <v>111</v>
      </c>
      <c r="H93" s="27" t="s">
        <v>809</v>
      </c>
      <c r="I93" s="24">
        <f>1/1</f>
        <v>1</v>
      </c>
      <c r="J93" s="20" t="str">
        <f>VLOOKUP(G93,MD!M$2:O$93,3,FALSE)</f>
        <v>Dose hom.</v>
      </c>
      <c r="K93" s="29">
        <v>1</v>
      </c>
      <c r="L93" s="27" t="s">
        <v>811</v>
      </c>
      <c r="M93" s="25" t="s">
        <v>810</v>
      </c>
      <c r="N93" s="25">
        <f>1*5</f>
        <v>5</v>
      </c>
      <c r="O93" s="25" t="s">
        <v>358</v>
      </c>
      <c r="P93" s="22"/>
      <c r="Q93" s="44"/>
      <c r="R93" s="44"/>
      <c r="S93" s="44"/>
      <c r="T93" s="25"/>
      <c r="U93" s="25"/>
      <c r="V93" s="25"/>
      <c r="W93" s="25"/>
      <c r="X93" s="22"/>
      <c r="Y93" s="44"/>
      <c r="Z93" s="44"/>
      <c r="AA93" s="44"/>
      <c r="AB93" s="25"/>
      <c r="AC93" s="25"/>
      <c r="AD93" s="25"/>
      <c r="AE93" s="25"/>
    </row>
    <row r="94" spans="1:31" s="59" customFormat="1">
      <c r="A94" s="47" t="s">
        <v>553</v>
      </c>
      <c r="B94" s="47" t="s">
        <v>554</v>
      </c>
      <c r="C94" s="48">
        <v>43958</v>
      </c>
      <c r="D94" s="64">
        <f t="shared" si="1"/>
        <v>19</v>
      </c>
      <c r="E94" s="47" t="s">
        <v>553</v>
      </c>
      <c r="F94" s="18" t="s">
        <v>89</v>
      </c>
      <c r="G94" s="18" t="s">
        <v>111</v>
      </c>
      <c r="H94" s="27" t="s">
        <v>808</v>
      </c>
      <c r="I94" s="24">
        <f>1/1</f>
        <v>1</v>
      </c>
      <c r="J94" s="20" t="str">
        <f>VLOOKUP(G94,MD!M$2:O$93,3,FALSE)</f>
        <v>Dose hom.</v>
      </c>
      <c r="K94" s="29">
        <v>1</v>
      </c>
      <c r="L94" s="27" t="s">
        <v>812</v>
      </c>
      <c r="M94" s="25" t="s">
        <v>805</v>
      </c>
      <c r="N94" s="25">
        <f>1*100</f>
        <v>100</v>
      </c>
      <c r="O94" s="25" t="s">
        <v>358</v>
      </c>
      <c r="P94" s="22"/>
      <c r="Q94" s="44"/>
      <c r="R94" s="44"/>
      <c r="S94" s="44"/>
      <c r="T94" s="25"/>
      <c r="U94" s="25"/>
      <c r="V94" s="25"/>
      <c r="W94" s="25"/>
      <c r="X94" s="22"/>
      <c r="Y94" s="44"/>
      <c r="Z94" s="44"/>
      <c r="AA94" s="44"/>
      <c r="AB94" s="25"/>
      <c r="AC94" s="25"/>
      <c r="AD94" s="25"/>
      <c r="AE94" s="25"/>
    </row>
    <row r="95" spans="1:31" s="59" customFormat="1">
      <c r="A95" s="47" t="s">
        <v>553</v>
      </c>
      <c r="B95" s="47" t="s">
        <v>554</v>
      </c>
      <c r="C95" s="48">
        <v>43958</v>
      </c>
      <c r="D95" s="64">
        <f t="shared" si="1"/>
        <v>19</v>
      </c>
      <c r="E95" s="47" t="s">
        <v>553</v>
      </c>
      <c r="F95" s="18" t="s">
        <v>89</v>
      </c>
      <c r="G95" s="18" t="s">
        <v>112</v>
      </c>
      <c r="H95" s="27" t="s">
        <v>813</v>
      </c>
      <c r="I95" s="24">
        <f>0.6/0.8</f>
        <v>0.74999999999999989</v>
      </c>
      <c r="J95" s="20" t="str">
        <f>VLOOKUP(G95,MD!M$2:O$93,3,FALSE)</f>
        <v>Dose hom.</v>
      </c>
      <c r="K95" s="29">
        <v>1</v>
      </c>
      <c r="L95" s="27" t="s">
        <v>814</v>
      </c>
      <c r="M95" s="25" t="s">
        <v>548</v>
      </c>
      <c r="N95" s="25">
        <f>0.6*90</f>
        <v>54</v>
      </c>
      <c r="O95" s="25" t="s">
        <v>358</v>
      </c>
      <c r="P95" s="22"/>
      <c r="Q95" s="44"/>
      <c r="R95" s="44"/>
      <c r="S95" s="44"/>
      <c r="T95" s="25"/>
      <c r="U95" s="25"/>
      <c r="V95" s="25"/>
      <c r="W95" s="25"/>
      <c r="X95" s="22"/>
      <c r="Y95" s="44"/>
      <c r="Z95" s="44"/>
      <c r="AA95" s="44"/>
      <c r="AB95" s="25"/>
      <c r="AC95" s="25"/>
      <c r="AD95" s="25"/>
      <c r="AE95" s="25"/>
    </row>
    <row r="96" spans="1:31" s="59" customFormat="1">
      <c r="A96" s="47" t="s">
        <v>553</v>
      </c>
      <c r="B96" s="47" t="s">
        <v>554</v>
      </c>
      <c r="C96" s="48">
        <v>44033</v>
      </c>
      <c r="D96" s="64">
        <f t="shared" si="1"/>
        <v>30</v>
      </c>
      <c r="E96" s="47" t="s">
        <v>553</v>
      </c>
      <c r="F96" s="18" t="s">
        <v>86</v>
      </c>
      <c r="G96" s="18" t="s">
        <v>55</v>
      </c>
      <c r="H96" s="27"/>
      <c r="I96" s="24">
        <v>1</v>
      </c>
      <c r="J96" s="20" t="str">
        <f>VLOOKUP(G96,MD!M$2:O$93,3,FALSE)</f>
        <v>ha</v>
      </c>
      <c r="K96" s="29">
        <v>1</v>
      </c>
      <c r="L96" s="27"/>
      <c r="M96" s="25"/>
      <c r="N96" s="25"/>
      <c r="O96" s="25"/>
      <c r="P96" s="22"/>
      <c r="Q96" s="44"/>
      <c r="R96" s="44"/>
      <c r="S96" s="44"/>
      <c r="T96" s="25"/>
      <c r="U96" s="25"/>
      <c r="V96" s="25"/>
      <c r="W96" s="25"/>
      <c r="X96" s="22"/>
      <c r="Y96" s="44"/>
      <c r="Z96" s="44"/>
      <c r="AA96" s="44"/>
      <c r="AB96" s="25"/>
      <c r="AC96" s="25"/>
      <c r="AD96" s="25"/>
      <c r="AE96" s="25"/>
    </row>
    <row r="97" spans="1:31" s="59" customFormat="1">
      <c r="A97" s="47" t="s">
        <v>553</v>
      </c>
      <c r="B97" s="47" t="s">
        <v>554</v>
      </c>
      <c r="C97" s="48">
        <v>44033</v>
      </c>
      <c r="D97" s="64">
        <f t="shared" si="1"/>
        <v>30</v>
      </c>
      <c r="E97" s="47" t="s">
        <v>553</v>
      </c>
      <c r="F97" s="18" t="s">
        <v>2</v>
      </c>
      <c r="G97" s="18" t="s">
        <v>115</v>
      </c>
      <c r="H97" s="27" t="s">
        <v>827</v>
      </c>
      <c r="I97" s="24">
        <v>46</v>
      </c>
      <c r="J97" s="20" t="str">
        <f>VLOOKUP(G97,MD!M$2:O$93,3,FALSE)</f>
        <v>Qtx/ha</v>
      </c>
      <c r="K97" s="29">
        <v>1</v>
      </c>
      <c r="L97" s="27" t="s">
        <v>830</v>
      </c>
      <c r="M97" s="25"/>
      <c r="N97" s="25"/>
      <c r="O97" s="25"/>
      <c r="P97" s="22"/>
      <c r="Q97" s="44"/>
      <c r="R97" s="44"/>
      <c r="S97" s="44"/>
      <c r="T97" s="25"/>
      <c r="U97" s="25"/>
      <c r="V97" s="25"/>
      <c r="W97" s="25"/>
      <c r="X97" s="22"/>
      <c r="Y97" s="44"/>
      <c r="Z97" s="44"/>
      <c r="AA97" s="44"/>
      <c r="AB97" s="25"/>
      <c r="AC97" s="25"/>
      <c r="AD97" s="25"/>
      <c r="AE97" s="25"/>
    </row>
    <row r="98" spans="1:31" s="59" customFormat="1">
      <c r="A98" s="47" t="s">
        <v>121</v>
      </c>
      <c r="B98" s="47" t="s">
        <v>836</v>
      </c>
      <c r="C98" s="48">
        <v>44111</v>
      </c>
      <c r="D98" s="47">
        <f t="shared" si="1"/>
        <v>41</v>
      </c>
      <c r="E98" s="47" t="s">
        <v>123</v>
      </c>
      <c r="F98" s="18" t="s">
        <v>83</v>
      </c>
      <c r="G98" s="18" t="s">
        <v>62</v>
      </c>
      <c r="H98" s="27"/>
      <c r="I98" s="24">
        <v>1</v>
      </c>
      <c r="J98" s="20" t="str">
        <f>VLOOKUP(G98,MD!M$2:O$93,3,FALSE)</f>
        <v>ha</v>
      </c>
      <c r="K98" s="29">
        <v>1</v>
      </c>
      <c r="L98" s="27"/>
      <c r="M98" s="25"/>
      <c r="N98" s="25"/>
      <c r="O98" s="25"/>
      <c r="P98" s="22"/>
      <c r="Q98" s="44"/>
      <c r="R98" s="44"/>
      <c r="S98" s="44"/>
      <c r="T98" s="25"/>
      <c r="U98" s="25"/>
      <c r="V98" s="25"/>
      <c r="W98" s="25"/>
      <c r="X98" s="22"/>
      <c r="Y98" s="44"/>
      <c r="Z98" s="44"/>
      <c r="AA98" s="44"/>
      <c r="AB98" s="25"/>
      <c r="AC98" s="25"/>
      <c r="AD98" s="25"/>
      <c r="AE98" s="25"/>
    </row>
    <row r="99" spans="1:31" s="59" customFormat="1">
      <c r="A99" s="47" t="s">
        <v>121</v>
      </c>
      <c r="B99" s="47" t="s">
        <v>836</v>
      </c>
      <c r="C99" s="48">
        <v>44111</v>
      </c>
      <c r="D99" s="47">
        <f t="shared" si="1"/>
        <v>41</v>
      </c>
      <c r="E99" s="47" t="s">
        <v>123</v>
      </c>
      <c r="F99" s="18" t="s">
        <v>84</v>
      </c>
      <c r="G99" s="18" t="s">
        <v>76</v>
      </c>
      <c r="H99" s="27"/>
      <c r="I99" s="24">
        <v>1</v>
      </c>
      <c r="J99" s="20" t="str">
        <f>VLOOKUP(G99,MD!M$2:O$93,3,FALSE)</f>
        <v>ha</v>
      </c>
      <c r="K99" s="29">
        <v>1</v>
      </c>
      <c r="L99" s="27"/>
      <c r="M99" s="25"/>
      <c r="N99" s="25"/>
      <c r="O99" s="25"/>
      <c r="P99" s="22"/>
      <c r="Q99" s="44"/>
      <c r="R99" s="44"/>
      <c r="S99" s="44"/>
      <c r="T99" s="25"/>
      <c r="U99" s="25"/>
      <c r="V99" s="25"/>
      <c r="W99" s="25"/>
      <c r="X99" s="22"/>
      <c r="Y99" s="44"/>
      <c r="Z99" s="44"/>
      <c r="AA99" s="44"/>
      <c r="AB99" s="25"/>
      <c r="AC99" s="25"/>
      <c r="AD99" s="25"/>
      <c r="AE99" s="25"/>
    </row>
    <row r="100" spans="1:31" s="59" customFormat="1">
      <c r="A100" s="47" t="s">
        <v>121</v>
      </c>
      <c r="B100" s="47" t="s">
        <v>836</v>
      </c>
      <c r="C100" s="48">
        <v>44111</v>
      </c>
      <c r="D100" s="47">
        <f t="shared" si="1"/>
        <v>41</v>
      </c>
      <c r="E100" s="47" t="s">
        <v>123</v>
      </c>
      <c r="F100" s="18" t="s">
        <v>87</v>
      </c>
      <c r="G100" s="18" t="s">
        <v>93</v>
      </c>
      <c r="H100" s="27" t="s">
        <v>130</v>
      </c>
      <c r="I100" s="24">
        <v>210</v>
      </c>
      <c r="J100" s="20" t="str">
        <f>VLOOKUP(G100,MD!M$2:O$93,3,FALSE)</f>
        <v>gr./m2</v>
      </c>
      <c r="K100" s="29">
        <v>1</v>
      </c>
      <c r="L100" s="27" t="s">
        <v>851</v>
      </c>
      <c r="M100" s="25"/>
      <c r="N100" s="25"/>
      <c r="O100" s="25"/>
      <c r="P100" s="22"/>
      <c r="Q100" s="44"/>
      <c r="R100" s="44"/>
      <c r="S100" s="44"/>
      <c r="T100" s="25"/>
      <c r="U100" s="25"/>
      <c r="V100" s="25"/>
      <c r="W100" s="25"/>
      <c r="X100" s="22"/>
      <c r="Y100" s="44"/>
      <c r="Z100" s="44"/>
      <c r="AA100" s="44"/>
      <c r="AB100" s="25"/>
      <c r="AC100" s="25"/>
      <c r="AD100" s="25"/>
      <c r="AE100" s="25"/>
    </row>
    <row r="101" spans="1:31" s="59" customFormat="1">
      <c r="A101" s="47" t="s">
        <v>121</v>
      </c>
      <c r="B101" s="47" t="s">
        <v>836</v>
      </c>
      <c r="C101" s="48">
        <v>44111</v>
      </c>
      <c r="D101" s="47">
        <f t="shared" si="1"/>
        <v>41</v>
      </c>
      <c r="E101" s="47" t="s">
        <v>123</v>
      </c>
      <c r="F101" s="18" t="s">
        <v>89</v>
      </c>
      <c r="G101" s="18" t="s">
        <v>133</v>
      </c>
      <c r="H101" s="27" t="s">
        <v>927</v>
      </c>
      <c r="I101" s="24">
        <v>1</v>
      </c>
      <c r="J101" s="20" t="str">
        <f>VLOOKUP(G101,MD!M$2:O$93,3,FALSE)</f>
        <v>Dose hom.</v>
      </c>
      <c r="K101" s="29">
        <v>1</v>
      </c>
      <c r="L101" s="27" t="s">
        <v>913</v>
      </c>
      <c r="M101" s="25" t="s">
        <v>850</v>
      </c>
      <c r="N101" s="107">
        <f>50*0.2*210*0.046*0.00001*10000</f>
        <v>9.66</v>
      </c>
      <c r="O101" s="25" t="s">
        <v>358</v>
      </c>
      <c r="P101" s="22"/>
      <c r="Q101" s="44"/>
      <c r="R101" s="44"/>
      <c r="S101" s="44"/>
      <c r="T101" s="25"/>
      <c r="U101" s="25"/>
      <c r="V101" s="25"/>
      <c r="W101" s="25"/>
      <c r="X101" s="22"/>
      <c r="Y101" s="44"/>
      <c r="Z101" s="44"/>
      <c r="AA101" s="44"/>
      <c r="AB101" s="25"/>
      <c r="AC101" s="25"/>
      <c r="AD101" s="25"/>
      <c r="AE101" s="25"/>
    </row>
    <row r="102" spans="1:31" s="59" customFormat="1">
      <c r="A102" s="47" t="s">
        <v>121</v>
      </c>
      <c r="B102" s="47" t="s">
        <v>836</v>
      </c>
      <c r="C102" s="48">
        <v>44111</v>
      </c>
      <c r="D102" s="47">
        <f t="shared" si="1"/>
        <v>41</v>
      </c>
      <c r="E102" s="47" t="s">
        <v>123</v>
      </c>
      <c r="F102" s="18" t="s">
        <v>89</v>
      </c>
      <c r="G102" s="18" t="s">
        <v>133</v>
      </c>
      <c r="H102" s="27" t="s">
        <v>350</v>
      </c>
      <c r="I102" s="24">
        <v>1</v>
      </c>
      <c r="J102" s="20" t="str">
        <f>VLOOKUP(G102,MD!M$2:O$93,3,FALSE)</f>
        <v>Dose hom.</v>
      </c>
      <c r="K102" s="29">
        <v>1</v>
      </c>
      <c r="L102" s="27" t="s">
        <v>914</v>
      </c>
      <c r="M102" s="25" t="s">
        <v>351</v>
      </c>
      <c r="N102" s="107">
        <f>25*0.2*210*0.046*0.00001*10000</f>
        <v>4.83</v>
      </c>
      <c r="O102" s="25" t="s">
        <v>358</v>
      </c>
      <c r="P102" s="22"/>
      <c r="Q102" s="44"/>
      <c r="R102" s="44"/>
      <c r="S102" s="44"/>
      <c r="T102" s="25"/>
      <c r="U102" s="25"/>
      <c r="V102" s="25"/>
      <c r="W102" s="25"/>
      <c r="X102" s="22"/>
      <c r="Y102" s="44"/>
      <c r="Z102" s="44"/>
      <c r="AA102" s="44"/>
      <c r="AB102" s="25"/>
      <c r="AC102" s="25"/>
      <c r="AD102" s="25"/>
      <c r="AE102" s="25"/>
    </row>
    <row r="103" spans="1:31" s="59" customFormat="1">
      <c r="A103" s="47" t="s">
        <v>121</v>
      </c>
      <c r="B103" s="47" t="s">
        <v>836</v>
      </c>
      <c r="C103" s="48">
        <v>44111</v>
      </c>
      <c r="D103" s="47">
        <f t="shared" si="1"/>
        <v>41</v>
      </c>
      <c r="E103" s="47" t="s">
        <v>123</v>
      </c>
      <c r="F103" s="18" t="s">
        <v>89</v>
      </c>
      <c r="G103" s="18" t="s">
        <v>133</v>
      </c>
      <c r="H103" s="27" t="s">
        <v>349</v>
      </c>
      <c r="I103" s="24">
        <v>1</v>
      </c>
      <c r="J103" s="20" t="str">
        <f>VLOOKUP(G103,MD!M$2:O$93,3,FALSE)</f>
        <v>Dose hom.</v>
      </c>
      <c r="K103" s="29">
        <v>1</v>
      </c>
      <c r="L103" s="27" t="s">
        <v>914</v>
      </c>
      <c r="M103" s="25" t="s">
        <v>348</v>
      </c>
      <c r="N103" s="107">
        <f>25*0.2*210*0.046*0.00001*10000</f>
        <v>4.83</v>
      </c>
      <c r="O103" s="25" t="s">
        <v>358</v>
      </c>
      <c r="P103" s="22"/>
      <c r="Q103" s="44"/>
      <c r="R103" s="44"/>
      <c r="S103" s="44"/>
      <c r="T103" s="25"/>
      <c r="U103" s="25"/>
      <c r="V103" s="25"/>
      <c r="W103" s="25"/>
      <c r="X103" s="22"/>
      <c r="Y103" s="44"/>
      <c r="Z103" s="44"/>
      <c r="AA103" s="44"/>
      <c r="AB103" s="25"/>
      <c r="AC103" s="25"/>
      <c r="AD103" s="25"/>
      <c r="AE103" s="25"/>
    </row>
    <row r="104" spans="1:31" s="59" customFormat="1">
      <c r="A104" s="47" t="s">
        <v>847</v>
      </c>
      <c r="B104" s="47" t="s">
        <v>836</v>
      </c>
      <c r="C104" s="48">
        <v>44499</v>
      </c>
      <c r="D104" s="64">
        <f t="shared" si="1"/>
        <v>44</v>
      </c>
      <c r="E104" s="47" t="s">
        <v>121</v>
      </c>
      <c r="F104" s="18" t="s">
        <v>86</v>
      </c>
      <c r="G104" s="18" t="s">
        <v>64</v>
      </c>
      <c r="H104" s="27"/>
      <c r="I104" s="24">
        <v>1</v>
      </c>
      <c r="J104" s="20" t="str">
        <f>VLOOKUP(G104,MD!M$2:O$93,3,FALSE)</f>
        <v>ha</v>
      </c>
      <c r="K104" s="29"/>
      <c r="L104" s="27"/>
      <c r="M104" s="25"/>
      <c r="N104" s="25"/>
      <c r="O104" s="25"/>
      <c r="P104" s="22"/>
      <c r="Q104" s="44"/>
      <c r="R104" s="44"/>
      <c r="S104" s="44"/>
      <c r="T104" s="25"/>
      <c r="U104" s="25"/>
      <c r="V104" s="25"/>
      <c r="W104" s="25"/>
      <c r="X104" s="22"/>
      <c r="Y104" s="44"/>
      <c r="Z104" s="44"/>
      <c r="AA104" s="44"/>
      <c r="AB104" s="25"/>
      <c r="AC104" s="25"/>
      <c r="AD104" s="25"/>
      <c r="AE104" s="25"/>
    </row>
    <row r="105" spans="1:31" s="59" customFormat="1">
      <c r="A105" s="47" t="s">
        <v>847</v>
      </c>
      <c r="B105" s="47" t="s">
        <v>836</v>
      </c>
      <c r="C105" s="48">
        <v>44499</v>
      </c>
      <c r="D105" s="64">
        <f t="shared" si="1"/>
        <v>44</v>
      </c>
      <c r="E105" s="47" t="s">
        <v>121</v>
      </c>
      <c r="F105" s="18" t="s">
        <v>89</v>
      </c>
      <c r="G105" s="18" t="s">
        <v>113</v>
      </c>
      <c r="H105" s="27" t="s">
        <v>929</v>
      </c>
      <c r="I105" s="24">
        <f>0.55/0.6</f>
        <v>0.91666666666666674</v>
      </c>
      <c r="J105" s="20" t="str">
        <f>VLOOKUP(G105,MD!M$2:O$93,3,FALSE)</f>
        <v>Dose hom.</v>
      </c>
      <c r="K105" s="29">
        <v>1</v>
      </c>
      <c r="L105" s="27" t="s">
        <v>872</v>
      </c>
      <c r="M105" s="25" t="s">
        <v>339</v>
      </c>
      <c r="N105" s="25">
        <v>110</v>
      </c>
      <c r="O105" s="25" t="s">
        <v>358</v>
      </c>
      <c r="P105" s="22"/>
      <c r="Q105" s="44"/>
      <c r="R105" s="44"/>
      <c r="S105" s="44"/>
      <c r="T105" s="25"/>
      <c r="U105" s="25"/>
      <c r="V105" s="25"/>
      <c r="W105" s="25"/>
      <c r="X105" s="22"/>
      <c r="Y105" s="44"/>
      <c r="Z105" s="44"/>
      <c r="AA105" s="44"/>
      <c r="AB105" s="25"/>
      <c r="AC105" s="25"/>
      <c r="AD105" s="25"/>
      <c r="AE105" s="25"/>
    </row>
    <row r="106" spans="1:31" s="59" customFormat="1">
      <c r="A106" s="47" t="s">
        <v>847</v>
      </c>
      <c r="B106" s="47" t="s">
        <v>836</v>
      </c>
      <c r="C106" s="48">
        <v>44499</v>
      </c>
      <c r="D106" s="64">
        <f t="shared" si="1"/>
        <v>44</v>
      </c>
      <c r="E106" s="47" t="s">
        <v>121</v>
      </c>
      <c r="F106" s="18" t="s">
        <v>89</v>
      </c>
      <c r="G106" s="18" t="s">
        <v>113</v>
      </c>
      <c r="H106" s="27" t="s">
        <v>341</v>
      </c>
      <c r="I106" s="24">
        <f>0.55/0.6</f>
        <v>0.91666666666666674</v>
      </c>
      <c r="J106" s="20" t="str">
        <f>VLOOKUP(G106,MD!M$2:O$93,3,FALSE)</f>
        <v>Dose hom.</v>
      </c>
      <c r="K106" s="29">
        <v>1</v>
      </c>
      <c r="L106" s="27" t="s">
        <v>873</v>
      </c>
      <c r="M106" s="25" t="s">
        <v>340</v>
      </c>
      <c r="N106" s="25">
        <v>220</v>
      </c>
      <c r="O106" s="25" t="s">
        <v>358</v>
      </c>
      <c r="P106" s="22"/>
      <c r="Q106" s="44"/>
      <c r="R106" s="44"/>
      <c r="S106" s="44"/>
      <c r="T106" s="25"/>
      <c r="U106" s="25"/>
      <c r="V106" s="25"/>
      <c r="W106" s="25"/>
      <c r="X106" s="22"/>
      <c r="Y106" s="44"/>
      <c r="Z106" s="44"/>
      <c r="AA106" s="44"/>
      <c r="AB106" s="25"/>
      <c r="AC106" s="25"/>
      <c r="AD106" s="25"/>
      <c r="AE106" s="25"/>
    </row>
    <row r="107" spans="1:31" s="59" customFormat="1">
      <c r="A107" s="47" t="s">
        <v>847</v>
      </c>
      <c r="B107" s="47" t="s">
        <v>836</v>
      </c>
      <c r="C107" s="48">
        <v>44499</v>
      </c>
      <c r="D107" s="64">
        <f t="shared" si="1"/>
        <v>44</v>
      </c>
      <c r="E107" s="47" t="s">
        <v>121</v>
      </c>
      <c r="F107" s="18" t="s">
        <v>89</v>
      </c>
      <c r="G107" s="18" t="s">
        <v>111</v>
      </c>
      <c r="H107" s="27" t="s">
        <v>870</v>
      </c>
      <c r="I107" s="24">
        <v>1</v>
      </c>
      <c r="J107" s="20" t="str">
        <f>VLOOKUP(G107,MD!M$2:O$93,3,FALSE)</f>
        <v>Dose hom.</v>
      </c>
      <c r="K107" s="29">
        <v>1</v>
      </c>
      <c r="L107" s="27" t="s">
        <v>871</v>
      </c>
      <c r="M107" s="25" t="s">
        <v>810</v>
      </c>
      <c r="N107" s="25">
        <v>7.5</v>
      </c>
      <c r="O107" s="25" t="s">
        <v>358</v>
      </c>
      <c r="P107" s="44"/>
      <c r="Q107" s="44"/>
      <c r="R107" s="44"/>
      <c r="S107" s="44"/>
      <c r="T107" s="25"/>
      <c r="U107" s="25"/>
      <c r="V107" s="25"/>
      <c r="W107" s="25"/>
      <c r="X107" s="22"/>
      <c r="Y107" s="44"/>
      <c r="Z107" s="44"/>
      <c r="AA107" s="44"/>
      <c r="AB107" s="25"/>
      <c r="AC107" s="25"/>
      <c r="AD107" s="25"/>
      <c r="AE107" s="25"/>
    </row>
    <row r="108" spans="1:31" s="59" customFormat="1">
      <c r="A108" s="47" t="s">
        <v>847</v>
      </c>
      <c r="B108" s="47" t="s">
        <v>836</v>
      </c>
      <c r="C108" s="48">
        <v>44147</v>
      </c>
      <c r="D108" s="64">
        <f t="shared" si="1"/>
        <v>46</v>
      </c>
      <c r="E108" s="47" t="s">
        <v>121</v>
      </c>
      <c r="F108" s="18" t="s">
        <v>86</v>
      </c>
      <c r="G108" s="18" t="s">
        <v>64</v>
      </c>
      <c r="H108" s="27"/>
      <c r="I108" s="24">
        <v>1</v>
      </c>
      <c r="J108" s="20" t="str">
        <f>VLOOKUP(G108,MD!M$2:O$93,3,FALSE)</f>
        <v>ha</v>
      </c>
      <c r="K108" s="29"/>
      <c r="L108" s="27"/>
      <c r="M108" s="25"/>
      <c r="N108" s="25"/>
      <c r="O108" s="25"/>
      <c r="P108" s="22"/>
      <c r="Q108" s="44"/>
      <c r="R108" s="44"/>
      <c r="S108" s="44"/>
      <c r="T108" s="25"/>
      <c r="U108" s="25"/>
      <c r="V108" s="25"/>
      <c r="W108" s="25"/>
      <c r="X108" s="22"/>
      <c r="Y108" s="44"/>
      <c r="Z108" s="44"/>
      <c r="AA108" s="44"/>
      <c r="AB108" s="25"/>
      <c r="AC108" s="25"/>
      <c r="AD108" s="25"/>
      <c r="AE108" s="25"/>
    </row>
    <row r="109" spans="1:31" s="59" customFormat="1">
      <c r="A109" s="47" t="s">
        <v>847</v>
      </c>
      <c r="B109" s="47" t="s">
        <v>836</v>
      </c>
      <c r="C109" s="48">
        <v>44147</v>
      </c>
      <c r="D109" s="64">
        <f t="shared" si="1"/>
        <v>46</v>
      </c>
      <c r="E109" s="47" t="s">
        <v>121</v>
      </c>
      <c r="F109" s="18" t="s">
        <v>89</v>
      </c>
      <c r="G109" s="18" t="s">
        <v>111</v>
      </c>
      <c r="H109" s="27" t="s">
        <v>870</v>
      </c>
      <c r="I109" s="24">
        <v>1</v>
      </c>
      <c r="J109" s="20" t="str">
        <f>VLOOKUP(G109,MD!M$2:O$93,3,FALSE)</f>
        <v>Dose hom.</v>
      </c>
      <c r="K109" s="29">
        <v>1</v>
      </c>
      <c r="L109" s="27" t="s">
        <v>871</v>
      </c>
      <c r="M109" s="25" t="s">
        <v>810</v>
      </c>
      <c r="N109" s="25">
        <v>7.5</v>
      </c>
      <c r="O109" s="25" t="s">
        <v>358</v>
      </c>
      <c r="P109" s="44"/>
      <c r="Q109" s="44"/>
      <c r="R109" s="44"/>
      <c r="S109" s="44"/>
      <c r="T109" s="25"/>
      <c r="U109" s="25"/>
      <c r="V109" s="25"/>
      <c r="W109" s="25"/>
      <c r="X109" s="22"/>
      <c r="Y109" s="44"/>
      <c r="Z109" s="44"/>
      <c r="AA109" s="44"/>
      <c r="AB109" s="25"/>
      <c r="AC109" s="25"/>
      <c r="AD109" s="25"/>
      <c r="AE109" s="25"/>
    </row>
    <row r="110" spans="1:31" s="59" customFormat="1">
      <c r="A110" s="47" t="s">
        <v>847</v>
      </c>
      <c r="B110" s="47" t="s">
        <v>836</v>
      </c>
      <c r="C110" s="48">
        <v>44161</v>
      </c>
      <c r="D110" s="64">
        <f t="shared" si="1"/>
        <v>48</v>
      </c>
      <c r="E110" s="47" t="s">
        <v>121</v>
      </c>
      <c r="F110" s="18" t="s">
        <v>86</v>
      </c>
      <c r="G110" s="18" t="s">
        <v>64</v>
      </c>
      <c r="H110" s="27"/>
      <c r="I110" s="24">
        <v>1</v>
      </c>
      <c r="J110" s="20" t="str">
        <f>VLOOKUP(G110,MD!M$2:O$93,3,FALSE)</f>
        <v>ha</v>
      </c>
      <c r="K110" s="29"/>
      <c r="L110" s="27"/>
      <c r="M110" s="25"/>
      <c r="N110" s="25"/>
      <c r="O110" s="25"/>
      <c r="P110" s="22"/>
      <c r="Q110" s="44"/>
      <c r="R110" s="44"/>
      <c r="S110" s="44"/>
      <c r="T110" s="25"/>
      <c r="U110" s="25"/>
      <c r="V110" s="25"/>
      <c r="W110" s="25"/>
      <c r="X110" s="22"/>
      <c r="Y110" s="44"/>
      <c r="Z110" s="44"/>
      <c r="AA110" s="44"/>
      <c r="AB110" s="25"/>
      <c r="AC110" s="25"/>
      <c r="AD110" s="25"/>
      <c r="AE110" s="25"/>
    </row>
    <row r="111" spans="1:31" s="59" customFormat="1">
      <c r="A111" s="47" t="s">
        <v>847</v>
      </c>
      <c r="B111" s="47" t="s">
        <v>836</v>
      </c>
      <c r="C111" s="48">
        <v>44161</v>
      </c>
      <c r="D111" s="64">
        <f t="shared" si="1"/>
        <v>48</v>
      </c>
      <c r="E111" s="47" t="s">
        <v>121</v>
      </c>
      <c r="F111" s="18" t="s">
        <v>89</v>
      </c>
      <c r="G111" s="18" t="s">
        <v>111</v>
      </c>
      <c r="H111" s="27" t="s">
        <v>870</v>
      </c>
      <c r="I111" s="24">
        <v>1</v>
      </c>
      <c r="J111" s="20" t="str">
        <f>VLOOKUP(G111,MD!M$2:O$93,3,FALSE)</f>
        <v>Dose hom.</v>
      </c>
      <c r="K111" s="29">
        <v>1</v>
      </c>
      <c r="L111" s="27" t="s">
        <v>871</v>
      </c>
      <c r="M111" s="25" t="s">
        <v>810</v>
      </c>
      <c r="N111" s="25">
        <v>7.5</v>
      </c>
      <c r="O111" s="25" t="s">
        <v>358</v>
      </c>
      <c r="P111" s="44"/>
      <c r="Q111" s="44"/>
      <c r="R111" s="44"/>
      <c r="S111" s="44"/>
      <c r="T111" s="25"/>
      <c r="U111" s="25"/>
      <c r="V111" s="25"/>
      <c r="W111" s="25"/>
      <c r="X111" s="22"/>
      <c r="Y111" s="44"/>
      <c r="Z111" s="44"/>
      <c r="AA111" s="44"/>
      <c r="AB111" s="25"/>
      <c r="AC111" s="25"/>
      <c r="AD111" s="25"/>
      <c r="AE111" s="25"/>
    </row>
    <row r="112" spans="1:31" s="59" customFormat="1">
      <c r="A112" s="47" t="s">
        <v>847</v>
      </c>
      <c r="B112" s="47" t="s">
        <v>836</v>
      </c>
      <c r="C112" s="48">
        <v>44247</v>
      </c>
      <c r="D112" s="64">
        <f t="shared" si="1"/>
        <v>8</v>
      </c>
      <c r="E112" s="47" t="s">
        <v>121</v>
      </c>
      <c r="F112" s="18" t="s">
        <v>85</v>
      </c>
      <c r="G112" s="18" t="s">
        <v>67</v>
      </c>
      <c r="H112" s="27"/>
      <c r="I112" s="24">
        <v>1</v>
      </c>
      <c r="J112" s="20" t="str">
        <f>VLOOKUP(G112,MD!M$2:O$93,3,FALSE)</f>
        <v>ha</v>
      </c>
      <c r="K112" s="29">
        <v>1</v>
      </c>
      <c r="L112" s="27"/>
      <c r="M112" s="25"/>
      <c r="N112" s="25"/>
      <c r="O112" s="25"/>
      <c r="P112" s="22"/>
      <c r="Q112" s="44"/>
      <c r="R112" s="44"/>
      <c r="S112" s="44"/>
      <c r="T112" s="25"/>
      <c r="U112" s="25"/>
      <c r="V112" s="25"/>
      <c r="W112" s="25"/>
      <c r="X112" s="22"/>
      <c r="Y112" s="44"/>
      <c r="Z112" s="44"/>
      <c r="AA112" s="44"/>
      <c r="AB112" s="25"/>
      <c r="AC112" s="25"/>
      <c r="AD112" s="25"/>
      <c r="AE112" s="25"/>
    </row>
    <row r="113" spans="1:31" s="59" customFormat="1">
      <c r="A113" s="47" t="s">
        <v>847</v>
      </c>
      <c r="B113" s="47" t="s">
        <v>836</v>
      </c>
      <c r="C113" s="48">
        <v>44247</v>
      </c>
      <c r="D113" s="64">
        <f t="shared" si="1"/>
        <v>8</v>
      </c>
      <c r="E113" s="47" t="s">
        <v>121</v>
      </c>
      <c r="F113" s="18" t="s">
        <v>88</v>
      </c>
      <c r="G113" s="18" t="s">
        <v>715</v>
      </c>
      <c r="H113" s="27" t="s">
        <v>905</v>
      </c>
      <c r="I113" s="24">
        <v>100</v>
      </c>
      <c r="J113" s="20" t="str">
        <f>VLOOKUP(G113,MD!M$2:O$93,3,FALSE)</f>
        <v>l/ha</v>
      </c>
      <c r="K113" s="29">
        <v>1</v>
      </c>
      <c r="L113" s="27" t="s">
        <v>875</v>
      </c>
      <c r="M113" s="25"/>
      <c r="N113" s="25"/>
      <c r="O113" s="25"/>
      <c r="P113" s="22"/>
      <c r="Q113" s="44"/>
      <c r="R113" s="44"/>
      <c r="S113" s="44"/>
      <c r="T113" s="25"/>
      <c r="U113" s="25"/>
      <c r="V113" s="25"/>
      <c r="W113" s="25"/>
      <c r="X113" s="22"/>
      <c r="Y113" s="44"/>
      <c r="Z113" s="44"/>
      <c r="AA113" s="44"/>
      <c r="AB113" s="25"/>
      <c r="AC113" s="25"/>
      <c r="AD113" s="25"/>
      <c r="AE113" s="25"/>
    </row>
    <row r="114" spans="1:31" s="59" customFormat="1">
      <c r="A114" s="47" t="s">
        <v>847</v>
      </c>
      <c r="B114" s="47" t="s">
        <v>836</v>
      </c>
      <c r="C114" s="48">
        <v>44265</v>
      </c>
      <c r="D114" s="64">
        <f t="shared" si="1"/>
        <v>11</v>
      </c>
      <c r="E114" s="47" t="s">
        <v>121</v>
      </c>
      <c r="F114" s="18" t="s">
        <v>85</v>
      </c>
      <c r="G114" s="18" t="s">
        <v>67</v>
      </c>
      <c r="H114" s="27"/>
      <c r="I114" s="24">
        <v>1</v>
      </c>
      <c r="J114" s="20" t="str">
        <f>VLOOKUP(G114,MD!M$2:O$93,3,FALSE)</f>
        <v>ha</v>
      </c>
      <c r="K114" s="29">
        <v>1</v>
      </c>
      <c r="L114" s="27"/>
      <c r="M114" s="25"/>
      <c r="N114" s="25"/>
      <c r="O114" s="25"/>
      <c r="P114" s="22"/>
      <c r="Q114" s="44"/>
      <c r="R114" s="44"/>
      <c r="S114" s="44"/>
      <c r="T114" s="25"/>
      <c r="U114" s="25"/>
      <c r="V114" s="25"/>
      <c r="W114" s="25"/>
      <c r="X114" s="22"/>
      <c r="Y114" s="44"/>
      <c r="Z114" s="44"/>
      <c r="AA114" s="44"/>
      <c r="AB114" s="25"/>
      <c r="AC114" s="25"/>
      <c r="AD114" s="25"/>
      <c r="AE114" s="25"/>
    </row>
    <row r="115" spans="1:31" s="59" customFormat="1">
      <c r="A115" s="47" t="s">
        <v>847</v>
      </c>
      <c r="B115" s="47" t="s">
        <v>836</v>
      </c>
      <c r="C115" s="48">
        <v>44265</v>
      </c>
      <c r="D115" s="64">
        <f t="shared" si="1"/>
        <v>11</v>
      </c>
      <c r="E115" s="47" t="s">
        <v>121</v>
      </c>
      <c r="F115" s="18" t="s">
        <v>88</v>
      </c>
      <c r="G115" s="18" t="s">
        <v>909</v>
      </c>
      <c r="H115" s="27" t="s">
        <v>906</v>
      </c>
      <c r="I115" s="24">
        <v>270</v>
      </c>
      <c r="J115" s="20" t="str">
        <f>VLOOKUP(G115,MD!M$2:O$93,3,FALSE)</f>
        <v>l/ha</v>
      </c>
      <c r="K115" s="29">
        <v>1</v>
      </c>
      <c r="L115" s="27" t="s">
        <v>876</v>
      </c>
      <c r="M115" s="25"/>
      <c r="N115" s="25"/>
      <c r="O115" s="25"/>
      <c r="P115" s="22"/>
      <c r="Q115" s="44"/>
      <c r="R115" s="44"/>
      <c r="S115" s="44"/>
      <c r="T115" s="25"/>
      <c r="U115" s="25"/>
      <c r="V115" s="25"/>
      <c r="W115" s="25"/>
      <c r="X115" s="22"/>
      <c r="Y115" s="44"/>
      <c r="Z115" s="44"/>
      <c r="AA115" s="44"/>
      <c r="AB115" s="25"/>
      <c r="AC115" s="25"/>
      <c r="AD115" s="25"/>
      <c r="AE115" s="25"/>
    </row>
    <row r="116" spans="1:31" s="59" customFormat="1">
      <c r="A116" s="47" t="s">
        <v>847</v>
      </c>
      <c r="B116" s="47" t="s">
        <v>836</v>
      </c>
      <c r="C116" s="48">
        <v>44286</v>
      </c>
      <c r="D116" s="64">
        <f t="shared" si="1"/>
        <v>14</v>
      </c>
      <c r="E116" s="47" t="s">
        <v>121</v>
      </c>
      <c r="F116" s="18" t="s">
        <v>86</v>
      </c>
      <c r="G116" s="18" t="s">
        <v>64</v>
      </c>
      <c r="H116" s="27"/>
      <c r="I116" s="24">
        <v>1</v>
      </c>
      <c r="J116" s="20" t="str">
        <f>VLOOKUP(G116,MD!M$2:O$93,3,FALSE)</f>
        <v>ha</v>
      </c>
      <c r="K116" s="29">
        <v>1</v>
      </c>
      <c r="L116" s="27"/>
      <c r="M116" s="25"/>
      <c r="N116" s="25"/>
      <c r="O116" s="25"/>
      <c r="P116" s="22"/>
      <c r="Q116" s="44"/>
      <c r="R116" s="44"/>
      <c r="S116" s="44"/>
      <c r="T116" s="25"/>
      <c r="U116" s="25"/>
      <c r="V116" s="25"/>
      <c r="W116" s="25"/>
      <c r="X116" s="22"/>
      <c r="Y116" s="44"/>
      <c r="Z116" s="44"/>
      <c r="AA116" s="44"/>
      <c r="AB116" s="25"/>
      <c r="AC116" s="25"/>
      <c r="AD116" s="25"/>
      <c r="AE116" s="25"/>
    </row>
    <row r="117" spans="1:31" s="59" customFormat="1">
      <c r="A117" s="47" t="s">
        <v>847</v>
      </c>
      <c r="B117" s="47" t="s">
        <v>836</v>
      </c>
      <c r="C117" s="48">
        <v>44286</v>
      </c>
      <c r="D117" s="64">
        <f t="shared" si="1"/>
        <v>14</v>
      </c>
      <c r="E117" s="47" t="s">
        <v>121</v>
      </c>
      <c r="F117" s="18" t="s">
        <v>89</v>
      </c>
      <c r="G117" s="18" t="s">
        <v>110</v>
      </c>
      <c r="H117" s="27" t="s">
        <v>947</v>
      </c>
      <c r="I117" s="24">
        <f>0.4/0.75</f>
        <v>0.53333333333333333</v>
      </c>
      <c r="J117" s="20" t="str">
        <f>VLOOKUP(G117,MD!M$2:O$93,3,FALSE)</f>
        <v>Dose hom.</v>
      </c>
      <c r="K117" s="29">
        <v>1</v>
      </c>
      <c r="L117" s="27" t="s">
        <v>950</v>
      </c>
      <c r="M117" s="25" t="s">
        <v>469</v>
      </c>
      <c r="N117" s="25">
        <f>0.4*75</f>
        <v>30</v>
      </c>
      <c r="O117" s="25" t="s">
        <v>358</v>
      </c>
      <c r="P117" s="44"/>
      <c r="Q117" s="44"/>
      <c r="R117" s="44"/>
      <c r="S117" s="44"/>
      <c r="T117" s="25"/>
      <c r="U117" s="25"/>
      <c r="V117" s="25"/>
      <c r="W117" s="25"/>
      <c r="X117" s="22"/>
      <c r="Y117" s="44"/>
      <c r="Z117" s="44"/>
      <c r="AA117" s="44"/>
      <c r="AB117" s="25"/>
      <c r="AC117" s="25"/>
      <c r="AD117" s="25"/>
      <c r="AE117" s="25"/>
    </row>
    <row r="118" spans="1:31" s="59" customFormat="1">
      <c r="A118" s="47" t="s">
        <v>847</v>
      </c>
      <c r="B118" s="47" t="s">
        <v>836</v>
      </c>
      <c r="C118" s="48">
        <v>44286</v>
      </c>
      <c r="D118" s="64">
        <f t="shared" si="1"/>
        <v>14</v>
      </c>
      <c r="E118" s="47" t="s">
        <v>121</v>
      </c>
      <c r="F118" s="18" t="s">
        <v>89</v>
      </c>
      <c r="G118" s="18" t="s">
        <v>110</v>
      </c>
      <c r="H118" s="27" t="s">
        <v>948</v>
      </c>
      <c r="I118" s="24">
        <f>0.4/0.75</f>
        <v>0.53333333333333333</v>
      </c>
      <c r="J118" s="20" t="str">
        <f>VLOOKUP(G118,MD!M$2:O$93,3,FALSE)</f>
        <v>Dose hom.</v>
      </c>
      <c r="K118" s="29">
        <v>1</v>
      </c>
      <c r="L118" s="27" t="s">
        <v>949</v>
      </c>
      <c r="M118" s="25" t="s">
        <v>759</v>
      </c>
      <c r="N118" s="25">
        <f>0.4*50</f>
        <v>20</v>
      </c>
      <c r="O118" s="25" t="s">
        <v>358</v>
      </c>
      <c r="P118" s="44"/>
      <c r="Q118" s="44"/>
      <c r="R118" s="44"/>
      <c r="S118" s="44"/>
      <c r="T118" s="25"/>
      <c r="U118" s="25"/>
      <c r="V118" s="25"/>
      <c r="W118" s="25"/>
      <c r="X118" s="22"/>
      <c r="Y118" s="44"/>
      <c r="Z118" s="44"/>
      <c r="AA118" s="44"/>
      <c r="AB118" s="25"/>
      <c r="AC118" s="25"/>
      <c r="AD118" s="25"/>
      <c r="AE118" s="25"/>
    </row>
    <row r="119" spans="1:31" s="59" customFormat="1">
      <c r="A119" s="47" t="s">
        <v>847</v>
      </c>
      <c r="B119" s="47" t="s">
        <v>836</v>
      </c>
      <c r="C119" s="48">
        <v>44307</v>
      </c>
      <c r="D119" s="64">
        <f t="shared" si="1"/>
        <v>17</v>
      </c>
      <c r="E119" s="47" t="s">
        <v>121</v>
      </c>
      <c r="F119" s="18" t="s">
        <v>86</v>
      </c>
      <c r="G119" s="18" t="s">
        <v>64</v>
      </c>
      <c r="H119" s="27"/>
      <c r="I119" s="24">
        <v>1</v>
      </c>
      <c r="J119" s="20" t="str">
        <f>VLOOKUP(G119,MD!M$2:O$93,3,FALSE)</f>
        <v>ha</v>
      </c>
      <c r="K119" s="29">
        <v>1</v>
      </c>
      <c r="L119" s="27"/>
      <c r="M119" s="25"/>
      <c r="N119" s="25"/>
      <c r="O119" s="25"/>
      <c r="P119" s="22"/>
      <c r="Q119" s="44"/>
      <c r="R119" s="44"/>
      <c r="S119" s="44"/>
      <c r="T119" s="25"/>
      <c r="U119" s="25"/>
      <c r="V119" s="25"/>
      <c r="W119" s="25"/>
      <c r="X119" s="22"/>
      <c r="Y119" s="44"/>
      <c r="Z119" s="44"/>
      <c r="AA119" s="44"/>
      <c r="AB119" s="25"/>
      <c r="AC119" s="25"/>
      <c r="AD119" s="25"/>
      <c r="AE119" s="25"/>
    </row>
    <row r="120" spans="1:31" s="59" customFormat="1">
      <c r="A120" s="47" t="s">
        <v>847</v>
      </c>
      <c r="B120" s="47" t="s">
        <v>836</v>
      </c>
      <c r="C120" s="48">
        <v>44307</v>
      </c>
      <c r="D120" s="64">
        <f t="shared" si="1"/>
        <v>17</v>
      </c>
      <c r="E120" s="47" t="s">
        <v>121</v>
      </c>
      <c r="F120" s="18" t="s">
        <v>89</v>
      </c>
      <c r="G120" s="18" t="s">
        <v>112</v>
      </c>
      <c r="H120" s="27" t="s">
        <v>952</v>
      </c>
      <c r="I120" s="24">
        <f>0.7/1.6</f>
        <v>0.43749999999999994</v>
      </c>
      <c r="J120" s="20" t="str">
        <f>VLOOKUP(G120,MD!M$2:O$93,3,FALSE)</f>
        <v>Dose hom.</v>
      </c>
      <c r="K120" s="29">
        <v>1</v>
      </c>
      <c r="L120" s="27" t="s">
        <v>956</v>
      </c>
      <c r="M120" s="25" t="s">
        <v>951</v>
      </c>
      <c r="N120" s="25">
        <f>0.7*150</f>
        <v>105</v>
      </c>
      <c r="O120" s="25" t="s">
        <v>358</v>
      </c>
      <c r="P120" s="22"/>
      <c r="Q120" s="44"/>
      <c r="R120" s="44"/>
      <c r="S120" s="44"/>
      <c r="T120" s="25"/>
      <c r="U120" s="25"/>
      <c r="V120" s="25"/>
      <c r="W120" s="25"/>
      <c r="X120" s="22"/>
      <c r="Y120" s="44"/>
      <c r="Z120" s="44"/>
      <c r="AA120" s="44"/>
      <c r="AB120" s="25"/>
      <c r="AC120" s="25"/>
      <c r="AD120" s="25"/>
      <c r="AE120" s="25"/>
    </row>
    <row r="121" spans="1:31" s="59" customFormat="1">
      <c r="A121" s="47" t="s">
        <v>847</v>
      </c>
      <c r="B121" s="47" t="s">
        <v>836</v>
      </c>
      <c r="C121" s="48">
        <v>44307</v>
      </c>
      <c r="D121" s="64">
        <f t="shared" si="1"/>
        <v>17</v>
      </c>
      <c r="E121" s="47" t="s">
        <v>121</v>
      </c>
      <c r="F121" s="18" t="s">
        <v>89</v>
      </c>
      <c r="G121" s="18" t="s">
        <v>112</v>
      </c>
      <c r="H121" s="27" t="s">
        <v>953</v>
      </c>
      <c r="I121" s="24">
        <f>0.7/1.6</f>
        <v>0.43749999999999994</v>
      </c>
      <c r="J121" s="20" t="str">
        <f>VLOOKUP(G121,MD!M$2:O$93,3,FALSE)</f>
        <v>Dose hom.</v>
      </c>
      <c r="K121" s="29">
        <v>1</v>
      </c>
      <c r="L121" s="27" t="s">
        <v>957</v>
      </c>
      <c r="M121" s="25" t="s">
        <v>954</v>
      </c>
      <c r="N121" s="25">
        <f>0.7*200</f>
        <v>140</v>
      </c>
      <c r="O121" s="25" t="s">
        <v>358</v>
      </c>
      <c r="P121" s="22"/>
      <c r="Q121" s="44"/>
      <c r="R121" s="44"/>
      <c r="S121" s="44"/>
      <c r="T121" s="25"/>
      <c r="U121" s="25"/>
      <c r="V121" s="25"/>
      <c r="W121" s="25"/>
      <c r="X121" s="22"/>
      <c r="Y121" s="44"/>
      <c r="Z121" s="44"/>
      <c r="AA121" s="44"/>
      <c r="AB121" s="25"/>
      <c r="AC121" s="25"/>
      <c r="AD121" s="25"/>
      <c r="AE121" s="25"/>
    </row>
    <row r="122" spans="1:31" s="59" customFormat="1">
      <c r="A122" s="47" t="s">
        <v>847</v>
      </c>
      <c r="B122" s="47" t="s">
        <v>836</v>
      </c>
      <c r="C122" s="48">
        <v>44307</v>
      </c>
      <c r="D122" s="64">
        <f t="shared" si="1"/>
        <v>17</v>
      </c>
      <c r="E122" s="47" t="s">
        <v>121</v>
      </c>
      <c r="F122" s="18" t="s">
        <v>89</v>
      </c>
      <c r="G122" s="18" t="s">
        <v>112</v>
      </c>
      <c r="H122" s="27" t="s">
        <v>955</v>
      </c>
      <c r="I122" s="24">
        <f>0.7/1.6</f>
        <v>0.43749999999999994</v>
      </c>
      <c r="J122" s="20" t="str">
        <f>VLOOKUP(G122,MD!M$2:O$93,3,FALSE)</f>
        <v>Dose hom.</v>
      </c>
      <c r="K122" s="29">
        <v>1</v>
      </c>
      <c r="L122" s="27" t="s">
        <v>958</v>
      </c>
      <c r="M122" s="25" t="s">
        <v>371</v>
      </c>
      <c r="N122" s="25">
        <f>0.7*100</f>
        <v>70</v>
      </c>
      <c r="O122" s="25" t="s">
        <v>358</v>
      </c>
      <c r="P122" s="22"/>
      <c r="Q122" s="44"/>
      <c r="R122" s="44"/>
      <c r="S122" s="44"/>
      <c r="T122" s="25"/>
      <c r="U122" s="25"/>
      <c r="V122" s="25"/>
      <c r="W122" s="25"/>
      <c r="X122" s="22"/>
      <c r="Y122" s="44"/>
      <c r="Z122" s="44"/>
      <c r="AA122" s="44"/>
      <c r="AB122" s="25"/>
      <c r="AC122" s="25"/>
      <c r="AD122" s="25"/>
      <c r="AE122" s="25"/>
    </row>
    <row r="123" spans="1:31" s="59" customFormat="1">
      <c r="A123" s="47" t="s">
        <v>847</v>
      </c>
      <c r="B123" s="47" t="s">
        <v>836</v>
      </c>
      <c r="C123" s="48">
        <v>44307</v>
      </c>
      <c r="D123" s="64">
        <f t="shared" si="1"/>
        <v>17</v>
      </c>
      <c r="E123" s="47" t="s">
        <v>121</v>
      </c>
      <c r="F123" s="18" t="s">
        <v>89</v>
      </c>
      <c r="G123" s="18" t="s">
        <v>112</v>
      </c>
      <c r="H123" s="27" t="s">
        <v>985</v>
      </c>
      <c r="I123" s="24">
        <f>3/10</f>
        <v>0.3</v>
      </c>
      <c r="J123" s="20" t="str">
        <f>VLOOKUP(G123,MD!M$2:O$93,3,FALSE)</f>
        <v>Dose hom.</v>
      </c>
      <c r="K123" s="29">
        <v>1</v>
      </c>
      <c r="L123" s="27" t="s">
        <v>959</v>
      </c>
      <c r="M123" s="25" t="s">
        <v>960</v>
      </c>
      <c r="N123" s="25">
        <f>3*800</f>
        <v>2400</v>
      </c>
      <c r="O123" s="25" t="s">
        <v>358</v>
      </c>
      <c r="P123" s="22"/>
      <c r="Q123" s="44"/>
      <c r="R123" s="44"/>
      <c r="S123" s="44"/>
      <c r="T123" s="25"/>
      <c r="U123" s="25"/>
      <c r="V123" s="25"/>
      <c r="W123" s="25"/>
      <c r="X123" s="22"/>
      <c r="Y123" s="44"/>
      <c r="Z123" s="44"/>
      <c r="AA123" s="44"/>
      <c r="AB123" s="25"/>
      <c r="AC123" s="25"/>
      <c r="AD123" s="25"/>
      <c r="AE123" s="25"/>
    </row>
    <row r="124" spans="1:31" s="59" customFormat="1">
      <c r="A124" s="47" t="s">
        <v>847</v>
      </c>
      <c r="B124" s="47" t="s">
        <v>836</v>
      </c>
      <c r="C124" s="48">
        <v>44319</v>
      </c>
      <c r="D124" s="64">
        <f t="shared" si="1"/>
        <v>19</v>
      </c>
      <c r="E124" s="47" t="s">
        <v>121</v>
      </c>
      <c r="F124" s="18"/>
      <c r="G124" s="18"/>
      <c r="H124" s="109" t="s">
        <v>964</v>
      </c>
      <c r="I124" s="24"/>
      <c r="J124" s="20" t="e">
        <f>VLOOKUP(G124,MD!M$2:O$93,3,FALSE)</f>
        <v>#N/A</v>
      </c>
      <c r="K124" s="29"/>
      <c r="L124" s="27"/>
      <c r="M124" s="25" t="s">
        <v>969</v>
      </c>
      <c r="N124" s="25"/>
      <c r="O124" s="25"/>
      <c r="P124" s="22"/>
      <c r="Q124" s="44"/>
      <c r="R124" s="44"/>
      <c r="S124" s="44"/>
      <c r="T124" s="25"/>
      <c r="U124" s="25"/>
      <c r="V124" s="25"/>
      <c r="W124" s="25"/>
      <c r="X124" s="22"/>
      <c r="Y124" s="44"/>
      <c r="Z124" s="44"/>
      <c r="AA124" s="44"/>
      <c r="AB124" s="25"/>
      <c r="AC124" s="25"/>
      <c r="AD124" s="25"/>
      <c r="AE124" s="25"/>
    </row>
    <row r="125" spans="1:31" s="59" customFormat="1">
      <c r="A125" s="47" t="s">
        <v>847</v>
      </c>
      <c r="B125" s="47" t="s">
        <v>836</v>
      </c>
      <c r="C125" s="48">
        <v>44322</v>
      </c>
      <c r="D125" s="64">
        <f t="shared" si="1"/>
        <v>19</v>
      </c>
      <c r="E125" s="47" t="s">
        <v>121</v>
      </c>
      <c r="F125" s="18" t="s">
        <v>85</v>
      </c>
      <c r="G125" s="18" t="s">
        <v>67</v>
      </c>
      <c r="H125" s="27"/>
      <c r="I125" s="24">
        <v>1</v>
      </c>
      <c r="J125" s="20" t="str">
        <f>VLOOKUP(G125,MD!M$2:O$93,3,FALSE)</f>
        <v>ha</v>
      </c>
      <c r="K125" s="29">
        <v>1</v>
      </c>
      <c r="L125" s="27"/>
      <c r="M125" s="25"/>
      <c r="N125" s="25"/>
      <c r="O125" s="25"/>
      <c r="P125" s="22"/>
      <c r="Q125" s="44"/>
      <c r="R125" s="44"/>
      <c r="S125" s="44"/>
      <c r="T125" s="25"/>
      <c r="U125" s="25"/>
      <c r="V125" s="25"/>
      <c r="W125" s="25"/>
      <c r="X125" s="22"/>
      <c r="Y125" s="44"/>
      <c r="Z125" s="44"/>
      <c r="AA125" s="44"/>
      <c r="AB125" s="25"/>
      <c r="AC125" s="25"/>
      <c r="AD125" s="25"/>
      <c r="AE125" s="25"/>
    </row>
    <row r="126" spans="1:31" s="59" customFormat="1">
      <c r="A126" s="47" t="s">
        <v>847</v>
      </c>
      <c r="B126" s="47" t="s">
        <v>836</v>
      </c>
      <c r="C126" s="48">
        <v>44322</v>
      </c>
      <c r="D126" s="64">
        <f t="shared" si="1"/>
        <v>19</v>
      </c>
      <c r="E126" s="47" t="s">
        <v>121</v>
      </c>
      <c r="F126" s="18" t="s">
        <v>88</v>
      </c>
      <c r="G126" s="18" t="s">
        <v>191</v>
      </c>
      <c r="H126" s="27" t="s">
        <v>277</v>
      </c>
      <c r="I126" s="24">
        <v>150</v>
      </c>
      <c r="J126" s="20" t="str">
        <f>VLOOKUP(G126,MD!M$2:O$93,3,FALSE)</f>
        <v>l/ha</v>
      </c>
      <c r="K126" s="29">
        <v>1</v>
      </c>
      <c r="L126" s="27" t="s">
        <v>936</v>
      </c>
      <c r="M126" s="25"/>
      <c r="N126" s="25"/>
      <c r="O126" s="25"/>
      <c r="P126" s="22"/>
      <c r="Q126" s="44"/>
      <c r="R126" s="44"/>
      <c r="S126" s="44"/>
      <c r="T126" s="25"/>
      <c r="U126" s="25"/>
      <c r="V126" s="25"/>
      <c r="W126" s="25"/>
      <c r="X126" s="22"/>
      <c r="Y126" s="44"/>
      <c r="Z126" s="44"/>
      <c r="AA126" s="44"/>
      <c r="AB126" s="25"/>
      <c r="AC126" s="25"/>
      <c r="AD126" s="25"/>
      <c r="AE126" s="25"/>
    </row>
    <row r="127" spans="1:31" s="59" customFormat="1">
      <c r="A127" s="47" t="s">
        <v>847</v>
      </c>
      <c r="B127" s="47" t="s">
        <v>836</v>
      </c>
      <c r="C127" s="48">
        <v>44327</v>
      </c>
      <c r="D127" s="64">
        <f t="shared" ref="D127:D161" si="2">WEEKNUM(C127)</f>
        <v>20</v>
      </c>
      <c r="E127" s="47" t="s">
        <v>121</v>
      </c>
      <c r="F127" s="18" t="s">
        <v>86</v>
      </c>
      <c r="G127" s="18" t="s">
        <v>64</v>
      </c>
      <c r="H127" s="27"/>
      <c r="I127" s="24">
        <v>1</v>
      </c>
      <c r="J127" s="20" t="str">
        <f>VLOOKUP(G127,MD!M$2:O$93,3,FALSE)</f>
        <v>ha</v>
      </c>
      <c r="K127" s="108">
        <f>0.9/1.23</f>
        <v>0.73170731707317072</v>
      </c>
      <c r="L127" s="27" t="s">
        <v>963</v>
      </c>
      <c r="M127" s="25"/>
      <c r="N127" s="25"/>
      <c r="O127" s="25"/>
      <c r="P127" s="22"/>
      <c r="Q127" s="44"/>
      <c r="R127" s="44"/>
      <c r="S127" s="44"/>
      <c r="T127" s="25"/>
      <c r="U127" s="25"/>
      <c r="V127" s="25"/>
      <c r="W127" s="25"/>
      <c r="X127" s="22"/>
      <c r="Y127" s="44"/>
      <c r="Z127" s="44"/>
      <c r="AA127" s="44"/>
      <c r="AB127" s="25"/>
      <c r="AC127" s="25"/>
      <c r="AD127" s="25"/>
      <c r="AE127" s="25"/>
    </row>
    <row r="128" spans="1:31" s="59" customFormat="1">
      <c r="A128" s="47" t="s">
        <v>847</v>
      </c>
      <c r="B128" s="47" t="s">
        <v>836</v>
      </c>
      <c r="C128" s="48">
        <v>44327</v>
      </c>
      <c r="D128" s="64">
        <f t="shared" si="2"/>
        <v>20</v>
      </c>
      <c r="E128" s="47" t="s">
        <v>121</v>
      </c>
      <c r="F128" s="18" t="s">
        <v>89</v>
      </c>
      <c r="G128" s="18" t="s">
        <v>113</v>
      </c>
      <c r="H128" s="27" t="s">
        <v>931</v>
      </c>
      <c r="I128" s="24">
        <f>1/1.2</f>
        <v>0.83333333333333337</v>
      </c>
      <c r="J128" s="20" t="str">
        <f>VLOOKUP(G128,MD!M$2:O$93,3,FALSE)</f>
        <v>Dose hom.</v>
      </c>
      <c r="K128" s="108">
        <f t="shared" ref="K128:K130" si="3">0.9/1.23</f>
        <v>0.73170731707317072</v>
      </c>
      <c r="L128" s="27" t="s">
        <v>933</v>
      </c>
      <c r="M128" s="25" t="s">
        <v>486</v>
      </c>
      <c r="N128" s="25">
        <v>50</v>
      </c>
      <c r="O128" s="25" t="s">
        <v>358</v>
      </c>
      <c r="P128" s="22"/>
      <c r="Q128" s="44"/>
      <c r="R128" s="44"/>
      <c r="S128" s="44"/>
      <c r="T128" s="25"/>
      <c r="U128" s="25"/>
      <c r="V128" s="25"/>
      <c r="W128" s="25"/>
      <c r="X128" s="22"/>
      <c r="Y128" s="44"/>
      <c r="Z128" s="44"/>
      <c r="AA128" s="44"/>
      <c r="AB128" s="25"/>
      <c r="AC128" s="25"/>
      <c r="AD128" s="25"/>
      <c r="AE128" s="25"/>
    </row>
    <row r="129" spans="1:31" s="59" customFormat="1">
      <c r="A129" s="47" t="s">
        <v>847</v>
      </c>
      <c r="B129" s="47" t="s">
        <v>836</v>
      </c>
      <c r="C129" s="48">
        <v>44327</v>
      </c>
      <c r="D129" s="64">
        <f t="shared" si="2"/>
        <v>20</v>
      </c>
      <c r="E129" s="47" t="s">
        <v>121</v>
      </c>
      <c r="F129" s="18" t="s">
        <v>89</v>
      </c>
      <c r="G129" s="18" t="s">
        <v>113</v>
      </c>
      <c r="H129" s="27" t="s">
        <v>932</v>
      </c>
      <c r="I129" s="24">
        <f>1/1.2</f>
        <v>0.83333333333333337</v>
      </c>
      <c r="J129" s="20" t="str">
        <f>VLOOKUP(G129,MD!M$2:O$93,3,FALSE)</f>
        <v>Dose hom.</v>
      </c>
      <c r="K129" s="108">
        <f t="shared" si="3"/>
        <v>0.73170731707317072</v>
      </c>
      <c r="L129" s="27" t="s">
        <v>934</v>
      </c>
      <c r="M129" s="25" t="s">
        <v>930</v>
      </c>
      <c r="N129" s="25">
        <v>12.5</v>
      </c>
      <c r="O129" s="25" t="s">
        <v>358</v>
      </c>
      <c r="P129" s="22"/>
      <c r="Q129" s="44"/>
      <c r="R129" s="44"/>
      <c r="S129" s="44"/>
      <c r="T129" s="25"/>
      <c r="U129" s="25"/>
      <c r="V129" s="25"/>
      <c r="W129" s="25"/>
      <c r="X129" s="22"/>
      <c r="Y129" s="44"/>
      <c r="Z129" s="44"/>
      <c r="AA129" s="44"/>
      <c r="AB129" s="25"/>
      <c r="AC129" s="25"/>
      <c r="AD129" s="25"/>
      <c r="AE129" s="25"/>
    </row>
    <row r="130" spans="1:31" s="59" customFormat="1">
      <c r="A130" s="47" t="s">
        <v>847</v>
      </c>
      <c r="B130" s="47" t="s">
        <v>836</v>
      </c>
      <c r="C130" s="48">
        <v>44327</v>
      </c>
      <c r="D130" s="64">
        <f t="shared" si="2"/>
        <v>20</v>
      </c>
      <c r="E130" s="47" t="s">
        <v>121</v>
      </c>
      <c r="F130" s="18" t="s">
        <v>89</v>
      </c>
      <c r="G130" s="18" t="s">
        <v>108</v>
      </c>
      <c r="H130" s="27" t="s">
        <v>935</v>
      </c>
      <c r="I130" s="24">
        <v>1</v>
      </c>
      <c r="J130" s="95" t="s">
        <v>107</v>
      </c>
      <c r="K130" s="108">
        <f t="shared" si="3"/>
        <v>0.73170731707317072</v>
      </c>
      <c r="L130" s="27"/>
      <c r="M130" s="25"/>
      <c r="N130" s="25"/>
      <c r="O130" s="25"/>
      <c r="P130" s="22"/>
      <c r="Q130" s="44"/>
      <c r="R130" s="44"/>
      <c r="S130" s="44"/>
      <c r="T130" s="25"/>
      <c r="U130" s="25"/>
      <c r="V130" s="25"/>
      <c r="W130" s="25"/>
      <c r="X130" s="22"/>
      <c r="Y130" s="44"/>
      <c r="Z130" s="44"/>
      <c r="AA130" s="44"/>
      <c r="AB130" s="25"/>
      <c r="AC130" s="25"/>
      <c r="AD130" s="25"/>
      <c r="AE130" s="25"/>
    </row>
    <row r="131" spans="1:31" s="59" customFormat="1">
      <c r="A131" s="47" t="s">
        <v>847</v>
      </c>
      <c r="B131" s="47" t="s">
        <v>836</v>
      </c>
      <c r="C131" s="48">
        <v>44334</v>
      </c>
      <c r="D131" s="64">
        <f t="shared" si="2"/>
        <v>21</v>
      </c>
      <c r="E131" s="47" t="s">
        <v>121</v>
      </c>
      <c r="F131" s="18" t="s">
        <v>86</v>
      </c>
      <c r="G131" s="18" t="s">
        <v>64</v>
      </c>
      <c r="H131" s="27"/>
      <c r="I131" s="24">
        <v>1</v>
      </c>
      <c r="J131" s="20" t="str">
        <f>VLOOKUP(G131,MD!M$2:O$93,3,FALSE)</f>
        <v>ha</v>
      </c>
      <c r="K131" s="29">
        <v>1</v>
      </c>
      <c r="L131" s="27"/>
      <c r="M131" s="25"/>
      <c r="N131" s="25"/>
      <c r="O131" s="25"/>
      <c r="P131" s="22"/>
      <c r="Q131" s="44"/>
      <c r="R131" s="44"/>
      <c r="S131" s="44"/>
      <c r="T131" s="25"/>
      <c r="U131" s="25"/>
      <c r="V131" s="25"/>
      <c r="W131" s="25"/>
      <c r="X131" s="22"/>
      <c r="Y131" s="44"/>
      <c r="Z131" s="44"/>
      <c r="AA131" s="44"/>
      <c r="AB131" s="25"/>
      <c r="AC131" s="25"/>
      <c r="AD131" s="25"/>
      <c r="AE131" s="25"/>
    </row>
    <row r="132" spans="1:31" s="59" customFormat="1">
      <c r="A132" s="47" t="s">
        <v>847</v>
      </c>
      <c r="B132" s="47" t="s">
        <v>836</v>
      </c>
      <c r="C132" s="48">
        <v>44334</v>
      </c>
      <c r="D132" s="64">
        <f t="shared" si="2"/>
        <v>21</v>
      </c>
      <c r="E132" s="47" t="s">
        <v>121</v>
      </c>
      <c r="F132" s="18" t="s">
        <v>89</v>
      </c>
      <c r="G132" s="18" t="s">
        <v>112</v>
      </c>
      <c r="H132" s="27" t="s">
        <v>937</v>
      </c>
      <c r="I132" s="24">
        <f>0.75/1.5</f>
        <v>0.5</v>
      </c>
      <c r="J132" s="20" t="str">
        <f>VLOOKUP(G132,MD!M$2:O$93,3,FALSE)</f>
        <v>Dose hom.</v>
      </c>
      <c r="K132" s="29">
        <v>1</v>
      </c>
      <c r="L132" s="27" t="s">
        <v>938</v>
      </c>
      <c r="M132" s="25" t="s">
        <v>915</v>
      </c>
      <c r="N132" s="25">
        <f>0.75*100</f>
        <v>75</v>
      </c>
      <c r="O132" s="25" t="s">
        <v>358</v>
      </c>
      <c r="P132" s="22"/>
      <c r="Q132" s="44"/>
      <c r="R132" s="44"/>
      <c r="S132" s="44"/>
      <c r="T132" s="25"/>
      <c r="U132" s="25"/>
      <c r="V132" s="25"/>
      <c r="W132" s="25"/>
      <c r="X132" s="22"/>
      <c r="Y132" s="44"/>
      <c r="Z132" s="44"/>
      <c r="AA132" s="44"/>
      <c r="AB132" s="25"/>
      <c r="AC132" s="25"/>
      <c r="AD132" s="25"/>
      <c r="AE132" s="25"/>
    </row>
    <row r="133" spans="1:31" s="59" customFormat="1">
      <c r="A133" s="47" t="s">
        <v>847</v>
      </c>
      <c r="B133" s="47" t="s">
        <v>836</v>
      </c>
      <c r="C133" s="48">
        <v>44334</v>
      </c>
      <c r="D133" s="64">
        <f t="shared" si="2"/>
        <v>21</v>
      </c>
      <c r="E133" s="47" t="s">
        <v>121</v>
      </c>
      <c r="F133" s="18" t="s">
        <v>89</v>
      </c>
      <c r="G133" s="18" t="s">
        <v>112</v>
      </c>
      <c r="H133" s="27" t="s">
        <v>939</v>
      </c>
      <c r="I133" s="24">
        <f>0.75/1.5</f>
        <v>0.5</v>
      </c>
      <c r="J133" s="20" t="str">
        <f>VLOOKUP(G133,MD!M$2:O$93,3,FALSE)</f>
        <v>Dose hom.</v>
      </c>
      <c r="K133" s="29">
        <v>1</v>
      </c>
      <c r="L133" s="27" t="s">
        <v>941</v>
      </c>
      <c r="M133" s="25" t="s">
        <v>940</v>
      </c>
      <c r="N133" s="25">
        <f>0.75*50</f>
        <v>37.5</v>
      </c>
      <c r="O133" s="25" t="s">
        <v>358</v>
      </c>
      <c r="P133" s="22"/>
      <c r="Q133" s="44"/>
      <c r="R133" s="44"/>
      <c r="S133" s="44"/>
      <c r="T133" s="25"/>
      <c r="U133" s="25"/>
      <c r="V133" s="25"/>
      <c r="W133" s="25"/>
      <c r="X133" s="22"/>
      <c r="Y133" s="44"/>
      <c r="Z133" s="44"/>
      <c r="AA133" s="44"/>
      <c r="AB133" s="25"/>
      <c r="AC133" s="25"/>
      <c r="AD133" s="25"/>
      <c r="AE133" s="25"/>
    </row>
    <row r="134" spans="1:31" s="59" customFormat="1">
      <c r="A134" s="47" t="s">
        <v>847</v>
      </c>
      <c r="B134" s="47" t="s">
        <v>836</v>
      </c>
      <c r="C134" s="48">
        <v>44353</v>
      </c>
      <c r="D134" s="64">
        <f t="shared" si="2"/>
        <v>24</v>
      </c>
      <c r="E134" s="47" t="s">
        <v>121</v>
      </c>
      <c r="F134" s="18" t="s">
        <v>86</v>
      </c>
      <c r="G134" s="18" t="s">
        <v>64</v>
      </c>
      <c r="H134" s="27"/>
      <c r="I134" s="24">
        <v>1</v>
      </c>
      <c r="J134" s="20" t="str">
        <f>VLOOKUP(G134,MD!M$2:O$93,3,FALSE)</f>
        <v>ha</v>
      </c>
      <c r="K134" s="29">
        <v>1</v>
      </c>
      <c r="L134" s="27"/>
      <c r="M134" s="25"/>
      <c r="N134" s="25"/>
      <c r="O134" s="25"/>
      <c r="P134" s="22"/>
      <c r="Q134" s="44"/>
      <c r="R134" s="44"/>
      <c r="S134" s="44"/>
      <c r="T134" s="25"/>
      <c r="U134" s="25"/>
      <c r="V134" s="25"/>
      <c r="W134" s="25"/>
      <c r="X134" s="22"/>
      <c r="Y134" s="44"/>
      <c r="Z134" s="44"/>
      <c r="AA134" s="44"/>
      <c r="AB134" s="25"/>
      <c r="AC134" s="25"/>
      <c r="AD134" s="25"/>
      <c r="AE134" s="25"/>
    </row>
    <row r="135" spans="1:31" s="59" customFormat="1">
      <c r="A135" s="47" t="s">
        <v>847</v>
      </c>
      <c r="B135" s="47" t="s">
        <v>836</v>
      </c>
      <c r="C135" s="48">
        <v>44353</v>
      </c>
      <c r="D135" s="64">
        <f t="shared" si="2"/>
        <v>24</v>
      </c>
      <c r="E135" s="47" t="s">
        <v>121</v>
      </c>
      <c r="F135" s="18" t="s">
        <v>89</v>
      </c>
      <c r="G135" s="18" t="s">
        <v>112</v>
      </c>
      <c r="H135" s="27" t="s">
        <v>942</v>
      </c>
      <c r="I135" s="24">
        <f>0.5/1</f>
        <v>0.5</v>
      </c>
      <c r="J135" s="20" t="str">
        <f>VLOOKUP(G135,MD!M$2:O$93,3,FALSE)</f>
        <v>Dose hom.</v>
      </c>
      <c r="K135" s="29">
        <v>1</v>
      </c>
      <c r="L135" s="27" t="s">
        <v>944</v>
      </c>
      <c r="M135" s="25" t="s">
        <v>371</v>
      </c>
      <c r="N135" s="25">
        <f>0.5*80</f>
        <v>40</v>
      </c>
      <c r="O135" s="25" t="s">
        <v>358</v>
      </c>
      <c r="P135" s="22"/>
      <c r="Q135" s="44"/>
      <c r="R135" s="44"/>
      <c r="S135" s="44"/>
      <c r="T135" s="25"/>
      <c r="U135" s="25"/>
      <c r="V135" s="25"/>
      <c r="W135" s="25"/>
      <c r="X135" s="22"/>
      <c r="Y135" s="44"/>
      <c r="Z135" s="44"/>
      <c r="AA135" s="44"/>
      <c r="AB135" s="25"/>
      <c r="AC135" s="25"/>
      <c r="AD135" s="25"/>
      <c r="AE135" s="25"/>
    </row>
    <row r="136" spans="1:31" s="59" customFormat="1">
      <c r="A136" s="47" t="s">
        <v>847</v>
      </c>
      <c r="B136" s="47" t="s">
        <v>836</v>
      </c>
      <c r="C136" s="48">
        <v>44353</v>
      </c>
      <c r="D136" s="64">
        <f t="shared" si="2"/>
        <v>24</v>
      </c>
      <c r="E136" s="47" t="s">
        <v>121</v>
      </c>
      <c r="F136" s="18" t="s">
        <v>89</v>
      </c>
      <c r="G136" s="18" t="s">
        <v>112</v>
      </c>
      <c r="H136" s="27" t="s">
        <v>943</v>
      </c>
      <c r="I136" s="24">
        <f>0.5/1</f>
        <v>0.5</v>
      </c>
      <c r="J136" s="20" t="str">
        <f>VLOOKUP(G136,MD!M$2:O$93,3,FALSE)</f>
        <v>Dose hom.</v>
      </c>
      <c r="K136" s="29">
        <v>1</v>
      </c>
      <c r="L136" s="27" t="s">
        <v>945</v>
      </c>
      <c r="M136" s="25" t="s">
        <v>367</v>
      </c>
      <c r="N136" s="25">
        <f>0.5*160</f>
        <v>80</v>
      </c>
      <c r="O136" s="25" t="s">
        <v>358</v>
      </c>
      <c r="P136" s="22"/>
      <c r="Q136" s="44"/>
      <c r="R136" s="44"/>
      <c r="S136" s="44"/>
      <c r="T136" s="25"/>
      <c r="U136" s="25"/>
      <c r="V136" s="25"/>
      <c r="W136" s="25"/>
      <c r="X136" s="22"/>
      <c r="Y136" s="44"/>
      <c r="Z136" s="44"/>
      <c r="AA136" s="44"/>
      <c r="AB136" s="25"/>
      <c r="AC136" s="25"/>
      <c r="AD136" s="25"/>
      <c r="AE136" s="25"/>
    </row>
    <row r="137" spans="1:31" s="59" customFormat="1">
      <c r="A137" s="47" t="s">
        <v>121</v>
      </c>
      <c r="B137" s="47" t="s">
        <v>836</v>
      </c>
      <c r="C137" s="48">
        <v>44408</v>
      </c>
      <c r="D137" s="64">
        <f t="shared" si="2"/>
        <v>31</v>
      </c>
      <c r="E137" s="47" t="s">
        <v>121</v>
      </c>
      <c r="F137" s="18" t="s">
        <v>86</v>
      </c>
      <c r="G137" s="18" t="s">
        <v>55</v>
      </c>
      <c r="H137" s="27"/>
      <c r="I137" s="24">
        <v>1</v>
      </c>
      <c r="J137" s="20" t="str">
        <f>VLOOKUP(G137,MD!M$2:O$93,3,FALSE)</f>
        <v>ha</v>
      </c>
      <c r="K137" s="29">
        <v>1</v>
      </c>
      <c r="L137" s="27"/>
      <c r="M137" s="25"/>
      <c r="N137" s="25"/>
      <c r="O137" s="25"/>
      <c r="P137" s="22"/>
      <c r="Q137" s="44"/>
      <c r="R137" s="44"/>
      <c r="S137" s="44"/>
      <c r="T137" s="25"/>
      <c r="U137" s="25"/>
      <c r="V137" s="25"/>
      <c r="W137" s="25"/>
      <c r="X137" s="22"/>
      <c r="Y137" s="44"/>
      <c r="Z137" s="44"/>
      <c r="AA137" s="44"/>
      <c r="AB137" s="25"/>
      <c r="AC137" s="25"/>
      <c r="AD137" s="25"/>
      <c r="AE137" s="25"/>
    </row>
    <row r="138" spans="1:31" s="59" customFormat="1">
      <c r="A138" s="47" t="s">
        <v>121</v>
      </c>
      <c r="B138" s="47" t="s">
        <v>836</v>
      </c>
      <c r="C138" s="48">
        <v>44408</v>
      </c>
      <c r="D138" s="64">
        <f t="shared" si="2"/>
        <v>31</v>
      </c>
      <c r="E138" s="47" t="s">
        <v>121</v>
      </c>
      <c r="F138" s="18" t="s">
        <v>2</v>
      </c>
      <c r="G138" s="18" t="s">
        <v>115</v>
      </c>
      <c r="H138" s="27" t="s">
        <v>285</v>
      </c>
      <c r="I138" s="24">
        <v>116</v>
      </c>
      <c r="J138" s="20" t="str">
        <f>VLOOKUP(G138,MD!M$2:O$93,3,FALSE)</f>
        <v>Qtx/ha</v>
      </c>
      <c r="K138" s="29">
        <v>1</v>
      </c>
      <c r="L138" s="27" t="s">
        <v>978</v>
      </c>
      <c r="M138" s="25"/>
      <c r="N138" s="25"/>
      <c r="O138" s="25"/>
      <c r="P138" s="22"/>
      <c r="Q138" s="44"/>
      <c r="R138" s="44"/>
      <c r="S138" s="44"/>
      <c r="T138" s="25"/>
      <c r="U138" s="25"/>
      <c r="V138" s="25"/>
      <c r="W138" s="25"/>
      <c r="X138" s="22"/>
      <c r="Y138" s="44"/>
      <c r="Z138" s="44"/>
      <c r="AA138" s="44"/>
      <c r="AB138" s="25"/>
      <c r="AC138" s="25"/>
      <c r="AD138" s="25"/>
      <c r="AE138" s="25"/>
    </row>
    <row r="139" spans="1:31" s="59" customFormat="1">
      <c r="A139" s="47" t="s">
        <v>835</v>
      </c>
      <c r="B139" s="47" t="s">
        <v>986</v>
      </c>
      <c r="C139" s="48">
        <v>44414</v>
      </c>
      <c r="D139" s="64">
        <f t="shared" si="2"/>
        <v>32</v>
      </c>
      <c r="E139" s="47" t="s">
        <v>123</v>
      </c>
      <c r="F139" s="18" t="s">
        <v>84</v>
      </c>
      <c r="G139" s="18" t="s">
        <v>76</v>
      </c>
      <c r="H139" s="27"/>
      <c r="I139" s="24">
        <v>1</v>
      </c>
      <c r="J139" s="20" t="str">
        <f>VLOOKUP(G139,MD!M$2:O$93,3,FALSE)</f>
        <v>ha</v>
      </c>
      <c r="K139" s="29">
        <v>1</v>
      </c>
      <c r="L139" s="27" t="s">
        <v>987</v>
      </c>
      <c r="M139" s="25"/>
      <c r="N139" s="25"/>
      <c r="O139" s="25"/>
      <c r="P139" s="22"/>
      <c r="Q139" s="44"/>
      <c r="R139" s="44"/>
      <c r="S139" s="44"/>
      <c r="T139" s="25"/>
      <c r="U139" s="25"/>
      <c r="V139" s="25"/>
      <c r="W139" s="25"/>
      <c r="X139" s="22"/>
      <c r="Y139" s="44"/>
      <c r="Z139" s="44"/>
      <c r="AA139" s="44"/>
      <c r="AB139" s="25"/>
      <c r="AC139" s="25"/>
      <c r="AD139" s="25"/>
      <c r="AE139" s="25"/>
    </row>
    <row r="140" spans="1:31" s="59" customFormat="1">
      <c r="A140" s="47" t="s">
        <v>835</v>
      </c>
      <c r="B140" s="47" t="s">
        <v>986</v>
      </c>
      <c r="C140" s="48">
        <v>44414</v>
      </c>
      <c r="D140" s="64">
        <f t="shared" si="2"/>
        <v>32</v>
      </c>
      <c r="E140" s="47" t="s">
        <v>123</v>
      </c>
      <c r="F140" s="18" t="s">
        <v>87</v>
      </c>
      <c r="G140" s="18" t="s">
        <v>94</v>
      </c>
      <c r="H140" s="27" t="s">
        <v>274</v>
      </c>
      <c r="I140" s="24">
        <v>6</v>
      </c>
      <c r="J140" s="95" t="s">
        <v>106</v>
      </c>
      <c r="K140" s="29">
        <v>1</v>
      </c>
      <c r="L140" s="27"/>
      <c r="M140" s="25"/>
      <c r="N140" s="25"/>
      <c r="O140" s="25"/>
      <c r="P140" s="22"/>
      <c r="Q140" s="44"/>
      <c r="R140" s="44"/>
      <c r="S140" s="44"/>
      <c r="T140" s="25"/>
      <c r="U140" s="25"/>
      <c r="V140" s="25"/>
      <c r="W140" s="25"/>
      <c r="X140" s="22"/>
      <c r="Y140" s="44"/>
      <c r="Z140" s="44"/>
      <c r="AA140" s="44"/>
      <c r="AB140" s="25"/>
      <c r="AC140" s="25"/>
      <c r="AD140" s="25"/>
      <c r="AE140" s="25"/>
    </row>
    <row r="141" spans="1:31" s="59" customFormat="1">
      <c r="A141" s="47" t="s">
        <v>835</v>
      </c>
      <c r="B141" s="47" t="s">
        <v>986</v>
      </c>
      <c r="C141" s="48">
        <v>44414</v>
      </c>
      <c r="D141" s="64">
        <f t="shared" si="2"/>
        <v>32</v>
      </c>
      <c r="E141" s="47" t="s">
        <v>123</v>
      </c>
      <c r="F141" s="18" t="s">
        <v>87</v>
      </c>
      <c r="G141" s="18" t="s">
        <v>94</v>
      </c>
      <c r="H141" s="27" t="s">
        <v>992</v>
      </c>
      <c r="I141" s="24">
        <v>11.5</v>
      </c>
      <c r="J141" s="95" t="s">
        <v>106</v>
      </c>
      <c r="K141" s="29">
        <v>1</v>
      </c>
      <c r="L141" s="27"/>
      <c r="M141" s="25"/>
      <c r="N141" s="25"/>
      <c r="O141" s="25"/>
      <c r="P141" s="22"/>
      <c r="Q141" s="44"/>
      <c r="R141" s="44"/>
      <c r="S141" s="44"/>
      <c r="T141" s="25"/>
      <c r="U141" s="25"/>
      <c r="V141" s="25"/>
      <c r="W141" s="25"/>
      <c r="X141" s="22"/>
      <c r="Y141" s="44"/>
      <c r="Z141" s="44"/>
      <c r="AA141" s="44"/>
      <c r="AB141" s="25"/>
      <c r="AC141" s="25"/>
      <c r="AD141" s="25"/>
      <c r="AE141" s="25"/>
    </row>
    <row r="142" spans="1:31" s="59" customFormat="1">
      <c r="A142" s="47" t="s">
        <v>835</v>
      </c>
      <c r="B142" s="47" t="s">
        <v>986</v>
      </c>
      <c r="C142" s="48">
        <v>44416</v>
      </c>
      <c r="D142" s="64">
        <f t="shared" si="2"/>
        <v>33</v>
      </c>
      <c r="E142" s="47" t="s">
        <v>993</v>
      </c>
      <c r="F142" s="18" t="s">
        <v>83</v>
      </c>
      <c r="G142" s="18" t="s">
        <v>60</v>
      </c>
      <c r="H142" s="27"/>
      <c r="I142" s="24">
        <v>1</v>
      </c>
      <c r="J142" s="20" t="str">
        <f>VLOOKUP(G142,MD!M$2:O$93,3,FALSE)</f>
        <v>ha</v>
      </c>
      <c r="K142" s="29">
        <v>1</v>
      </c>
      <c r="L142" s="27"/>
      <c r="M142" s="25"/>
      <c r="N142" s="25"/>
      <c r="O142" s="25"/>
      <c r="P142" s="22"/>
      <c r="Q142" s="44"/>
      <c r="R142" s="44"/>
      <c r="S142" s="44"/>
      <c r="T142" s="25"/>
      <c r="U142" s="25"/>
      <c r="V142" s="25"/>
      <c r="W142" s="25"/>
      <c r="X142" s="22"/>
      <c r="Y142" s="44"/>
      <c r="Z142" s="44"/>
      <c r="AA142" s="44"/>
      <c r="AB142" s="25"/>
      <c r="AC142" s="25"/>
      <c r="AD142" s="25"/>
      <c r="AE142" s="25"/>
    </row>
    <row r="143" spans="1:31">
      <c r="A143" s="47" t="s">
        <v>835</v>
      </c>
      <c r="B143" s="47" t="s">
        <v>986</v>
      </c>
      <c r="C143" s="49">
        <v>44552</v>
      </c>
      <c r="D143" s="64">
        <f t="shared" si="2"/>
        <v>52</v>
      </c>
      <c r="E143" s="47" t="s">
        <v>993</v>
      </c>
      <c r="F143" s="18" t="s">
        <v>83</v>
      </c>
      <c r="G143" s="18" t="s">
        <v>37</v>
      </c>
      <c r="I143" s="24">
        <v>1</v>
      </c>
      <c r="J143" s="20" t="str">
        <f>VLOOKUP(G143,MD!M$2:O$93,3,FALSE)</f>
        <v>ha</v>
      </c>
      <c r="K143" s="29">
        <v>1</v>
      </c>
      <c r="P143" s="22"/>
      <c r="X143" s="22"/>
    </row>
    <row r="144" spans="1:31">
      <c r="A144" s="47" t="s">
        <v>835</v>
      </c>
      <c r="B144" s="47" t="s">
        <v>986</v>
      </c>
      <c r="C144" s="49">
        <v>44594</v>
      </c>
      <c r="D144" s="64">
        <f t="shared" si="2"/>
        <v>6</v>
      </c>
      <c r="E144" s="47" t="s">
        <v>1022</v>
      </c>
      <c r="F144" s="18" t="s">
        <v>83</v>
      </c>
      <c r="G144" s="18" t="s">
        <v>63</v>
      </c>
      <c r="I144" s="24">
        <v>1</v>
      </c>
      <c r="J144" s="20" t="str">
        <f>VLOOKUP(G144,MD!M$2:O$93,3,FALSE)</f>
        <v>ha</v>
      </c>
      <c r="K144" s="29">
        <v>1</v>
      </c>
      <c r="P144" s="22"/>
      <c r="X144" s="22"/>
    </row>
    <row r="145" spans="1:31">
      <c r="A145" s="47" t="s">
        <v>835</v>
      </c>
      <c r="B145" s="47" t="s">
        <v>986</v>
      </c>
      <c r="C145" s="49">
        <v>44641</v>
      </c>
      <c r="D145" s="64">
        <f t="shared" si="2"/>
        <v>13</v>
      </c>
      <c r="E145" s="47" t="s">
        <v>123</v>
      </c>
      <c r="F145" s="18" t="s">
        <v>83</v>
      </c>
      <c r="G145" s="18" t="s">
        <v>38</v>
      </c>
      <c r="I145" s="24">
        <v>1</v>
      </c>
      <c r="J145" s="20" t="str">
        <f>VLOOKUP(G145,MD!M$2:O$93,3,FALSE)</f>
        <v>ha</v>
      </c>
      <c r="K145" s="29">
        <v>1</v>
      </c>
      <c r="P145" s="22"/>
      <c r="X145" s="22"/>
    </row>
    <row r="146" spans="1:31">
      <c r="A146" s="47" t="s">
        <v>835</v>
      </c>
      <c r="B146" s="47" t="s">
        <v>986</v>
      </c>
      <c r="C146" s="49">
        <v>44641</v>
      </c>
      <c r="D146" s="64">
        <f t="shared" si="2"/>
        <v>13</v>
      </c>
      <c r="E146" s="47" t="s">
        <v>123</v>
      </c>
      <c r="F146" s="18" t="s">
        <v>83</v>
      </c>
      <c r="G146" s="18" t="s">
        <v>60</v>
      </c>
      <c r="I146" s="24">
        <v>1</v>
      </c>
      <c r="J146" s="20" t="str">
        <f>VLOOKUP(G146,MD!M$2:O$93,3,FALSE)</f>
        <v>ha</v>
      </c>
      <c r="K146" s="29">
        <v>1</v>
      </c>
      <c r="P146" s="22"/>
      <c r="X146" s="22"/>
    </row>
    <row r="147" spans="1:31">
      <c r="A147" s="47" t="s">
        <v>835</v>
      </c>
      <c r="B147" s="47" t="s">
        <v>986</v>
      </c>
      <c r="C147" s="49">
        <v>44672</v>
      </c>
      <c r="D147" s="64">
        <f t="shared" si="2"/>
        <v>17</v>
      </c>
      <c r="E147" s="47" t="s">
        <v>123</v>
      </c>
      <c r="F147" s="18" t="s">
        <v>84</v>
      </c>
      <c r="G147" s="18" t="s">
        <v>76</v>
      </c>
      <c r="I147" s="24">
        <v>1</v>
      </c>
      <c r="J147" s="20" t="str">
        <f>VLOOKUP(G147,MD!M$2:O$93,3,FALSE)</f>
        <v>ha</v>
      </c>
      <c r="K147" s="29">
        <v>1</v>
      </c>
      <c r="P147" s="22"/>
      <c r="X147" s="22"/>
    </row>
    <row r="148" spans="1:31">
      <c r="A148" s="47" t="s">
        <v>835</v>
      </c>
      <c r="B148" s="47" t="s">
        <v>986</v>
      </c>
      <c r="C148" s="49">
        <v>44672</v>
      </c>
      <c r="D148" s="64">
        <f t="shared" si="2"/>
        <v>17</v>
      </c>
      <c r="E148" s="47" t="s">
        <v>123</v>
      </c>
      <c r="F148" s="18" t="s">
        <v>87</v>
      </c>
      <c r="G148" s="18" t="s">
        <v>93</v>
      </c>
      <c r="H148" s="27" t="s">
        <v>1050</v>
      </c>
      <c r="I148" s="24">
        <f>96000/10000</f>
        <v>9.6</v>
      </c>
      <c r="J148" s="20" t="str">
        <f>VLOOKUP(G148,MD!M$2:O$93,3,FALSE)</f>
        <v>gr./m2</v>
      </c>
      <c r="K148" s="29">
        <v>1</v>
      </c>
      <c r="P148" s="22"/>
      <c r="X148" s="22"/>
    </row>
    <row r="149" spans="1:31">
      <c r="A149" s="47" t="s">
        <v>835</v>
      </c>
      <c r="B149" s="47" t="s">
        <v>986</v>
      </c>
      <c r="C149" s="49">
        <v>44672</v>
      </c>
      <c r="D149" s="64">
        <f t="shared" si="2"/>
        <v>17</v>
      </c>
      <c r="E149" s="47" t="s">
        <v>123</v>
      </c>
      <c r="F149" s="18" t="s">
        <v>89</v>
      </c>
      <c r="G149" s="18" t="s">
        <v>133</v>
      </c>
      <c r="H149" s="27" t="s">
        <v>1002</v>
      </c>
      <c r="I149" s="24">
        <v>1</v>
      </c>
      <c r="J149" s="20" t="str">
        <f>VLOOKUP(G149,MD!M$2:O$93,3,FALSE)</f>
        <v>Dose hom.</v>
      </c>
      <c r="K149" s="29">
        <v>1</v>
      </c>
      <c r="L149" s="27" t="s">
        <v>1024</v>
      </c>
      <c r="M149" s="25" t="s">
        <v>1003</v>
      </c>
      <c r="P149" s="22"/>
      <c r="X149" s="22"/>
    </row>
    <row r="150" spans="1:31">
      <c r="A150" s="47" t="s">
        <v>835</v>
      </c>
      <c r="B150" s="47" t="s">
        <v>986</v>
      </c>
      <c r="C150" s="49">
        <v>44672</v>
      </c>
      <c r="D150" s="64">
        <f t="shared" si="2"/>
        <v>17</v>
      </c>
      <c r="E150" s="47" t="s">
        <v>123</v>
      </c>
      <c r="F150" s="18" t="s">
        <v>89</v>
      </c>
      <c r="G150" s="18" t="s">
        <v>133</v>
      </c>
      <c r="H150" s="27" t="s">
        <v>1001</v>
      </c>
      <c r="I150" s="24">
        <v>1</v>
      </c>
      <c r="J150" s="20" t="str">
        <f>VLOOKUP(G150,MD!M$2:O$93,3,FALSE)</f>
        <v>Dose hom.</v>
      </c>
      <c r="K150" s="29">
        <v>1</v>
      </c>
      <c r="L150" s="27" t="s">
        <v>1032</v>
      </c>
      <c r="M150" s="25" t="s">
        <v>367</v>
      </c>
      <c r="P150" s="22"/>
      <c r="X150" s="22"/>
    </row>
    <row r="151" spans="1:31">
      <c r="A151" s="47" t="s">
        <v>835</v>
      </c>
      <c r="B151" s="47" t="s">
        <v>986</v>
      </c>
      <c r="C151" s="49">
        <v>44672</v>
      </c>
      <c r="D151" s="64">
        <f t="shared" si="2"/>
        <v>17</v>
      </c>
      <c r="E151" s="47" t="s">
        <v>123</v>
      </c>
      <c r="F151" s="18" t="s">
        <v>89</v>
      </c>
      <c r="G151" s="18" t="s">
        <v>133</v>
      </c>
      <c r="H151" s="27" t="s">
        <v>1013</v>
      </c>
      <c r="I151" s="24">
        <v>1</v>
      </c>
      <c r="J151" s="20" t="str">
        <f>VLOOKUP(G151,MD!M$2:O$93,3,FALSE)</f>
        <v>Dose hom.</v>
      </c>
      <c r="K151" s="29">
        <v>1</v>
      </c>
      <c r="L151" s="27" t="s">
        <v>1014</v>
      </c>
      <c r="M151" s="25" t="s">
        <v>1015</v>
      </c>
      <c r="N151" s="25" t="s">
        <v>1016</v>
      </c>
      <c r="P151" s="22"/>
      <c r="X151" s="22"/>
    </row>
    <row r="152" spans="1:31">
      <c r="A152" s="47" t="s">
        <v>835</v>
      </c>
      <c r="B152" s="47" t="s">
        <v>986</v>
      </c>
      <c r="C152" s="49">
        <v>44672</v>
      </c>
      <c r="D152" s="64">
        <f t="shared" si="2"/>
        <v>17</v>
      </c>
      <c r="E152" s="47" t="s">
        <v>123</v>
      </c>
      <c r="F152" s="18" t="s">
        <v>89</v>
      </c>
      <c r="G152" s="18" t="s">
        <v>133</v>
      </c>
      <c r="H152" s="27" t="s">
        <v>1027</v>
      </c>
      <c r="I152" s="24">
        <v>1</v>
      </c>
      <c r="J152" s="20" t="str">
        <f>VLOOKUP(G152,MD!M$2:O$93,3,FALSE)</f>
        <v>Dose hom.</v>
      </c>
      <c r="K152" s="29">
        <v>1</v>
      </c>
      <c r="L152" s="109" t="s">
        <v>1028</v>
      </c>
      <c r="M152" s="25" t="s">
        <v>353</v>
      </c>
      <c r="N152" s="25" t="s">
        <v>1029</v>
      </c>
      <c r="P152" s="22"/>
      <c r="X152" s="22"/>
    </row>
    <row r="153" spans="1:31">
      <c r="A153" s="47" t="s">
        <v>835</v>
      </c>
      <c r="B153" s="47" t="s">
        <v>986</v>
      </c>
      <c r="C153" s="49">
        <v>44672</v>
      </c>
      <c r="D153" s="64">
        <f t="shared" si="2"/>
        <v>17</v>
      </c>
      <c r="E153" s="47" t="s">
        <v>123</v>
      </c>
      <c r="F153" s="18" t="s">
        <v>89</v>
      </c>
      <c r="G153" s="18" t="s">
        <v>133</v>
      </c>
      <c r="H153" s="27" t="s">
        <v>1051</v>
      </c>
      <c r="I153" s="24">
        <v>1</v>
      </c>
      <c r="J153" s="20" t="str">
        <f>VLOOKUP(G153,MD!M$2:O$93,3,FALSE)</f>
        <v>Dose hom.</v>
      </c>
      <c r="K153" s="29">
        <v>1</v>
      </c>
      <c r="L153" s="109"/>
      <c r="P153" s="22"/>
      <c r="X153" s="22"/>
    </row>
    <row r="154" spans="1:31" s="59" customFormat="1">
      <c r="A154" s="47" t="s">
        <v>835</v>
      </c>
      <c r="B154" s="47" t="s">
        <v>986</v>
      </c>
      <c r="C154" s="49">
        <v>44672</v>
      </c>
      <c r="D154" s="64">
        <f t="shared" si="2"/>
        <v>17</v>
      </c>
      <c r="E154" s="47" t="s">
        <v>835</v>
      </c>
      <c r="F154" s="18" t="s">
        <v>89</v>
      </c>
      <c r="G154" s="18" t="s">
        <v>111</v>
      </c>
      <c r="H154" s="27" t="s">
        <v>1018</v>
      </c>
      <c r="I154" s="24">
        <f>12/15</f>
        <v>0.8</v>
      </c>
      <c r="J154" s="20" t="str">
        <f>VLOOKUP(G154,MD!M$2:O$93,3,FALSE)</f>
        <v>Dose hom.</v>
      </c>
      <c r="K154" s="29">
        <v>1</v>
      </c>
      <c r="L154" s="27" t="s">
        <v>1019</v>
      </c>
      <c r="M154" s="25" t="s">
        <v>1020</v>
      </c>
      <c r="N154" s="25" t="s">
        <v>1052</v>
      </c>
      <c r="O154" s="25"/>
      <c r="P154" s="22"/>
      <c r="Q154" s="44"/>
      <c r="R154" s="44"/>
      <c r="S154" s="44"/>
      <c r="T154" s="25"/>
      <c r="U154" s="25"/>
      <c r="V154" s="25"/>
      <c r="W154" s="25"/>
      <c r="X154" s="22"/>
      <c r="Y154" s="44"/>
      <c r="Z154" s="44"/>
      <c r="AA154" s="44"/>
      <c r="AB154" s="25"/>
      <c r="AC154" s="25"/>
      <c r="AD154" s="25"/>
      <c r="AE154" s="25"/>
    </row>
    <row r="155" spans="1:31">
      <c r="A155" s="47" t="s">
        <v>835</v>
      </c>
      <c r="B155" s="47" t="s">
        <v>986</v>
      </c>
      <c r="C155" s="49">
        <v>44672</v>
      </c>
      <c r="D155" s="64">
        <f t="shared" si="2"/>
        <v>17</v>
      </c>
      <c r="E155" s="47" t="s">
        <v>835</v>
      </c>
      <c r="F155" s="18" t="s">
        <v>85</v>
      </c>
      <c r="G155" s="18" t="s">
        <v>67</v>
      </c>
      <c r="I155" s="24">
        <v>1</v>
      </c>
      <c r="J155" s="20" t="str">
        <f>VLOOKUP(G155,MD!M$2:O$93,3,FALSE)</f>
        <v>ha</v>
      </c>
      <c r="K155" s="29">
        <v>1</v>
      </c>
      <c r="P155" s="22"/>
      <c r="X155" s="22"/>
    </row>
    <row r="156" spans="1:31">
      <c r="A156" s="47" t="s">
        <v>835</v>
      </c>
      <c r="B156" s="47" t="s">
        <v>986</v>
      </c>
      <c r="C156" s="49">
        <v>44672</v>
      </c>
      <c r="D156" s="64">
        <f t="shared" si="2"/>
        <v>17</v>
      </c>
      <c r="E156" s="47" t="s">
        <v>835</v>
      </c>
      <c r="F156" s="18" t="s">
        <v>88</v>
      </c>
      <c r="G156" s="18" t="s">
        <v>191</v>
      </c>
      <c r="H156" s="27" t="s">
        <v>1054</v>
      </c>
      <c r="I156" s="24">
        <v>150</v>
      </c>
      <c r="J156" s="20" t="str">
        <f>VLOOKUP(G156,MD!M$2:O$93,3,FALSE)</f>
        <v>l/ha</v>
      </c>
      <c r="K156" s="29">
        <v>1</v>
      </c>
      <c r="L156" s="27" t="s">
        <v>1053</v>
      </c>
      <c r="P156" s="22"/>
      <c r="X156" s="22"/>
    </row>
    <row r="157" spans="1:31" s="59" customFormat="1">
      <c r="A157" s="47" t="s">
        <v>835</v>
      </c>
      <c r="B157" s="47" t="s">
        <v>986</v>
      </c>
      <c r="C157" s="49">
        <v>44674</v>
      </c>
      <c r="D157" s="64">
        <f t="shared" ref="D157" si="4">WEEKNUM(C157)</f>
        <v>17</v>
      </c>
      <c r="E157" s="47" t="s">
        <v>835</v>
      </c>
      <c r="F157" s="18" t="s">
        <v>86</v>
      </c>
      <c r="G157" s="18" t="s">
        <v>64</v>
      </c>
      <c r="H157" s="27"/>
      <c r="I157" s="24">
        <v>1</v>
      </c>
      <c r="J157" s="20" t="str">
        <f>VLOOKUP(G157,MD!M$2:O$93,3,FALSE)</f>
        <v>ha</v>
      </c>
      <c r="K157" s="29">
        <v>1</v>
      </c>
      <c r="L157" s="27"/>
      <c r="M157" s="25"/>
      <c r="N157" s="25"/>
      <c r="O157" s="25"/>
      <c r="P157" s="22"/>
      <c r="Q157" s="44"/>
      <c r="R157" s="44"/>
      <c r="S157" s="44"/>
      <c r="T157" s="25"/>
      <c r="U157" s="25"/>
      <c r="V157" s="25"/>
      <c r="W157" s="25"/>
      <c r="X157" s="22"/>
      <c r="Y157" s="44"/>
      <c r="Z157" s="44"/>
      <c r="AA157" s="44"/>
      <c r="AB157" s="25"/>
      <c r="AC157" s="25"/>
      <c r="AD157" s="25"/>
      <c r="AE157" s="25"/>
    </row>
    <row r="158" spans="1:31">
      <c r="A158" s="47" t="s">
        <v>835</v>
      </c>
      <c r="B158" s="47" t="s">
        <v>986</v>
      </c>
      <c r="C158" s="49">
        <v>44674</v>
      </c>
      <c r="D158" s="64">
        <f t="shared" si="2"/>
        <v>17</v>
      </c>
      <c r="E158" s="47" t="s">
        <v>835</v>
      </c>
      <c r="F158" s="18" t="s">
        <v>89</v>
      </c>
      <c r="G158" s="18" t="s">
        <v>113</v>
      </c>
      <c r="H158" s="27" t="s">
        <v>1034</v>
      </c>
      <c r="I158" s="57">
        <f>1/1.09</f>
        <v>0.9174311926605504</v>
      </c>
      <c r="J158" s="20" t="str">
        <f>VLOOKUP(G158,MD!M$2:O$93,3,FALSE)</f>
        <v>Dose hom.</v>
      </c>
      <c r="K158" s="29">
        <v>1</v>
      </c>
      <c r="L158" s="27" t="s">
        <v>1036</v>
      </c>
      <c r="M158" s="25" t="s">
        <v>1038</v>
      </c>
      <c r="N158" s="25" t="s">
        <v>1039</v>
      </c>
      <c r="P158" s="22"/>
      <c r="X158" s="22"/>
    </row>
    <row r="159" spans="1:31">
      <c r="A159" s="47" t="s">
        <v>835</v>
      </c>
      <c r="B159" s="47" t="s">
        <v>986</v>
      </c>
      <c r="C159" s="49">
        <v>44674</v>
      </c>
      <c r="D159" s="64">
        <f t="shared" si="2"/>
        <v>17</v>
      </c>
      <c r="E159" s="47" t="s">
        <v>835</v>
      </c>
      <c r="F159" s="18" t="s">
        <v>89</v>
      </c>
      <c r="G159" s="18" t="s">
        <v>113</v>
      </c>
      <c r="H159" s="27" t="s">
        <v>1035</v>
      </c>
      <c r="I159" s="57">
        <f>1/1.09</f>
        <v>0.9174311926605504</v>
      </c>
      <c r="J159" s="20" t="str">
        <f>VLOOKUP(G159,MD!M$2:O$93,3,FALSE)</f>
        <v>Dose hom.</v>
      </c>
      <c r="K159" s="29">
        <v>1</v>
      </c>
      <c r="L159" s="27" t="s">
        <v>1037</v>
      </c>
      <c r="M159" s="25" t="s">
        <v>1040</v>
      </c>
      <c r="N159" s="25" t="s">
        <v>1041</v>
      </c>
      <c r="P159" s="22"/>
      <c r="X159" s="22"/>
    </row>
    <row r="160" spans="1:31">
      <c r="A160" s="47" t="s">
        <v>835</v>
      </c>
      <c r="B160" s="47" t="s">
        <v>986</v>
      </c>
      <c r="C160" s="49">
        <v>44674</v>
      </c>
      <c r="D160" s="64">
        <f t="shared" si="2"/>
        <v>17</v>
      </c>
      <c r="E160" s="47" t="s">
        <v>835</v>
      </c>
      <c r="F160" s="18" t="s">
        <v>89</v>
      </c>
      <c r="G160" s="18" t="s">
        <v>113</v>
      </c>
      <c r="H160" s="27" t="s">
        <v>1042</v>
      </c>
      <c r="I160" s="24">
        <f>3.5/4</f>
        <v>0.875</v>
      </c>
      <c r="J160" s="20" t="str">
        <f>VLOOKUP(G160,MD!M$2:O$93,3,FALSE)</f>
        <v>Dose hom.</v>
      </c>
      <c r="K160" s="29">
        <v>1</v>
      </c>
      <c r="L160" s="27" t="s">
        <v>1044</v>
      </c>
      <c r="M160" s="25" t="s">
        <v>1046</v>
      </c>
      <c r="N160" s="25" t="s">
        <v>1047</v>
      </c>
      <c r="P160" s="22"/>
      <c r="X160" s="22"/>
    </row>
    <row r="161" spans="1:24">
      <c r="A161" s="47" t="s">
        <v>835</v>
      </c>
      <c r="B161" s="47" t="s">
        <v>986</v>
      </c>
      <c r="C161" s="49">
        <v>44674</v>
      </c>
      <c r="D161" s="64">
        <f t="shared" si="2"/>
        <v>17</v>
      </c>
      <c r="E161" s="47" t="s">
        <v>835</v>
      </c>
      <c r="F161" s="18" t="s">
        <v>89</v>
      </c>
      <c r="G161" s="18" t="s">
        <v>113</v>
      </c>
      <c r="H161" s="27" t="s">
        <v>1043</v>
      </c>
      <c r="I161" s="24">
        <f>3.5/4</f>
        <v>0.875</v>
      </c>
      <c r="J161" s="20" t="str">
        <f>VLOOKUP(G161,MD!M$2:O$93,3,FALSE)</f>
        <v>Dose hom.</v>
      </c>
      <c r="K161" s="29">
        <v>1</v>
      </c>
      <c r="L161" s="27" t="s">
        <v>1045</v>
      </c>
      <c r="M161" s="25" t="s">
        <v>1048</v>
      </c>
      <c r="N161" s="25" t="s">
        <v>1049</v>
      </c>
      <c r="P161" s="22"/>
      <c r="X161" s="22"/>
    </row>
    <row r="162" spans="1:24">
      <c r="J162" s="20" t="e">
        <f>VLOOKUP(G162,MD!M$2:O$93,3,FALSE)</f>
        <v>#N/A</v>
      </c>
      <c r="K162" s="29"/>
      <c r="P162" s="22"/>
      <c r="X162" s="22"/>
    </row>
    <row r="163" spans="1:24">
      <c r="J163" s="20" t="e">
        <f>VLOOKUP(G163,MD!M$2:O$93,3,FALSE)</f>
        <v>#N/A</v>
      </c>
      <c r="K163" s="29"/>
      <c r="P163" s="22"/>
      <c r="X163" s="22"/>
    </row>
    <row r="164" spans="1:24">
      <c r="J164" s="20" t="e">
        <f>VLOOKUP(G164,MD!M$2:O$93,3,FALSE)</f>
        <v>#N/A</v>
      </c>
      <c r="K164" s="29"/>
      <c r="P164" s="22"/>
      <c r="X164" s="22"/>
    </row>
    <row r="165" spans="1:24">
      <c r="J165" s="20" t="e">
        <f>VLOOKUP(G165,MD!M$2:O$93,3,FALSE)</f>
        <v>#N/A</v>
      </c>
      <c r="K165" s="29"/>
      <c r="P165" s="22"/>
      <c r="X165" s="22"/>
    </row>
    <row r="166" spans="1:24">
      <c r="J166" s="20" t="e">
        <f>VLOOKUP(G166,MD!M$2:O$93,3,FALSE)</f>
        <v>#N/A</v>
      </c>
      <c r="K166" s="29"/>
      <c r="P166" s="22"/>
      <c r="X166" s="22"/>
    </row>
    <row r="167" spans="1:24">
      <c r="J167" s="20" t="e">
        <f>VLOOKUP(G167,MD!M$2:O$93,3,FALSE)</f>
        <v>#N/A</v>
      </c>
      <c r="K167" s="29"/>
      <c r="P167" s="22"/>
      <c r="X167" s="22"/>
    </row>
    <row r="168" spans="1:24">
      <c r="J168" s="20" t="e">
        <f>VLOOKUP(G168,MD!M$2:O$93,3,FALSE)</f>
        <v>#N/A</v>
      </c>
      <c r="K168" s="29"/>
      <c r="P168" s="22"/>
      <c r="X168" s="22"/>
    </row>
    <row r="169" spans="1:24">
      <c r="J169" s="20" t="e">
        <f>VLOOKUP(G169,MD!M$2:O$93,3,FALSE)</f>
        <v>#N/A</v>
      </c>
      <c r="K169" s="29"/>
      <c r="P169" s="22"/>
      <c r="X169" s="22"/>
    </row>
    <row r="170" spans="1:24">
      <c r="J170" s="20" t="e">
        <f>VLOOKUP(G170,MD!M$2:O$93,3,FALSE)</f>
        <v>#N/A</v>
      </c>
      <c r="K170" s="29"/>
      <c r="P170" s="22"/>
      <c r="X170" s="22"/>
    </row>
    <row r="171" spans="1:24">
      <c r="J171" s="20" t="e">
        <f>VLOOKUP(G171,MD!M$2:O$93,3,FALSE)</f>
        <v>#N/A</v>
      </c>
      <c r="K171" s="29"/>
      <c r="P171" s="22"/>
      <c r="X171" s="22"/>
    </row>
    <row r="172" spans="1:24">
      <c r="J172" s="20" t="e">
        <f>VLOOKUP(G172,MD!M$2:O$93,3,FALSE)</f>
        <v>#N/A</v>
      </c>
      <c r="K172" s="29"/>
      <c r="P172" s="22"/>
      <c r="X172" s="22"/>
    </row>
    <row r="173" spans="1:24">
      <c r="J173" s="20" t="e">
        <f>VLOOKUP(G173,MD!M$2:O$93,3,FALSE)</f>
        <v>#N/A</v>
      </c>
      <c r="K173" s="29"/>
      <c r="P173" s="22"/>
      <c r="X173" s="22"/>
    </row>
    <row r="174" spans="1:24">
      <c r="J174" s="20" t="e">
        <f>VLOOKUP(G174,MD!M$2:O$93,3,FALSE)</f>
        <v>#N/A</v>
      </c>
      <c r="K174" s="29"/>
      <c r="P174" s="22"/>
      <c r="X174" s="22"/>
    </row>
    <row r="175" spans="1:24">
      <c r="J175" s="20" t="e">
        <f>VLOOKUP(G175,MD!M$2:O$93,3,FALSE)</f>
        <v>#N/A</v>
      </c>
      <c r="K175" s="29"/>
      <c r="P175" s="22"/>
      <c r="X175" s="22"/>
    </row>
    <row r="176" spans="1:24">
      <c r="J176" s="20" t="e">
        <f>VLOOKUP(G176,MD!M$2:O$93,3,FALSE)</f>
        <v>#N/A</v>
      </c>
      <c r="K176" s="29"/>
      <c r="P176" s="22"/>
      <c r="X176" s="22"/>
    </row>
    <row r="177" spans="10:24">
      <c r="J177" s="20" t="e">
        <f>VLOOKUP(G177,MD!M$2:O$93,3,FALSE)</f>
        <v>#N/A</v>
      </c>
      <c r="K177" s="29"/>
      <c r="P177" s="22"/>
      <c r="X177" s="22"/>
    </row>
    <row r="178" spans="10:24">
      <c r="J178" s="20" t="e">
        <f>VLOOKUP(G178,MD!M$2:O$93,3,FALSE)</f>
        <v>#N/A</v>
      </c>
      <c r="K178" s="29"/>
      <c r="P178" s="22"/>
      <c r="X178" s="22"/>
    </row>
    <row r="179" spans="10:24">
      <c r="J179" s="20" t="e">
        <f>VLOOKUP(G179,MD!M$2:O$93,3,FALSE)</f>
        <v>#N/A</v>
      </c>
      <c r="K179" s="29"/>
      <c r="P179" s="22"/>
      <c r="X179" s="22"/>
    </row>
    <row r="180" spans="10:24">
      <c r="J180" s="20" t="e">
        <f>VLOOKUP(G180,MD!M$2:O$93,3,FALSE)</f>
        <v>#N/A</v>
      </c>
      <c r="K180" s="29"/>
      <c r="P180" s="22"/>
      <c r="X180" s="22"/>
    </row>
    <row r="181" spans="10:24">
      <c r="J181" s="20" t="e">
        <f>VLOOKUP(G181,MD!M$2:O$93,3,FALSE)</f>
        <v>#N/A</v>
      </c>
      <c r="K181" s="29"/>
      <c r="P181" s="22"/>
      <c r="X181" s="22"/>
    </row>
    <row r="182" spans="10:24">
      <c r="J182" s="20" t="e">
        <f>VLOOKUP(G182,MD!M$2:O$93,3,FALSE)</f>
        <v>#N/A</v>
      </c>
      <c r="K182" s="29"/>
      <c r="P182" s="22"/>
      <c r="X182" s="22"/>
    </row>
    <row r="183" spans="10:24">
      <c r="J183" s="20" t="e">
        <f>VLOOKUP(G183,MD!M$2:O$93,3,FALSE)</f>
        <v>#N/A</v>
      </c>
      <c r="K183" s="29"/>
      <c r="P183" s="22"/>
      <c r="X183" s="22"/>
    </row>
    <row r="184" spans="10:24">
      <c r="J184" s="20" t="e">
        <f>VLOOKUP(G184,MD!M$2:O$93,3,FALSE)</f>
        <v>#N/A</v>
      </c>
      <c r="K184" s="29"/>
      <c r="P184" s="22"/>
      <c r="X184" s="22"/>
    </row>
    <row r="185" spans="10:24">
      <c r="J185" s="20" t="e">
        <f>VLOOKUP(G185,MD!M$2:O$93,3,FALSE)</f>
        <v>#N/A</v>
      </c>
      <c r="K185" s="29"/>
      <c r="P185" s="22"/>
      <c r="X185" s="22"/>
    </row>
    <row r="186" spans="10:24">
      <c r="J186" s="20" t="e">
        <f>VLOOKUP(G186,MD!M$2:O$93,3,FALSE)</f>
        <v>#N/A</v>
      </c>
      <c r="K186" s="29"/>
      <c r="P186" s="22"/>
      <c r="X186" s="22"/>
    </row>
    <row r="187" spans="10:24">
      <c r="J187" s="20" t="e">
        <f>VLOOKUP(G187,MD!M$2:O$93,3,FALSE)</f>
        <v>#N/A</v>
      </c>
      <c r="K187" s="29"/>
      <c r="P187" s="22"/>
      <c r="X187" s="22"/>
    </row>
    <row r="188" spans="10:24">
      <c r="J188" s="20" t="e">
        <f>VLOOKUP(G188,MD!M$2:O$93,3,FALSE)</f>
        <v>#N/A</v>
      </c>
      <c r="K188" s="29"/>
      <c r="P188" s="22"/>
      <c r="X188" s="22"/>
    </row>
    <row r="189" spans="10:24">
      <c r="J189" s="20" t="e">
        <f>VLOOKUP(G189,MD!M$2:O$93,3,FALSE)</f>
        <v>#N/A</v>
      </c>
      <c r="K189" s="29"/>
      <c r="P189" s="22"/>
      <c r="X189" s="22"/>
    </row>
    <row r="190" spans="10:24">
      <c r="J190" s="20" t="e">
        <f>VLOOKUP(G190,MD!M$2:O$93,3,FALSE)</f>
        <v>#N/A</v>
      </c>
      <c r="K190" s="29"/>
      <c r="P190" s="22"/>
      <c r="X190" s="22"/>
    </row>
    <row r="191" spans="10:24">
      <c r="J191" s="20" t="e">
        <f>VLOOKUP(G191,MD!M$2:O$93,3,FALSE)</f>
        <v>#N/A</v>
      </c>
      <c r="K191" s="29"/>
      <c r="P191" s="22"/>
      <c r="X191" s="22"/>
    </row>
    <row r="192" spans="10:24">
      <c r="J192" s="20" t="e">
        <f>VLOOKUP(G192,MD!M$2:O$93,3,FALSE)</f>
        <v>#N/A</v>
      </c>
      <c r="K192" s="29"/>
      <c r="P192" s="22"/>
      <c r="X192" s="22"/>
    </row>
    <row r="193" spans="10:24">
      <c r="J193" s="20" t="e">
        <f>VLOOKUP(G193,MD!M$2:O$93,3,FALSE)</f>
        <v>#N/A</v>
      </c>
      <c r="K193" s="29"/>
      <c r="P193" s="22"/>
      <c r="X193" s="22"/>
    </row>
    <row r="194" spans="10:24">
      <c r="J194" s="20" t="e">
        <f>VLOOKUP(G194,MD!M$2:O$93,3,FALSE)</f>
        <v>#N/A</v>
      </c>
      <c r="K194" s="29"/>
      <c r="P194" s="22"/>
      <c r="X194" s="22"/>
    </row>
    <row r="195" spans="10:24">
      <c r="J195" s="20" t="e">
        <f>VLOOKUP(G195,MD!M$2:O$93,3,FALSE)</f>
        <v>#N/A</v>
      </c>
      <c r="K195" s="29"/>
      <c r="P195" s="22"/>
      <c r="X195" s="22"/>
    </row>
    <row r="196" spans="10:24">
      <c r="J196" s="20" t="e">
        <f>VLOOKUP(G196,MD!M$2:O$93,3,FALSE)</f>
        <v>#N/A</v>
      </c>
      <c r="K196" s="29"/>
      <c r="P196" s="22"/>
      <c r="X196" s="22"/>
    </row>
    <row r="197" spans="10:24">
      <c r="J197" s="20" t="e">
        <f>VLOOKUP(G197,MD!M$2:O$93,3,FALSE)</f>
        <v>#N/A</v>
      </c>
      <c r="K197" s="29"/>
      <c r="P197" s="22"/>
      <c r="X197" s="22"/>
    </row>
    <row r="198" spans="10:24">
      <c r="J198" s="20" t="e">
        <f>VLOOKUP(G198,MD!M$2:O$93,3,FALSE)</f>
        <v>#N/A</v>
      </c>
      <c r="K198" s="29"/>
      <c r="P198" s="22"/>
      <c r="X198" s="22"/>
    </row>
    <row r="199" spans="10:24">
      <c r="J199" s="20" t="e">
        <f>VLOOKUP(G199,MD!M$2:O$93,3,FALSE)</f>
        <v>#N/A</v>
      </c>
      <c r="K199" s="29"/>
      <c r="P199" s="22"/>
      <c r="X199" s="22"/>
    </row>
    <row r="200" spans="10:24">
      <c r="J200" s="20" t="e">
        <f>VLOOKUP(G200,MD!M$2:O$93,3,FALSE)</f>
        <v>#N/A</v>
      </c>
      <c r="K200" s="29"/>
      <c r="P200" s="22"/>
      <c r="X200" s="22"/>
    </row>
    <row r="201" spans="10:24">
      <c r="J201" s="20" t="e">
        <f>VLOOKUP(G201,MD!M$2:O$93,3,FALSE)</f>
        <v>#N/A</v>
      </c>
      <c r="K201" s="29"/>
      <c r="P201" s="22"/>
      <c r="X201" s="22"/>
    </row>
    <row r="202" spans="10:24">
      <c r="J202" s="20" t="e">
        <f>VLOOKUP(G202,MD!M$2:O$93,3,FALSE)</f>
        <v>#N/A</v>
      </c>
      <c r="K202" s="29"/>
      <c r="P202" s="22"/>
      <c r="X202" s="22"/>
    </row>
    <row r="203" spans="10:24">
      <c r="J203" s="20" t="e">
        <f>VLOOKUP(G203,MD!M$2:O$93,3,FALSE)</f>
        <v>#N/A</v>
      </c>
      <c r="K203" s="29"/>
      <c r="P203" s="22"/>
      <c r="X203" s="22"/>
    </row>
    <row r="204" spans="10:24">
      <c r="J204" s="20" t="e">
        <f>VLOOKUP(G204,MD!M$2:O$93,3,FALSE)</f>
        <v>#N/A</v>
      </c>
      <c r="K204" s="29"/>
      <c r="P204" s="22"/>
      <c r="X204" s="22"/>
    </row>
    <row r="205" spans="10:24">
      <c r="J205" s="20" t="e">
        <f>VLOOKUP(G205,MD!M$2:O$93,3,FALSE)</f>
        <v>#N/A</v>
      </c>
      <c r="K205" s="29"/>
      <c r="P205" s="22"/>
      <c r="X205" s="22"/>
    </row>
    <row r="206" spans="10:24">
      <c r="J206" s="20" t="e">
        <f>VLOOKUP(G206,MD!M$2:O$93,3,FALSE)</f>
        <v>#N/A</v>
      </c>
      <c r="K206" s="29"/>
      <c r="P206" s="22"/>
      <c r="X206" s="22"/>
    </row>
    <row r="207" spans="10:24">
      <c r="J207" s="20" t="e">
        <f>VLOOKUP(G207,MD!M$2:O$93,3,FALSE)</f>
        <v>#N/A</v>
      </c>
      <c r="K207" s="29"/>
      <c r="P207" s="22"/>
      <c r="X207" s="22"/>
    </row>
    <row r="208" spans="10:24">
      <c r="J208" s="20" t="e">
        <f>VLOOKUP(G208,MD!M$2:O$93,3,FALSE)</f>
        <v>#N/A</v>
      </c>
      <c r="K208" s="29"/>
      <c r="P208" s="22"/>
      <c r="X208" s="22"/>
    </row>
    <row r="209" spans="10:24">
      <c r="J209" s="20" t="e">
        <f>VLOOKUP(G209,MD!M$2:O$93,3,FALSE)</f>
        <v>#N/A</v>
      </c>
      <c r="K209" s="29"/>
      <c r="P209" s="22"/>
      <c r="X209" s="22"/>
    </row>
    <row r="210" spans="10:24">
      <c r="J210" s="20" t="e">
        <f>VLOOKUP(G210,MD!M$2:O$93,3,FALSE)</f>
        <v>#N/A</v>
      </c>
      <c r="K210" s="29"/>
      <c r="P210" s="22"/>
      <c r="X210" s="22"/>
    </row>
    <row r="211" spans="10:24">
      <c r="J211" s="20" t="e">
        <f>VLOOKUP(G211,MD!M$2:O$93,3,FALSE)</f>
        <v>#N/A</v>
      </c>
      <c r="K211" s="29"/>
      <c r="P211" s="22"/>
      <c r="X211" s="22"/>
    </row>
    <row r="212" spans="10:24">
      <c r="J212" s="20" t="e">
        <f>VLOOKUP(G212,MD!M$2:O$93,3,FALSE)</f>
        <v>#N/A</v>
      </c>
      <c r="K212" s="29"/>
      <c r="P212" s="22"/>
      <c r="X212" s="22"/>
    </row>
    <row r="213" spans="10:24">
      <c r="J213" s="20" t="e">
        <f>VLOOKUP(G213,MD!M$2:O$93,3,FALSE)</f>
        <v>#N/A</v>
      </c>
      <c r="K213" s="29"/>
      <c r="P213" s="22"/>
      <c r="X213" s="22"/>
    </row>
    <row r="214" spans="10:24">
      <c r="J214" s="20" t="e">
        <f>VLOOKUP(G214,MD!M$2:O$93,3,FALSE)</f>
        <v>#N/A</v>
      </c>
      <c r="K214" s="29"/>
      <c r="P214" s="22"/>
      <c r="X214" s="22"/>
    </row>
    <row r="215" spans="10:24">
      <c r="J215" s="20" t="e">
        <f>VLOOKUP(G215,MD!M$2:O$93,3,FALSE)</f>
        <v>#N/A</v>
      </c>
      <c r="K215" s="29"/>
      <c r="P215" s="22"/>
      <c r="X215" s="22"/>
    </row>
    <row r="216" spans="10:24">
      <c r="J216" s="20" t="e">
        <f>VLOOKUP(G216,MD!M$2:O$93,3,FALSE)</f>
        <v>#N/A</v>
      </c>
      <c r="K216" s="29"/>
      <c r="P216" s="22"/>
      <c r="X216" s="22"/>
    </row>
    <row r="217" spans="10:24">
      <c r="J217" s="20" t="e">
        <f>VLOOKUP(G217,MD!M$2:O$93,3,FALSE)</f>
        <v>#N/A</v>
      </c>
      <c r="K217" s="29"/>
      <c r="P217" s="22"/>
      <c r="X217" s="22"/>
    </row>
    <row r="218" spans="10:24">
      <c r="J218" s="20" t="e">
        <f>VLOOKUP(G218,MD!M$2:O$93,3,FALSE)</f>
        <v>#N/A</v>
      </c>
      <c r="K218" s="29"/>
      <c r="P218" s="22"/>
      <c r="X218" s="22"/>
    </row>
    <row r="219" spans="10:24">
      <c r="J219" s="20" t="e">
        <f>VLOOKUP(G219,MD!M$2:O$93,3,FALSE)</f>
        <v>#N/A</v>
      </c>
      <c r="K219" s="29"/>
      <c r="P219" s="22"/>
      <c r="X219" s="22"/>
    </row>
    <row r="220" spans="10:24">
      <c r="J220" s="20" t="e">
        <f>VLOOKUP(G220,MD!M$2:O$93,3,FALSE)</f>
        <v>#N/A</v>
      </c>
      <c r="K220" s="29"/>
      <c r="P220" s="22"/>
      <c r="X220" s="22"/>
    </row>
    <row r="221" spans="10:24">
      <c r="J221" s="20" t="e">
        <f>VLOOKUP(G221,MD!M$2:O$93,3,FALSE)</f>
        <v>#N/A</v>
      </c>
      <c r="K221" s="29"/>
      <c r="P221" s="22"/>
      <c r="X221" s="22"/>
    </row>
    <row r="222" spans="10:24">
      <c r="J222" s="20" t="e">
        <f>VLOOKUP(G222,MD!M$2:O$93,3,FALSE)</f>
        <v>#N/A</v>
      </c>
      <c r="K222" s="29"/>
      <c r="P222" s="22"/>
      <c r="X222" s="22"/>
    </row>
    <row r="223" spans="10:24">
      <c r="J223" s="20" t="e">
        <f>VLOOKUP(G223,MD!M$2:O$93,3,FALSE)</f>
        <v>#N/A</v>
      </c>
      <c r="K223" s="29"/>
      <c r="P223" s="22"/>
      <c r="X223" s="22"/>
    </row>
    <row r="224" spans="10:24">
      <c r="J224" s="20" t="e">
        <f>VLOOKUP(G224,MD!M$2:O$93,3,FALSE)</f>
        <v>#N/A</v>
      </c>
      <c r="K224" s="29"/>
      <c r="P224" s="22"/>
      <c r="X224" s="22"/>
    </row>
    <row r="225" spans="10:24">
      <c r="J225" s="20" t="e">
        <f>VLOOKUP(G225,MD!M$2:O$93,3,FALSE)</f>
        <v>#N/A</v>
      </c>
      <c r="K225" s="29"/>
      <c r="P225" s="22"/>
      <c r="X225" s="22"/>
    </row>
    <row r="226" spans="10:24">
      <c r="J226" s="20" t="e">
        <f>VLOOKUP(G226,MD!M$2:O$93,3,FALSE)</f>
        <v>#N/A</v>
      </c>
      <c r="K226" s="29"/>
      <c r="P226" s="22"/>
      <c r="X226" s="22"/>
    </row>
    <row r="227" spans="10:24">
      <c r="J227" s="20" t="e">
        <f>VLOOKUP(G227,MD!M$2:O$93,3,FALSE)</f>
        <v>#N/A</v>
      </c>
      <c r="K227" s="29"/>
      <c r="P227" s="22"/>
      <c r="X227" s="22"/>
    </row>
    <row r="228" spans="10:24">
      <c r="J228" s="20" t="e">
        <f>VLOOKUP(G228,MD!M$2:O$93,3,FALSE)</f>
        <v>#N/A</v>
      </c>
      <c r="K228" s="29"/>
      <c r="P228" s="22"/>
      <c r="X228" s="22"/>
    </row>
    <row r="229" spans="10:24">
      <c r="J229" s="20" t="e">
        <f>VLOOKUP(G229,MD!M$2:O$93,3,FALSE)</f>
        <v>#N/A</v>
      </c>
      <c r="K229" s="29"/>
      <c r="P229" s="22"/>
      <c r="X229" s="22"/>
    </row>
    <row r="230" spans="10:24">
      <c r="J230" s="20" t="e">
        <f>VLOOKUP(G230,MD!M$2:O$93,3,FALSE)</f>
        <v>#N/A</v>
      </c>
      <c r="K230" s="29"/>
      <c r="P230" s="22"/>
      <c r="X230" s="22"/>
    </row>
    <row r="231" spans="10:24">
      <c r="J231" s="20" t="e">
        <f>VLOOKUP(G231,MD!M$2:O$93,3,FALSE)</f>
        <v>#N/A</v>
      </c>
      <c r="K231" s="29"/>
      <c r="P231" s="22"/>
      <c r="X231" s="22"/>
    </row>
    <row r="232" spans="10:24">
      <c r="J232" s="20" t="e">
        <f>VLOOKUP(G232,MD!M$2:O$93,3,FALSE)</f>
        <v>#N/A</v>
      </c>
      <c r="K232" s="29"/>
      <c r="P232" s="22"/>
      <c r="X232" s="22"/>
    </row>
    <row r="233" spans="10:24">
      <c r="J233" s="20" t="e">
        <f>VLOOKUP(G233,MD!M$2:O$93,3,FALSE)</f>
        <v>#N/A</v>
      </c>
      <c r="K233" s="29"/>
      <c r="P233" s="22"/>
      <c r="X233" s="22"/>
    </row>
    <row r="234" spans="10:24">
      <c r="J234" s="20" t="e">
        <f>VLOOKUP(G234,MD!M$2:O$93,3,FALSE)</f>
        <v>#N/A</v>
      </c>
      <c r="K234" s="29"/>
      <c r="P234" s="22"/>
      <c r="X234" s="22"/>
    </row>
    <row r="235" spans="10:24">
      <c r="J235" s="20" t="e">
        <f>VLOOKUP(G235,MD!M$2:O$93,3,FALSE)</f>
        <v>#N/A</v>
      </c>
      <c r="K235" s="29"/>
      <c r="P235" s="22"/>
      <c r="X235" s="22"/>
    </row>
    <row r="236" spans="10:24">
      <c r="J236" s="20" t="e">
        <f>VLOOKUP(G236,MD!M$2:O$93,3,FALSE)</f>
        <v>#N/A</v>
      </c>
      <c r="K236" s="29"/>
      <c r="P236" s="22"/>
      <c r="X236" s="22"/>
    </row>
    <row r="237" spans="10:24">
      <c r="J237" s="20" t="e">
        <f>VLOOKUP(G237,MD!M$2:O$93,3,FALSE)</f>
        <v>#N/A</v>
      </c>
      <c r="K237" s="29"/>
      <c r="P237" s="22"/>
      <c r="X237" s="22"/>
    </row>
    <row r="238" spans="10:24">
      <c r="J238" s="20" t="e">
        <f>VLOOKUP(G238,MD!M$2:O$93,3,FALSE)</f>
        <v>#N/A</v>
      </c>
      <c r="K238" s="29"/>
      <c r="P238" s="22"/>
      <c r="X238" s="22"/>
    </row>
    <row r="239" spans="10:24">
      <c r="J239" s="20" t="e">
        <f>VLOOKUP(G239,MD!M$2:O$93,3,FALSE)</f>
        <v>#N/A</v>
      </c>
      <c r="K239" s="29"/>
      <c r="P239" s="22"/>
      <c r="X239" s="22"/>
    </row>
    <row r="240" spans="10:24">
      <c r="J240" s="20" t="e">
        <f>VLOOKUP(G240,MD!M$2:O$93,3,FALSE)</f>
        <v>#N/A</v>
      </c>
      <c r="K240" s="29"/>
      <c r="P240" s="22"/>
      <c r="X240" s="22"/>
    </row>
    <row r="241" spans="10:24">
      <c r="J241" s="20" t="e">
        <f>VLOOKUP(G241,MD!M$2:O$93,3,FALSE)</f>
        <v>#N/A</v>
      </c>
      <c r="K241" s="29"/>
      <c r="P241" s="22"/>
      <c r="X241" s="22"/>
    </row>
    <row r="242" spans="10:24">
      <c r="J242" s="20" t="e">
        <f>VLOOKUP(G242,MD!M$2:O$93,3,FALSE)</f>
        <v>#N/A</v>
      </c>
      <c r="K242" s="29"/>
      <c r="P242" s="22"/>
      <c r="X242" s="22"/>
    </row>
    <row r="243" spans="10:24">
      <c r="J243" s="20" t="e">
        <f>VLOOKUP(G243,MD!M$2:O$93,3,FALSE)</f>
        <v>#N/A</v>
      </c>
      <c r="K243" s="29"/>
      <c r="P243" s="22"/>
      <c r="X243" s="22"/>
    </row>
    <row r="244" spans="10:24">
      <c r="J244" s="20" t="e">
        <f>VLOOKUP(G244,MD!M$2:O$93,3,FALSE)</f>
        <v>#N/A</v>
      </c>
      <c r="K244" s="29"/>
      <c r="P244" s="22"/>
      <c r="X244" s="22"/>
    </row>
    <row r="245" spans="10:24">
      <c r="J245" s="20" t="e">
        <f>VLOOKUP(G245,MD!M$2:O$93,3,FALSE)</f>
        <v>#N/A</v>
      </c>
      <c r="K245" s="29"/>
      <c r="P245" s="22"/>
      <c r="X245" s="22"/>
    </row>
    <row r="246" spans="10:24">
      <c r="J246" s="20" t="e">
        <f>VLOOKUP(G246,MD!M$2:O$93,3,FALSE)</f>
        <v>#N/A</v>
      </c>
      <c r="K246" s="29"/>
      <c r="P246" s="22"/>
      <c r="X246" s="22"/>
    </row>
    <row r="247" spans="10:24">
      <c r="J247" s="20" t="e">
        <f>VLOOKUP(G247,MD!M$2:O$93,3,FALSE)</f>
        <v>#N/A</v>
      </c>
      <c r="K247" s="29"/>
      <c r="P247" s="22"/>
      <c r="X247" s="22"/>
    </row>
    <row r="248" spans="10:24">
      <c r="J248" s="20" t="e">
        <f>VLOOKUP(G248,MD!M$2:O$93,3,FALSE)</f>
        <v>#N/A</v>
      </c>
      <c r="K248" s="29"/>
      <c r="P248" s="22"/>
      <c r="X248" s="22"/>
    </row>
    <row r="249" spans="10:24">
      <c r="J249" s="20" t="e">
        <f>VLOOKUP(G249,MD!M$2:O$93,3,FALSE)</f>
        <v>#N/A</v>
      </c>
      <c r="K249" s="29"/>
      <c r="P249" s="22"/>
      <c r="X249" s="22"/>
    </row>
    <row r="250" spans="10:24">
      <c r="J250" s="20" t="e">
        <f>VLOOKUP(G250,MD!M$2:O$93,3,FALSE)</f>
        <v>#N/A</v>
      </c>
      <c r="K250" s="29"/>
      <c r="P250" s="22"/>
      <c r="X250" s="22"/>
    </row>
    <row r="251" spans="10:24">
      <c r="J251" s="20" t="e">
        <f>VLOOKUP(G251,MD!M$2:O$93,3,FALSE)</f>
        <v>#N/A</v>
      </c>
      <c r="K251" s="29"/>
      <c r="P251" s="22"/>
      <c r="X251" s="22"/>
    </row>
    <row r="252" spans="10:24">
      <c r="J252" s="20" t="e">
        <f>VLOOKUP(G252,MD!M$2:O$93,3,FALSE)</f>
        <v>#N/A</v>
      </c>
      <c r="K252" s="29"/>
      <c r="P252" s="22"/>
      <c r="X252" s="22"/>
    </row>
    <row r="253" spans="10:24">
      <c r="J253" s="20" t="e">
        <f>VLOOKUP(G253,MD!M$2:O$93,3,FALSE)</f>
        <v>#N/A</v>
      </c>
      <c r="K253" s="29"/>
      <c r="P253" s="22"/>
      <c r="X253" s="22"/>
    </row>
    <row r="254" spans="10:24">
      <c r="J254" s="20" t="e">
        <f>VLOOKUP(G254,MD!M$2:O$93,3,FALSE)</f>
        <v>#N/A</v>
      </c>
      <c r="K254" s="29"/>
      <c r="P254" s="22"/>
      <c r="X254" s="22"/>
    </row>
    <row r="255" spans="10:24">
      <c r="J255" s="20" t="e">
        <f>VLOOKUP(G255,MD!M$2:O$93,3,FALSE)</f>
        <v>#N/A</v>
      </c>
      <c r="K255" s="29"/>
      <c r="P255" s="22"/>
      <c r="X255" s="22"/>
    </row>
    <row r="256" spans="10:24">
      <c r="J256" s="20" t="e">
        <f>VLOOKUP(G256,MD!M$2:O$93,3,FALSE)</f>
        <v>#N/A</v>
      </c>
      <c r="K256" s="29"/>
      <c r="P256" s="22"/>
      <c r="X256" s="22"/>
    </row>
    <row r="257" spans="10:24">
      <c r="J257" s="20" t="e">
        <f>VLOOKUP(G257,MD!M$2:O$93,3,FALSE)</f>
        <v>#N/A</v>
      </c>
      <c r="K257" s="29"/>
      <c r="P257" s="22"/>
      <c r="X257" s="22"/>
    </row>
    <row r="258" spans="10:24">
      <c r="J258" s="20" t="e">
        <f>VLOOKUP(G258,MD!M$2:O$93,3,FALSE)</f>
        <v>#N/A</v>
      </c>
      <c r="K258" s="29"/>
      <c r="P258" s="22"/>
      <c r="X258" s="22"/>
    </row>
    <row r="259" spans="10:24">
      <c r="J259" s="20" t="e">
        <f>VLOOKUP(G259,MD!M$2:O$93,3,FALSE)</f>
        <v>#N/A</v>
      </c>
      <c r="K259" s="29"/>
      <c r="P259" s="22"/>
      <c r="X259" s="22"/>
    </row>
    <row r="260" spans="10:24">
      <c r="J260" s="20" t="e">
        <f>VLOOKUP(G260,MD!M$2:O$93,3,FALSE)</f>
        <v>#N/A</v>
      </c>
      <c r="K260" s="29"/>
      <c r="P260" s="22"/>
      <c r="X260" s="22"/>
    </row>
    <row r="261" spans="10:24">
      <c r="J261" s="20" t="e">
        <f>VLOOKUP(G261,MD!M$2:O$93,3,FALSE)</f>
        <v>#N/A</v>
      </c>
      <c r="K261" s="29"/>
      <c r="P261" s="22"/>
      <c r="X261" s="22"/>
    </row>
    <row r="262" spans="10:24">
      <c r="J262" s="20" t="e">
        <f>VLOOKUP(G262,MD!M$2:O$93,3,FALSE)</f>
        <v>#N/A</v>
      </c>
      <c r="K262" s="29"/>
      <c r="P262" s="22"/>
      <c r="X262" s="22"/>
    </row>
    <row r="263" spans="10:24">
      <c r="J263" s="20" t="e">
        <f>VLOOKUP(G263,MD!M$2:O$93,3,FALSE)</f>
        <v>#N/A</v>
      </c>
      <c r="K263" s="29"/>
      <c r="P263" s="22"/>
      <c r="X263" s="22"/>
    </row>
    <row r="264" spans="10:24">
      <c r="J264" s="20" t="e">
        <f>VLOOKUP(G264,MD!M$2:O$93,3,FALSE)</f>
        <v>#N/A</v>
      </c>
      <c r="K264" s="29"/>
      <c r="P264" s="22"/>
      <c r="X264" s="22"/>
    </row>
    <row r="265" spans="10:24">
      <c r="J265" s="20" t="e">
        <f>VLOOKUP(G265,MD!M$2:O$93,3,FALSE)</f>
        <v>#N/A</v>
      </c>
      <c r="K265" s="29"/>
      <c r="P265" s="22"/>
      <c r="X265" s="22"/>
    </row>
    <row r="266" spans="10:24">
      <c r="J266" s="20" t="e">
        <f>VLOOKUP(G266,MD!M$2:O$93,3,FALSE)</f>
        <v>#N/A</v>
      </c>
      <c r="K266" s="29"/>
      <c r="P266" s="22"/>
      <c r="X266" s="22"/>
    </row>
    <row r="267" spans="10:24">
      <c r="J267" s="20" t="e">
        <f>VLOOKUP(G267,MD!M$2:O$93,3,FALSE)</f>
        <v>#N/A</v>
      </c>
      <c r="K267" s="29"/>
      <c r="P267" s="22"/>
      <c r="X267" s="22"/>
    </row>
    <row r="268" spans="10:24">
      <c r="J268" s="20" t="e">
        <f>VLOOKUP(G268,MD!M$2:O$93,3,FALSE)</f>
        <v>#N/A</v>
      </c>
      <c r="K268" s="29"/>
      <c r="P268" s="22"/>
      <c r="X268" s="22"/>
    </row>
    <row r="269" spans="10:24">
      <c r="J269" s="20" t="e">
        <f>VLOOKUP(G269,MD!M$2:O$93,3,FALSE)</f>
        <v>#N/A</v>
      </c>
      <c r="K269" s="29"/>
      <c r="P269" s="22"/>
      <c r="X269" s="22"/>
    </row>
    <row r="270" spans="10:24">
      <c r="J270" s="20" t="e">
        <f>VLOOKUP(G270,MD!M$2:O$93,3,FALSE)</f>
        <v>#N/A</v>
      </c>
      <c r="K270" s="29"/>
      <c r="P270" s="22"/>
      <c r="X270" s="22"/>
    </row>
    <row r="271" spans="10:24">
      <c r="J271" s="20" t="e">
        <f>VLOOKUP(G271,MD!M$2:O$93,3,FALSE)</f>
        <v>#N/A</v>
      </c>
      <c r="K271" s="29"/>
      <c r="P271" s="22"/>
      <c r="X271" s="22"/>
    </row>
    <row r="272" spans="10:24">
      <c r="J272" s="20" t="e">
        <f>VLOOKUP(G272,MD!M$2:O$93,3,FALSE)</f>
        <v>#N/A</v>
      </c>
      <c r="K272" s="29"/>
      <c r="P272" s="22"/>
      <c r="X272" s="22"/>
    </row>
    <row r="273" spans="10:24">
      <c r="J273" s="20" t="e">
        <f>VLOOKUP(G273,MD!M$2:O$93,3,FALSE)</f>
        <v>#N/A</v>
      </c>
      <c r="K273" s="29"/>
      <c r="P273" s="22"/>
      <c r="X273" s="22"/>
    </row>
    <row r="274" spans="10:24">
      <c r="J274" s="20" t="e">
        <f>VLOOKUP(G274,MD!M$2:O$93,3,FALSE)</f>
        <v>#N/A</v>
      </c>
      <c r="K274" s="29"/>
      <c r="P274" s="22"/>
      <c r="X274" s="22"/>
    </row>
    <row r="275" spans="10:24">
      <c r="J275" s="20" t="e">
        <f>VLOOKUP(G275,MD!M$2:O$93,3,FALSE)</f>
        <v>#N/A</v>
      </c>
      <c r="K275" s="29"/>
      <c r="P275" s="22"/>
      <c r="X275" s="22"/>
    </row>
    <row r="276" spans="10:24">
      <c r="J276" s="20" t="e">
        <f>VLOOKUP(G276,MD!M$2:O$93,3,FALSE)</f>
        <v>#N/A</v>
      </c>
      <c r="K276" s="29"/>
      <c r="P276" s="22"/>
      <c r="X276" s="22"/>
    </row>
    <row r="277" spans="10:24">
      <c r="J277" s="20" t="e">
        <f>VLOOKUP(G277,MD!M$2:O$93,3,FALSE)</f>
        <v>#N/A</v>
      </c>
      <c r="K277" s="29"/>
      <c r="P277" s="22"/>
      <c r="X277" s="22"/>
    </row>
    <row r="278" spans="10:24">
      <c r="J278" s="20" t="e">
        <f>VLOOKUP(G278,MD!M$2:O$93,3,FALSE)</f>
        <v>#N/A</v>
      </c>
      <c r="K278" s="29"/>
      <c r="P278" s="22"/>
      <c r="X278" s="22"/>
    </row>
    <row r="279" spans="10:24">
      <c r="J279" s="20" t="e">
        <f>VLOOKUP(G279,MD!M$2:O$93,3,FALSE)</f>
        <v>#N/A</v>
      </c>
      <c r="K279" s="29"/>
      <c r="P279" s="22"/>
      <c r="X279" s="22"/>
    </row>
    <row r="280" spans="10:24">
      <c r="J280" s="20" t="e">
        <f>VLOOKUP(G280,MD!M$2:O$93,3,FALSE)</f>
        <v>#N/A</v>
      </c>
      <c r="K280" s="29"/>
      <c r="P280" s="22"/>
      <c r="X280" s="22"/>
    </row>
    <row r="281" spans="10:24">
      <c r="J281" s="20" t="e">
        <f>VLOOKUP(G281,MD!M$2:O$93,3,FALSE)</f>
        <v>#N/A</v>
      </c>
      <c r="K281" s="29"/>
      <c r="P281" s="22"/>
      <c r="X281" s="22"/>
    </row>
    <row r="282" spans="10:24">
      <c r="J282" s="20" t="e">
        <f>VLOOKUP(G282,MD!M$2:O$93,3,FALSE)</f>
        <v>#N/A</v>
      </c>
      <c r="K282" s="29"/>
      <c r="P282" s="22"/>
      <c r="X282" s="22"/>
    </row>
    <row r="283" spans="10:24">
      <c r="J283" s="20" t="e">
        <f>VLOOKUP(G283,MD!M$2:O$93,3,FALSE)</f>
        <v>#N/A</v>
      </c>
      <c r="K283" s="29"/>
      <c r="P283" s="22"/>
      <c r="X283" s="22"/>
    </row>
    <row r="284" spans="10:24">
      <c r="J284" s="20" t="e">
        <f>VLOOKUP(G284,MD!M$2:O$93,3,FALSE)</f>
        <v>#N/A</v>
      </c>
      <c r="K284" s="29"/>
      <c r="P284" s="22"/>
      <c r="X284" s="22"/>
    </row>
    <row r="285" spans="10:24">
      <c r="J285" s="20" t="e">
        <f>VLOOKUP(G285,MD!M$2:O$93,3,FALSE)</f>
        <v>#N/A</v>
      </c>
      <c r="K285" s="29"/>
      <c r="P285" s="22"/>
      <c r="X285" s="22"/>
    </row>
    <row r="286" spans="10:24">
      <c r="J286" s="20" t="e">
        <f>VLOOKUP(G286,MD!M$2:O$93,3,FALSE)</f>
        <v>#N/A</v>
      </c>
      <c r="K286" s="29"/>
      <c r="P286" s="22"/>
      <c r="X286" s="22"/>
    </row>
    <row r="287" spans="10:24">
      <c r="J287" s="20" t="e">
        <f>VLOOKUP(G287,MD!M$2:O$93,3,FALSE)</f>
        <v>#N/A</v>
      </c>
      <c r="K287" s="29"/>
      <c r="P287" s="22"/>
      <c r="X287" s="22"/>
    </row>
    <row r="288" spans="10:24">
      <c r="J288" s="20" t="e">
        <f>VLOOKUP(G288,MD!M$2:O$93,3,FALSE)</f>
        <v>#N/A</v>
      </c>
      <c r="K288" s="29"/>
      <c r="P288" s="22"/>
      <c r="X288" s="22"/>
    </row>
    <row r="289" spans="10:24">
      <c r="J289" s="20" t="e">
        <f>VLOOKUP(G289,MD!M$2:O$93,3,FALSE)</f>
        <v>#N/A</v>
      </c>
      <c r="K289" s="29"/>
      <c r="P289" s="22"/>
      <c r="X289" s="22"/>
    </row>
    <row r="290" spans="10:24">
      <c r="J290" s="20" t="e">
        <f>VLOOKUP(G290,MD!M$2:O$93,3,FALSE)</f>
        <v>#N/A</v>
      </c>
      <c r="K290" s="29"/>
      <c r="P290" s="22"/>
      <c r="X290" s="22"/>
    </row>
    <row r="291" spans="10:24">
      <c r="J291" s="20" t="e">
        <f>VLOOKUP(G291,MD!M$2:O$93,3,FALSE)</f>
        <v>#N/A</v>
      </c>
      <c r="K291" s="29"/>
      <c r="P291" s="22"/>
      <c r="X291" s="22"/>
    </row>
    <row r="292" spans="10:24">
      <c r="J292" s="20" t="e">
        <f>VLOOKUP(G292,MD!M$2:O$93,3,FALSE)</f>
        <v>#N/A</v>
      </c>
      <c r="K292" s="29"/>
      <c r="P292" s="22"/>
      <c r="X292" s="22"/>
    </row>
    <row r="293" spans="10:24">
      <c r="J293" s="20" t="e">
        <f>VLOOKUP(G293,MD!M$2:O$93,3,FALSE)</f>
        <v>#N/A</v>
      </c>
      <c r="K293" s="29"/>
      <c r="P293" s="22"/>
      <c r="X293" s="22"/>
    </row>
    <row r="294" spans="10:24">
      <c r="J294" s="20" t="e">
        <f>VLOOKUP(G294,MD!M$2:O$93,3,FALSE)</f>
        <v>#N/A</v>
      </c>
      <c r="K294" s="29"/>
      <c r="P294" s="22"/>
      <c r="X294" s="22"/>
    </row>
    <row r="295" spans="10:24">
      <c r="J295" s="20" t="e">
        <f>VLOOKUP(G295,MD!M$2:O$93,3,FALSE)</f>
        <v>#N/A</v>
      </c>
      <c r="K295" s="29"/>
      <c r="P295" s="22"/>
      <c r="X295" s="22"/>
    </row>
    <row r="296" spans="10:24">
      <c r="J296" s="20" t="e">
        <f>VLOOKUP(G296,MD!M$2:O$93,3,FALSE)</f>
        <v>#N/A</v>
      </c>
      <c r="K296" s="29"/>
      <c r="P296" s="22"/>
      <c r="X296" s="22"/>
    </row>
    <row r="297" spans="10:24">
      <c r="J297" s="20" t="e">
        <f>VLOOKUP(G297,MD!M$2:O$93,3,FALSE)</f>
        <v>#N/A</v>
      </c>
      <c r="K297" s="29"/>
      <c r="P297" s="22"/>
      <c r="X297" s="22"/>
    </row>
    <row r="298" spans="10:24">
      <c r="J298" s="20" t="e">
        <f>VLOOKUP(G298,MD!M$2:O$93,3,FALSE)</f>
        <v>#N/A</v>
      </c>
      <c r="K298" s="29"/>
      <c r="P298" s="22"/>
      <c r="X298" s="22"/>
    </row>
    <row r="299" spans="10:24">
      <c r="J299" s="20" t="e">
        <f>VLOOKUP(G299,MD!M$2:O$93,3,FALSE)</f>
        <v>#N/A</v>
      </c>
      <c r="K299" s="29"/>
      <c r="P299" s="22"/>
      <c r="X299" s="22"/>
    </row>
    <row r="300" spans="10:24">
      <c r="J300" s="20" t="e">
        <f>VLOOKUP(G300,MD!M$2:O$93,3,FALSE)</f>
        <v>#N/A</v>
      </c>
      <c r="K300" s="29"/>
      <c r="P300" s="22"/>
      <c r="X300" s="22"/>
    </row>
    <row r="301" spans="10:24">
      <c r="J301" s="20" t="e">
        <f>VLOOKUP(G301,MD!M$2:O$93,3,FALSE)</f>
        <v>#N/A</v>
      </c>
      <c r="K301" s="29"/>
      <c r="P301" s="22"/>
      <c r="X301" s="22"/>
    </row>
    <row r="302" spans="10:24">
      <c r="J302" s="20" t="e">
        <f>VLOOKUP(G302,MD!M$2:O$93,3,FALSE)</f>
        <v>#N/A</v>
      </c>
      <c r="K302" s="29"/>
      <c r="P302" s="22"/>
      <c r="X302" s="22"/>
    </row>
    <row r="303" spans="10:24">
      <c r="J303" s="20" t="e">
        <f>VLOOKUP(G303,MD!M$2:O$93,3,FALSE)</f>
        <v>#N/A</v>
      </c>
      <c r="K303" s="29"/>
      <c r="P303" s="22"/>
      <c r="X303" s="22"/>
    </row>
    <row r="304" spans="10:24">
      <c r="J304" s="20" t="e">
        <f>VLOOKUP(G304,MD!M$2:O$93,3,FALSE)</f>
        <v>#N/A</v>
      </c>
      <c r="K304" s="29"/>
      <c r="P304" s="22"/>
      <c r="X304" s="22"/>
    </row>
    <row r="305" spans="10:24">
      <c r="J305" s="20" t="e">
        <f>VLOOKUP(G305,MD!M$2:O$93,3,FALSE)</f>
        <v>#N/A</v>
      </c>
      <c r="K305" s="29"/>
      <c r="P305" s="22"/>
      <c r="X305" s="22"/>
    </row>
    <row r="306" spans="10:24">
      <c r="J306" s="20" t="e">
        <f>VLOOKUP(G306,MD!M$2:O$93,3,FALSE)</f>
        <v>#N/A</v>
      </c>
      <c r="K306" s="29"/>
      <c r="P306" s="22"/>
      <c r="X306" s="22"/>
    </row>
    <row r="307" spans="10:24">
      <c r="J307" s="20" t="e">
        <f>VLOOKUP(G307,MD!M$2:O$93,3,FALSE)</f>
        <v>#N/A</v>
      </c>
      <c r="K307" s="29"/>
      <c r="P307" s="22"/>
      <c r="X307" s="22"/>
    </row>
    <row r="308" spans="10:24">
      <c r="J308" s="20" t="e">
        <f>VLOOKUP(G308,MD!M$2:O$93,3,FALSE)</f>
        <v>#N/A</v>
      </c>
      <c r="K308" s="29"/>
      <c r="P308" s="22"/>
      <c r="X308" s="22"/>
    </row>
    <row r="309" spans="10:24">
      <c r="J309" s="20" t="e">
        <f>VLOOKUP(G309,MD!M$2:O$93,3,FALSE)</f>
        <v>#N/A</v>
      </c>
      <c r="K309" s="29"/>
      <c r="P309" s="22"/>
      <c r="X309" s="22"/>
    </row>
    <row r="310" spans="10:24">
      <c r="J310" s="20" t="e">
        <f>VLOOKUP(G310,MD!M$2:O$93,3,FALSE)</f>
        <v>#N/A</v>
      </c>
      <c r="K310" s="29"/>
      <c r="P310" s="22"/>
      <c r="X310" s="22"/>
    </row>
    <row r="311" spans="10:24">
      <c r="J311" s="20" t="e">
        <f>VLOOKUP(G311,MD!M$2:O$93,3,FALSE)</f>
        <v>#N/A</v>
      </c>
      <c r="K311" s="29"/>
      <c r="P311" s="22"/>
      <c r="X311" s="22"/>
    </row>
    <row r="312" spans="10:24">
      <c r="J312" s="20" t="e">
        <f>VLOOKUP(G312,MD!M$2:O$93,3,FALSE)</f>
        <v>#N/A</v>
      </c>
      <c r="K312" s="29"/>
      <c r="P312" s="22"/>
      <c r="X312" s="22"/>
    </row>
    <row r="313" spans="10:24">
      <c r="J313" s="20" t="e">
        <f>VLOOKUP(G313,MD!M$2:O$93,3,FALSE)</f>
        <v>#N/A</v>
      </c>
      <c r="K313" s="29"/>
      <c r="P313" s="22"/>
      <c r="X313" s="22"/>
    </row>
    <row r="314" spans="10:24">
      <c r="J314" s="20" t="e">
        <f>VLOOKUP(G314,MD!M$2:O$93,3,FALSE)</f>
        <v>#N/A</v>
      </c>
      <c r="K314" s="29"/>
      <c r="P314" s="22"/>
      <c r="X314" s="22"/>
    </row>
    <row r="315" spans="10:24">
      <c r="J315" s="20" t="e">
        <f>VLOOKUP(G315,MD!M$2:O$93,3,FALSE)</f>
        <v>#N/A</v>
      </c>
      <c r="K315" s="29"/>
      <c r="P315" s="22"/>
      <c r="X315" s="22"/>
    </row>
    <row r="316" spans="10:24">
      <c r="J316" s="20" t="e">
        <f>VLOOKUP(G316,MD!M$2:O$93,3,FALSE)</f>
        <v>#N/A</v>
      </c>
      <c r="K316" s="29"/>
      <c r="P316" s="22"/>
      <c r="X316" s="22"/>
    </row>
    <row r="317" spans="10:24">
      <c r="J317" s="20" t="e">
        <f>VLOOKUP(G317,MD!M$2:O$93,3,FALSE)</f>
        <v>#N/A</v>
      </c>
      <c r="K317" s="29"/>
      <c r="P317" s="22"/>
      <c r="X317" s="22"/>
    </row>
    <row r="318" spans="10:24">
      <c r="J318" s="20" t="e">
        <f>VLOOKUP(G318,MD!M$2:O$93,3,FALSE)</f>
        <v>#N/A</v>
      </c>
      <c r="K318" s="29"/>
      <c r="P318" s="22"/>
      <c r="X318" s="22"/>
    </row>
    <row r="319" spans="10:24">
      <c r="J319" s="20" t="e">
        <f>VLOOKUP(G319,MD!M$2:O$93,3,FALSE)</f>
        <v>#N/A</v>
      </c>
      <c r="K319" s="29"/>
      <c r="P319" s="22"/>
      <c r="X319" s="22"/>
    </row>
    <row r="320" spans="10:24">
      <c r="J320" s="20" t="e">
        <f>VLOOKUP(G320,MD!M$2:O$93,3,FALSE)</f>
        <v>#N/A</v>
      </c>
      <c r="K320" s="29"/>
      <c r="P320" s="22"/>
      <c r="X320" s="22"/>
    </row>
    <row r="321" spans="10:24">
      <c r="J321" s="20" t="e">
        <f>VLOOKUP(G321,MD!M$2:O$93,3,FALSE)</f>
        <v>#N/A</v>
      </c>
      <c r="K321" s="29"/>
      <c r="P321" s="22"/>
      <c r="X321" s="22"/>
    </row>
    <row r="322" spans="10:24">
      <c r="J322" s="20" t="e">
        <f>VLOOKUP(G322,MD!M$2:O$93,3,FALSE)</f>
        <v>#N/A</v>
      </c>
      <c r="K322" s="29"/>
      <c r="P322" s="22"/>
      <c r="X322" s="22"/>
    </row>
    <row r="323" spans="10:24">
      <c r="J323" s="20" t="e">
        <f>VLOOKUP(G323,MD!M$2:O$93,3,FALSE)</f>
        <v>#N/A</v>
      </c>
      <c r="K323" s="29"/>
      <c r="P323" s="22"/>
      <c r="X323" s="22"/>
    </row>
    <row r="324" spans="10:24">
      <c r="J324" s="20" t="e">
        <f>VLOOKUP(G324,MD!M$2:O$93,3,FALSE)</f>
        <v>#N/A</v>
      </c>
      <c r="K324" s="29"/>
      <c r="P324" s="22"/>
      <c r="X324" s="22"/>
    </row>
    <row r="325" spans="10:24">
      <c r="J325" s="20" t="e">
        <f>VLOOKUP(G325,MD!M$2:O$93,3,FALSE)</f>
        <v>#N/A</v>
      </c>
      <c r="K325" s="29"/>
      <c r="P325" s="22"/>
      <c r="X325" s="22"/>
    </row>
    <row r="326" spans="10:24">
      <c r="J326" s="20" t="e">
        <f>VLOOKUP(G326,MD!M$2:O$93,3,FALSE)</f>
        <v>#N/A</v>
      </c>
      <c r="K326" s="29"/>
      <c r="P326" s="22"/>
      <c r="X326" s="22"/>
    </row>
    <row r="327" spans="10:24">
      <c r="J327" s="20" t="e">
        <f>VLOOKUP(G327,MD!M$2:O$93,3,FALSE)</f>
        <v>#N/A</v>
      </c>
      <c r="K327" s="29"/>
      <c r="P327" s="22"/>
      <c r="X327" s="22"/>
    </row>
    <row r="328" spans="10:24">
      <c r="J328" s="20" t="e">
        <f>VLOOKUP(G328,MD!M$2:O$93,3,FALSE)</f>
        <v>#N/A</v>
      </c>
      <c r="K328" s="29"/>
      <c r="P328" s="22"/>
      <c r="X328" s="22"/>
    </row>
    <row r="329" spans="10:24">
      <c r="J329" s="20" t="e">
        <f>VLOOKUP(G329,MD!M$2:O$93,3,FALSE)</f>
        <v>#N/A</v>
      </c>
      <c r="K329" s="29"/>
      <c r="P329" s="22"/>
      <c r="X329" s="22"/>
    </row>
    <row r="330" spans="10:24">
      <c r="J330" s="20" t="e">
        <f>VLOOKUP(G330,MD!M$2:O$93,3,FALSE)</f>
        <v>#N/A</v>
      </c>
      <c r="K330" s="29"/>
      <c r="P330" s="22"/>
      <c r="X330" s="22"/>
    </row>
    <row r="331" spans="10:24">
      <c r="J331" s="20" t="e">
        <f>VLOOKUP(G331,MD!M$2:O$93,3,FALSE)</f>
        <v>#N/A</v>
      </c>
      <c r="K331" s="29"/>
      <c r="P331" s="22"/>
      <c r="X331" s="22"/>
    </row>
    <row r="332" spans="10:24">
      <c r="J332" s="20" t="e">
        <f>VLOOKUP(G332,MD!M$2:O$93,3,FALSE)</f>
        <v>#N/A</v>
      </c>
      <c r="K332" s="29"/>
      <c r="P332" s="22"/>
      <c r="X332" s="22"/>
    </row>
    <row r="333" spans="10:24">
      <c r="J333" s="20" t="e">
        <f>VLOOKUP(G333,MD!M$2:O$93,3,FALSE)</f>
        <v>#N/A</v>
      </c>
      <c r="K333" s="29"/>
      <c r="P333" s="22"/>
      <c r="X333" s="22"/>
    </row>
    <row r="334" spans="10:24">
      <c r="J334" s="20" t="e">
        <f>VLOOKUP(G334,MD!M$2:O$93,3,FALSE)</f>
        <v>#N/A</v>
      </c>
      <c r="K334" s="29"/>
      <c r="P334" s="22"/>
      <c r="X334" s="22"/>
    </row>
    <row r="335" spans="10:24">
      <c r="J335" s="20" t="e">
        <f>VLOOKUP(G335,MD!M$2:O$93,3,FALSE)</f>
        <v>#N/A</v>
      </c>
      <c r="K335" s="29"/>
      <c r="P335" s="22"/>
      <c r="X335" s="22"/>
    </row>
    <row r="336" spans="10:24">
      <c r="J336" s="20" t="e">
        <f>VLOOKUP(G336,MD!M$2:O$93,3,FALSE)</f>
        <v>#N/A</v>
      </c>
      <c r="K336" s="29"/>
      <c r="P336" s="22"/>
      <c r="X336" s="22"/>
    </row>
    <row r="337" spans="10:24">
      <c r="J337" s="20" t="e">
        <f>VLOOKUP(G337,MD!M$2:O$93,3,FALSE)</f>
        <v>#N/A</v>
      </c>
      <c r="K337" s="29"/>
      <c r="P337" s="22"/>
      <c r="X337" s="22"/>
    </row>
    <row r="338" spans="10:24">
      <c r="J338" s="20" t="e">
        <f>VLOOKUP(G338,MD!M$2:O$93,3,FALSE)</f>
        <v>#N/A</v>
      </c>
      <c r="K338" s="29"/>
      <c r="P338" s="22"/>
      <c r="X338" s="22"/>
    </row>
    <row r="339" spans="10:24">
      <c r="J339" s="20" t="e">
        <f>VLOOKUP(G339,MD!M$2:O$93,3,FALSE)</f>
        <v>#N/A</v>
      </c>
      <c r="K339" s="29"/>
      <c r="P339" s="22"/>
      <c r="X339" s="22"/>
    </row>
    <row r="340" spans="10:24">
      <c r="J340" s="20" t="e">
        <f>VLOOKUP(G340,MD!M$2:O$93,3,FALSE)</f>
        <v>#N/A</v>
      </c>
      <c r="K340" s="29"/>
      <c r="P340" s="22"/>
      <c r="X340" s="22"/>
    </row>
    <row r="341" spans="10:24">
      <c r="J341" s="20" t="e">
        <f>VLOOKUP(G341,MD!M$2:O$93,3,FALSE)</f>
        <v>#N/A</v>
      </c>
      <c r="K341" s="29"/>
      <c r="P341" s="22"/>
      <c r="X341" s="22"/>
    </row>
    <row r="342" spans="10:24">
      <c r="J342" s="20" t="e">
        <f>VLOOKUP(G342,MD!M$2:O$93,3,FALSE)</f>
        <v>#N/A</v>
      </c>
      <c r="K342" s="29"/>
      <c r="P342" s="22"/>
      <c r="X342" s="22"/>
    </row>
    <row r="343" spans="10:24">
      <c r="J343" s="20" t="e">
        <f>VLOOKUP(G343,MD!M$2:O$93,3,FALSE)</f>
        <v>#N/A</v>
      </c>
      <c r="K343" s="29"/>
      <c r="P343" s="22"/>
      <c r="X343" s="22"/>
    </row>
    <row r="344" spans="10:24">
      <c r="J344" s="20" t="e">
        <f>VLOOKUP(G344,MD!M$2:O$93,3,FALSE)</f>
        <v>#N/A</v>
      </c>
      <c r="K344" s="29"/>
      <c r="P344" s="22"/>
      <c r="X344" s="22"/>
    </row>
    <row r="345" spans="10:24">
      <c r="J345" s="20" t="e">
        <f>VLOOKUP(G345,MD!M$2:O$93,3,FALSE)</f>
        <v>#N/A</v>
      </c>
      <c r="K345" s="29"/>
      <c r="P345" s="22"/>
      <c r="X345" s="22"/>
    </row>
    <row r="346" spans="10:24">
      <c r="J346" s="20" t="e">
        <f>VLOOKUP(G346,MD!M$2:O$93,3,FALSE)</f>
        <v>#N/A</v>
      </c>
      <c r="K346" s="29"/>
      <c r="P346" s="22"/>
      <c r="X346" s="22"/>
    </row>
    <row r="347" spans="10:24">
      <c r="J347" s="20" t="e">
        <f>VLOOKUP(G347,MD!M$2:O$93,3,FALSE)</f>
        <v>#N/A</v>
      </c>
      <c r="K347" s="29"/>
      <c r="P347" s="22"/>
      <c r="X347" s="22"/>
    </row>
    <row r="348" spans="10:24">
      <c r="J348" s="20" t="e">
        <f>VLOOKUP(G348,MD!M$2:O$93,3,FALSE)</f>
        <v>#N/A</v>
      </c>
      <c r="K348" s="29"/>
      <c r="P348" s="22"/>
      <c r="X348" s="22"/>
    </row>
    <row r="349" spans="10:24">
      <c r="J349" s="20" t="e">
        <f>VLOOKUP(G349,MD!M$2:O$93,3,FALSE)</f>
        <v>#N/A</v>
      </c>
      <c r="K349" s="29"/>
      <c r="P349" s="22"/>
      <c r="X349" s="22"/>
    </row>
    <row r="350" spans="10:24">
      <c r="J350" s="20" t="e">
        <f>VLOOKUP(G350,MD!M$2:O$93,3,FALSE)</f>
        <v>#N/A</v>
      </c>
      <c r="K350" s="29"/>
      <c r="P350" s="22"/>
      <c r="X350" s="22"/>
    </row>
    <row r="351" spans="10:24">
      <c r="J351" s="20" t="e">
        <f>VLOOKUP(G351,MD!M$2:O$93,3,FALSE)</f>
        <v>#N/A</v>
      </c>
      <c r="K351" s="29"/>
      <c r="P351" s="22"/>
      <c r="X351" s="22"/>
    </row>
    <row r="352" spans="10:24">
      <c r="J352" s="20" t="e">
        <f>VLOOKUP(G352,MD!M$2:O$93,3,FALSE)</f>
        <v>#N/A</v>
      </c>
      <c r="K352" s="29"/>
      <c r="P352" s="22"/>
      <c r="X352" s="22"/>
    </row>
    <row r="353" spans="10:24">
      <c r="J353" s="20" t="e">
        <f>VLOOKUP(G353,MD!M$2:O$93,3,FALSE)</f>
        <v>#N/A</v>
      </c>
      <c r="K353" s="29"/>
      <c r="P353" s="22"/>
      <c r="X353" s="22"/>
    </row>
    <row r="354" spans="10:24">
      <c r="J354" s="20" t="e">
        <f>VLOOKUP(G354,MD!M$2:O$93,3,FALSE)</f>
        <v>#N/A</v>
      </c>
      <c r="K354" s="29"/>
      <c r="P354" s="22"/>
      <c r="X354" s="22"/>
    </row>
    <row r="355" spans="10:24">
      <c r="J355" s="20" t="e">
        <f>VLOOKUP(G355,MD!M$2:O$93,3,FALSE)</f>
        <v>#N/A</v>
      </c>
      <c r="K355" s="29"/>
      <c r="P355" s="22"/>
      <c r="X355" s="22"/>
    </row>
    <row r="356" spans="10:24">
      <c r="J356" s="20" t="e">
        <f>VLOOKUP(G356,MD!M$2:O$93,3,FALSE)</f>
        <v>#N/A</v>
      </c>
      <c r="K356" s="29"/>
      <c r="P356" s="22"/>
      <c r="X356" s="22"/>
    </row>
    <row r="357" spans="10:24">
      <c r="J357" s="20" t="e">
        <f>VLOOKUP(G357,MD!M$2:O$93,3,FALSE)</f>
        <v>#N/A</v>
      </c>
      <c r="K357" s="29"/>
      <c r="P357" s="22"/>
      <c r="X357" s="22"/>
    </row>
    <row r="358" spans="10:24">
      <c r="J358" s="20" t="e">
        <f>VLOOKUP(G358,MD!M$2:O$93,3,FALSE)</f>
        <v>#N/A</v>
      </c>
      <c r="K358" s="29"/>
      <c r="P358" s="22"/>
      <c r="X358" s="22"/>
    </row>
    <row r="359" spans="10:24">
      <c r="J359" s="20" t="e">
        <f>VLOOKUP(G359,MD!M$2:O$93,3,FALSE)</f>
        <v>#N/A</v>
      </c>
      <c r="K359" s="29"/>
      <c r="P359" s="22"/>
      <c r="X359" s="22"/>
    </row>
    <row r="360" spans="10:24">
      <c r="J360" s="20" t="e">
        <f>VLOOKUP(G360,MD!M$2:O$93,3,FALSE)</f>
        <v>#N/A</v>
      </c>
      <c r="K360" s="29"/>
      <c r="P360" s="22"/>
      <c r="X360" s="22"/>
    </row>
    <row r="361" spans="10:24">
      <c r="J361" s="20" t="e">
        <f>VLOOKUP(G361,MD!M$2:O$93,3,FALSE)</f>
        <v>#N/A</v>
      </c>
      <c r="K361" s="29"/>
      <c r="P361" s="22"/>
      <c r="X361" s="22"/>
    </row>
    <row r="362" spans="10:24">
      <c r="J362" s="20" t="e">
        <f>VLOOKUP(G362,MD!M$2:O$93,3,FALSE)</f>
        <v>#N/A</v>
      </c>
      <c r="K362" s="29"/>
      <c r="P362" s="22"/>
      <c r="X362" s="22"/>
    </row>
    <row r="363" spans="10:24">
      <c r="J363" s="20" t="e">
        <f>VLOOKUP(G363,MD!M$2:O$93,3,FALSE)</f>
        <v>#N/A</v>
      </c>
      <c r="K363" s="29"/>
      <c r="P363" s="22"/>
      <c r="X363" s="22"/>
    </row>
    <row r="364" spans="10:24">
      <c r="J364" s="20" t="e">
        <f>VLOOKUP(G364,MD!M$2:O$93,3,FALSE)</f>
        <v>#N/A</v>
      </c>
      <c r="K364" s="29"/>
      <c r="P364" s="22"/>
      <c r="X364" s="22"/>
    </row>
    <row r="365" spans="10:24">
      <c r="J365" s="20" t="e">
        <f>VLOOKUP(G365,MD!M$2:O$93,3,FALSE)</f>
        <v>#N/A</v>
      </c>
      <c r="K365" s="29"/>
      <c r="P365" s="22"/>
      <c r="X365" s="22"/>
    </row>
    <row r="366" spans="10:24">
      <c r="J366" s="20" t="e">
        <f>VLOOKUP(G366,MD!M$2:O$93,3,FALSE)</f>
        <v>#N/A</v>
      </c>
      <c r="K366" s="29"/>
      <c r="P366" s="22"/>
      <c r="X366" s="22"/>
    </row>
    <row r="367" spans="10:24">
      <c r="J367" s="20" t="e">
        <f>VLOOKUP(G367,MD!M$2:O$93,3,FALSE)</f>
        <v>#N/A</v>
      </c>
      <c r="K367" s="29"/>
      <c r="P367" s="22"/>
      <c r="X367" s="22"/>
    </row>
    <row r="368" spans="10:24">
      <c r="J368" s="20" t="e">
        <f>VLOOKUP(G368,MD!M$2:O$93,3,FALSE)</f>
        <v>#N/A</v>
      </c>
      <c r="K368" s="29"/>
      <c r="P368" s="22"/>
      <c r="X368" s="22"/>
    </row>
    <row r="369" spans="10:24">
      <c r="J369" s="20" t="e">
        <f>VLOOKUP(G369,MD!M$2:O$93,3,FALSE)</f>
        <v>#N/A</v>
      </c>
      <c r="K369" s="29"/>
      <c r="P369" s="22"/>
      <c r="X369" s="22"/>
    </row>
    <row r="370" spans="10:24">
      <c r="J370" s="20" t="e">
        <f>VLOOKUP(G370,MD!M$2:O$93,3,FALSE)</f>
        <v>#N/A</v>
      </c>
      <c r="K370" s="29"/>
      <c r="P370" s="22"/>
      <c r="X370" s="22"/>
    </row>
    <row r="371" spans="10:24">
      <c r="J371" s="20" t="e">
        <f>VLOOKUP(G371,MD!M$2:O$93,3,FALSE)</f>
        <v>#N/A</v>
      </c>
      <c r="K371" s="29"/>
      <c r="P371" s="22"/>
      <c r="X371" s="22"/>
    </row>
    <row r="372" spans="10:24">
      <c r="J372" s="20" t="e">
        <f>VLOOKUP(G372,MD!M$2:O$93,3,FALSE)</f>
        <v>#N/A</v>
      </c>
      <c r="K372" s="29"/>
      <c r="P372" s="22"/>
      <c r="X372" s="22"/>
    </row>
    <row r="373" spans="10:24">
      <c r="J373" s="20" t="e">
        <f>VLOOKUP(G373,MD!M$2:O$93,3,FALSE)</f>
        <v>#N/A</v>
      </c>
      <c r="K373" s="29"/>
      <c r="P373" s="22"/>
      <c r="X373" s="22"/>
    </row>
    <row r="374" spans="10:24">
      <c r="J374" s="20" t="e">
        <f>VLOOKUP(G374,MD!M$2:O$93,3,FALSE)</f>
        <v>#N/A</v>
      </c>
      <c r="K374" s="29"/>
      <c r="P374" s="22"/>
      <c r="X374" s="22"/>
    </row>
    <row r="375" spans="10:24">
      <c r="J375" s="20" t="e">
        <f>VLOOKUP(G375,MD!M$2:O$93,3,FALSE)</f>
        <v>#N/A</v>
      </c>
      <c r="K375" s="29"/>
      <c r="P375" s="22"/>
      <c r="X375" s="22"/>
    </row>
    <row r="376" spans="10:24">
      <c r="J376" s="20" t="e">
        <f>VLOOKUP(G376,MD!M$2:O$93,3,FALSE)</f>
        <v>#N/A</v>
      </c>
      <c r="K376" s="29"/>
      <c r="P376" s="22"/>
      <c r="X376" s="22"/>
    </row>
    <row r="377" spans="10:24">
      <c r="J377" s="20" t="e">
        <f>VLOOKUP(G377,MD!M$2:O$93,3,FALSE)</f>
        <v>#N/A</v>
      </c>
      <c r="K377" s="29"/>
      <c r="P377" s="22"/>
      <c r="X377" s="22"/>
    </row>
    <row r="378" spans="10:24">
      <c r="J378" s="20" t="e">
        <f>VLOOKUP(G378,MD!M$2:O$93,3,FALSE)</f>
        <v>#N/A</v>
      </c>
      <c r="K378" s="29"/>
      <c r="P378" s="22"/>
      <c r="X378" s="22"/>
    </row>
    <row r="379" spans="10:24">
      <c r="J379" s="20" t="e">
        <f>VLOOKUP(G379,MD!M$2:O$93,3,FALSE)</f>
        <v>#N/A</v>
      </c>
      <c r="K379" s="29"/>
      <c r="P379" s="22"/>
      <c r="X379" s="22"/>
    </row>
    <row r="380" spans="10:24">
      <c r="J380" s="20" t="e">
        <f>VLOOKUP(G380,MD!M$2:O$93,3,FALSE)</f>
        <v>#N/A</v>
      </c>
      <c r="K380" s="29"/>
      <c r="P380" s="22"/>
      <c r="X380" s="22"/>
    </row>
    <row r="381" spans="10:24">
      <c r="J381" s="20" t="e">
        <f>VLOOKUP(G381,MD!M$2:O$93,3,FALSE)</f>
        <v>#N/A</v>
      </c>
      <c r="K381" s="29"/>
      <c r="P381" s="22"/>
      <c r="X381" s="22"/>
    </row>
    <row r="382" spans="10:24">
      <c r="J382" s="20" t="e">
        <f>VLOOKUP(G382,MD!M$2:O$93,3,FALSE)</f>
        <v>#N/A</v>
      </c>
      <c r="K382" s="29"/>
      <c r="P382" s="22"/>
      <c r="X382" s="22"/>
    </row>
    <row r="383" spans="10:24">
      <c r="J383" s="20" t="e">
        <f>VLOOKUP(G383,MD!M$2:O$93,3,FALSE)</f>
        <v>#N/A</v>
      </c>
      <c r="K383" s="29"/>
      <c r="P383" s="22"/>
      <c r="X383" s="22"/>
    </row>
    <row r="384" spans="10:24">
      <c r="J384" s="20" t="e">
        <f>VLOOKUP(G384,MD!M$2:O$93,3,FALSE)</f>
        <v>#N/A</v>
      </c>
      <c r="K384" s="29"/>
      <c r="P384" s="22"/>
      <c r="X384" s="22"/>
    </row>
    <row r="385" spans="10:24">
      <c r="J385" s="20" t="e">
        <f>VLOOKUP(G385,MD!M$2:O$93,3,FALSE)</f>
        <v>#N/A</v>
      </c>
      <c r="K385" s="29"/>
      <c r="P385" s="22"/>
      <c r="X385" s="22"/>
    </row>
    <row r="386" spans="10:24">
      <c r="J386" s="20" t="e">
        <f>VLOOKUP(G386,MD!M$2:O$93,3,FALSE)</f>
        <v>#N/A</v>
      </c>
      <c r="K386" s="29"/>
      <c r="P386" s="22"/>
      <c r="X386" s="22"/>
    </row>
    <row r="387" spans="10:24">
      <c r="J387" s="20" t="e">
        <f>VLOOKUP(G387,MD!M$2:O$93,3,FALSE)</f>
        <v>#N/A</v>
      </c>
      <c r="K387" s="29"/>
      <c r="P387" s="22"/>
      <c r="X387" s="22"/>
    </row>
    <row r="388" spans="10:24">
      <c r="J388" s="20" t="e">
        <f>VLOOKUP(G388,MD!M$2:O$93,3,FALSE)</f>
        <v>#N/A</v>
      </c>
      <c r="K388" s="29"/>
      <c r="P388" s="22"/>
      <c r="X388" s="22"/>
    </row>
    <row r="389" spans="10:24">
      <c r="J389" s="20" t="e">
        <f>VLOOKUP(G389,MD!M$2:O$93,3,FALSE)</f>
        <v>#N/A</v>
      </c>
      <c r="K389" s="29"/>
      <c r="P389" s="22"/>
      <c r="X389" s="22"/>
    </row>
    <row r="390" spans="10:24">
      <c r="J390" s="20" t="e">
        <f>VLOOKUP(G390,MD!M$2:O$93,3,FALSE)</f>
        <v>#N/A</v>
      </c>
      <c r="K390" s="29"/>
      <c r="P390" s="22"/>
      <c r="X390" s="22"/>
    </row>
    <row r="391" spans="10:24">
      <c r="J391" s="20" t="e">
        <f>VLOOKUP(G391,MD!M$2:O$93,3,FALSE)</f>
        <v>#N/A</v>
      </c>
      <c r="K391" s="29"/>
      <c r="P391" s="22"/>
      <c r="X391" s="22"/>
    </row>
    <row r="392" spans="10:24">
      <c r="J392" s="20" t="e">
        <f>VLOOKUP(G392,MD!M$2:O$93,3,FALSE)</f>
        <v>#N/A</v>
      </c>
      <c r="K392" s="29"/>
      <c r="P392" s="22"/>
      <c r="X392" s="22"/>
    </row>
    <row r="393" spans="10:24">
      <c r="J393" s="20" t="e">
        <f>VLOOKUP(G393,MD!M$2:O$93,3,FALSE)</f>
        <v>#N/A</v>
      </c>
      <c r="K393" s="29"/>
      <c r="P393" s="22"/>
      <c r="X393" s="22"/>
    </row>
    <row r="394" spans="10:24">
      <c r="J394" s="20" t="e">
        <f>VLOOKUP(G394,MD!M$2:O$93,3,FALSE)</f>
        <v>#N/A</v>
      </c>
      <c r="K394" s="29"/>
      <c r="P394" s="22"/>
      <c r="X394" s="22"/>
    </row>
    <row r="395" spans="10:24">
      <c r="J395" s="20" t="e">
        <f>VLOOKUP(G395,MD!M$2:O$93,3,FALSE)</f>
        <v>#N/A</v>
      </c>
      <c r="K395" s="29"/>
      <c r="P395" s="22"/>
      <c r="X395" s="22"/>
    </row>
    <row r="396" spans="10:24">
      <c r="J396" s="20" t="e">
        <f>VLOOKUP(G396,MD!M$2:O$93,3,FALSE)</f>
        <v>#N/A</v>
      </c>
      <c r="K396" s="29"/>
      <c r="P396" s="22"/>
      <c r="X396" s="22"/>
    </row>
    <row r="397" spans="10:24">
      <c r="J397" s="20" t="e">
        <f>VLOOKUP(G397,MD!M$2:O$93,3,FALSE)</f>
        <v>#N/A</v>
      </c>
      <c r="K397" s="29"/>
      <c r="P397" s="22"/>
      <c r="X397" s="22"/>
    </row>
    <row r="398" spans="10:24">
      <c r="J398" s="20" t="e">
        <f>VLOOKUP(G398,MD!M$2:O$93,3,FALSE)</f>
        <v>#N/A</v>
      </c>
      <c r="K398" s="29"/>
      <c r="P398" s="22"/>
      <c r="X398" s="22"/>
    </row>
    <row r="399" spans="10:24">
      <c r="J399" s="20" t="e">
        <f>VLOOKUP(G399,MD!M$2:O$93,3,FALSE)</f>
        <v>#N/A</v>
      </c>
      <c r="K399" s="29"/>
      <c r="P399" s="22"/>
      <c r="X399" s="22"/>
    </row>
    <row r="400" spans="10:24">
      <c r="J400" s="20" t="e">
        <f>VLOOKUP(G400,MD!M$2:O$93,3,FALSE)</f>
        <v>#N/A</v>
      </c>
      <c r="K400" s="29"/>
      <c r="P400" s="22"/>
      <c r="X400" s="22"/>
    </row>
    <row r="401" spans="10:24">
      <c r="J401" s="20" t="e">
        <f>VLOOKUP(G401,MD!M$2:O$93,3,FALSE)</f>
        <v>#N/A</v>
      </c>
      <c r="K401" s="29"/>
      <c r="P401" s="22"/>
      <c r="X401" s="22"/>
    </row>
    <row r="402" spans="10:24">
      <c r="J402" s="20" t="e">
        <f>VLOOKUP(G402,MD!M$2:O$93,3,FALSE)</f>
        <v>#N/A</v>
      </c>
      <c r="K402" s="29"/>
      <c r="P402" s="22"/>
      <c r="X402" s="22"/>
    </row>
    <row r="403" spans="10:24">
      <c r="J403" s="20" t="e">
        <f>VLOOKUP(G403,MD!M$2:O$93,3,FALSE)</f>
        <v>#N/A</v>
      </c>
      <c r="K403" s="29"/>
      <c r="P403" s="22"/>
      <c r="X403" s="22"/>
    </row>
    <row r="404" spans="10:24">
      <c r="J404" s="20" t="e">
        <f>VLOOKUP(G404,MD!M$2:O$93,3,FALSE)</f>
        <v>#N/A</v>
      </c>
      <c r="K404" s="29"/>
      <c r="P404" s="22"/>
      <c r="X404" s="22"/>
    </row>
    <row r="405" spans="10:24">
      <c r="J405" s="20" t="e">
        <f>VLOOKUP(G405,MD!M$2:O$93,3,FALSE)</f>
        <v>#N/A</v>
      </c>
      <c r="K405" s="29"/>
      <c r="P405" s="22"/>
      <c r="X405" s="22"/>
    </row>
    <row r="406" spans="10:24">
      <c r="J406" s="20" t="e">
        <f>VLOOKUP(G406,MD!M$2:O$93,3,FALSE)</f>
        <v>#N/A</v>
      </c>
      <c r="K406" s="29"/>
      <c r="P406" s="22"/>
      <c r="X406" s="22"/>
    </row>
    <row r="407" spans="10:24">
      <c r="J407" s="20" t="e">
        <f>VLOOKUP(G407,MD!M$2:O$93,3,FALSE)</f>
        <v>#N/A</v>
      </c>
      <c r="K407" s="29"/>
      <c r="P407" s="22"/>
      <c r="X407" s="22"/>
    </row>
    <row r="408" spans="10:24">
      <c r="J408" s="20" t="e">
        <f>VLOOKUP(G408,MD!M$2:O$93,3,FALSE)</f>
        <v>#N/A</v>
      </c>
      <c r="K408" s="29"/>
      <c r="P408" s="22"/>
      <c r="X408" s="22"/>
    </row>
    <row r="409" spans="10:24">
      <c r="J409" s="20" t="e">
        <f>VLOOKUP(G409,MD!M$2:O$93,3,FALSE)</f>
        <v>#N/A</v>
      </c>
      <c r="K409" s="29"/>
      <c r="P409" s="22"/>
      <c r="X409" s="22"/>
    </row>
    <row r="410" spans="10:24">
      <c r="J410" s="20" t="e">
        <f>VLOOKUP(G410,MD!M$2:O$93,3,FALSE)</f>
        <v>#N/A</v>
      </c>
      <c r="K410" s="29"/>
      <c r="P410" s="22"/>
      <c r="X410" s="22"/>
    </row>
    <row r="411" spans="10:24">
      <c r="J411" s="20" t="e">
        <f>VLOOKUP(G411,MD!M$2:O$93,3,FALSE)</f>
        <v>#N/A</v>
      </c>
      <c r="K411" s="29"/>
      <c r="P411" s="22"/>
      <c r="X411" s="22"/>
    </row>
    <row r="412" spans="10:24">
      <c r="J412" s="20" t="e">
        <f>VLOOKUP(G412,MD!M$2:O$93,3,FALSE)</f>
        <v>#N/A</v>
      </c>
      <c r="K412" s="29"/>
      <c r="P412" s="22"/>
      <c r="X412" s="22"/>
    </row>
    <row r="413" spans="10:24">
      <c r="J413" s="20" t="e">
        <f>VLOOKUP(G413,MD!M$2:O$93,3,FALSE)</f>
        <v>#N/A</v>
      </c>
      <c r="K413" s="29"/>
      <c r="P413" s="22"/>
      <c r="X413" s="22"/>
    </row>
    <row r="414" spans="10:24">
      <c r="J414" s="20" t="e">
        <f>VLOOKUP(G414,MD!M$2:O$93,3,FALSE)</f>
        <v>#N/A</v>
      </c>
      <c r="K414" s="29"/>
      <c r="P414" s="22"/>
      <c r="X414" s="22"/>
    </row>
    <row r="415" spans="10:24">
      <c r="J415" s="20" t="e">
        <f>VLOOKUP(G415,MD!M$2:O$93,3,FALSE)</f>
        <v>#N/A</v>
      </c>
      <c r="K415" s="29"/>
      <c r="P415" s="22"/>
      <c r="X415" s="22"/>
    </row>
    <row r="416" spans="10:24">
      <c r="J416" s="20" t="e">
        <f>VLOOKUP(G416,MD!M$2:O$93,3,FALSE)</f>
        <v>#N/A</v>
      </c>
      <c r="K416" s="29"/>
      <c r="P416" s="22"/>
      <c r="X416" s="22"/>
    </row>
    <row r="417" spans="10:24">
      <c r="J417" s="20" t="e">
        <f>VLOOKUP(G417,MD!M$2:O$93,3,FALSE)</f>
        <v>#N/A</v>
      </c>
      <c r="K417" s="29"/>
      <c r="P417" s="22"/>
      <c r="X417" s="22"/>
    </row>
    <row r="418" spans="10:24">
      <c r="J418" s="20" t="e">
        <f>VLOOKUP(G418,MD!M$2:O$93,3,FALSE)</f>
        <v>#N/A</v>
      </c>
      <c r="K418" s="29"/>
      <c r="P418" s="22"/>
      <c r="X418" s="22"/>
    </row>
    <row r="419" spans="10:24">
      <c r="J419" s="20" t="e">
        <f>VLOOKUP(G419,MD!M$2:O$93,3,FALSE)</f>
        <v>#N/A</v>
      </c>
      <c r="K419" s="29"/>
      <c r="P419" s="22"/>
      <c r="X419" s="22"/>
    </row>
    <row r="420" spans="10:24">
      <c r="J420" s="20" t="e">
        <f>VLOOKUP(G420,MD!M$2:O$93,3,FALSE)</f>
        <v>#N/A</v>
      </c>
      <c r="K420" s="29"/>
      <c r="P420" s="22"/>
      <c r="X420" s="22"/>
    </row>
    <row r="421" spans="10:24">
      <c r="J421" s="20" t="e">
        <f>VLOOKUP(G421,MD!M$2:O$93,3,FALSE)</f>
        <v>#N/A</v>
      </c>
      <c r="K421" s="29"/>
      <c r="P421" s="22"/>
      <c r="X421" s="22"/>
    </row>
    <row r="422" spans="10:24">
      <c r="J422" s="20" t="e">
        <f>VLOOKUP(G422,MD!M$2:O$93,3,FALSE)</f>
        <v>#N/A</v>
      </c>
      <c r="K422" s="29"/>
      <c r="P422" s="22"/>
      <c r="X422" s="22"/>
    </row>
    <row r="423" spans="10:24">
      <c r="J423" s="20" t="e">
        <f>VLOOKUP(G423,MD!M$2:O$93,3,FALSE)</f>
        <v>#N/A</v>
      </c>
      <c r="K423" s="29"/>
      <c r="P423" s="22"/>
      <c r="X423" s="22"/>
    </row>
    <row r="424" spans="10:24">
      <c r="J424" s="20" t="e">
        <f>VLOOKUP(G424,MD!M$2:O$93,3,FALSE)</f>
        <v>#N/A</v>
      </c>
      <c r="K424" s="29"/>
      <c r="P424" s="22"/>
      <c r="X424" s="22"/>
    </row>
    <row r="425" spans="10:24">
      <c r="J425" s="20" t="e">
        <f>VLOOKUP(G425,MD!M$2:O$93,3,FALSE)</f>
        <v>#N/A</v>
      </c>
      <c r="K425" s="29"/>
      <c r="P425" s="22"/>
      <c r="X425" s="22"/>
    </row>
    <row r="426" spans="10:24">
      <c r="J426" s="20" t="e">
        <f>VLOOKUP(G426,MD!M$2:O$93,3,FALSE)</f>
        <v>#N/A</v>
      </c>
      <c r="K426" s="29"/>
      <c r="P426" s="22"/>
      <c r="X426" s="22"/>
    </row>
    <row r="427" spans="10:24">
      <c r="J427" s="20" t="e">
        <f>VLOOKUP(G427,MD!M$2:O$93,3,FALSE)</f>
        <v>#N/A</v>
      </c>
      <c r="K427" s="29"/>
      <c r="P427" s="22"/>
      <c r="X427" s="22"/>
    </row>
    <row r="428" spans="10:24">
      <c r="J428" s="20" t="e">
        <f>VLOOKUP(G428,MD!M$2:O$93,3,FALSE)</f>
        <v>#N/A</v>
      </c>
      <c r="K428" s="29"/>
      <c r="P428" s="22"/>
      <c r="X428" s="22"/>
    </row>
    <row r="429" spans="10:24">
      <c r="J429" s="20" t="e">
        <f>VLOOKUP(G429,MD!M$2:O$93,3,FALSE)</f>
        <v>#N/A</v>
      </c>
      <c r="K429" s="29"/>
      <c r="P429" s="22"/>
      <c r="X429" s="22"/>
    </row>
    <row r="430" spans="10:24">
      <c r="J430" s="20" t="e">
        <f>VLOOKUP(G430,MD!M$2:O$93,3,FALSE)</f>
        <v>#N/A</v>
      </c>
      <c r="K430" s="29"/>
      <c r="P430" s="22"/>
      <c r="X430" s="22"/>
    </row>
    <row r="431" spans="10:24">
      <c r="J431" s="20" t="e">
        <f>VLOOKUP(G431,MD!M$2:O$93,3,FALSE)</f>
        <v>#N/A</v>
      </c>
      <c r="K431" s="29"/>
      <c r="P431" s="22"/>
      <c r="X431" s="22"/>
    </row>
    <row r="432" spans="10:24">
      <c r="J432" s="20" t="e">
        <f>VLOOKUP(G432,MD!M$2:O$93,3,FALSE)</f>
        <v>#N/A</v>
      </c>
      <c r="K432" s="29"/>
      <c r="P432" s="22"/>
      <c r="X432" s="22"/>
    </row>
    <row r="433" spans="10:24">
      <c r="J433" s="20" t="e">
        <f>VLOOKUP(G433,MD!M$2:O$93,3,FALSE)</f>
        <v>#N/A</v>
      </c>
      <c r="K433" s="29"/>
      <c r="P433" s="22"/>
      <c r="X433" s="22"/>
    </row>
    <row r="434" spans="10:24">
      <c r="J434" s="20" t="e">
        <f>VLOOKUP(G434,MD!M$2:O$93,3,FALSE)</f>
        <v>#N/A</v>
      </c>
      <c r="K434" s="29"/>
      <c r="P434" s="22"/>
      <c r="X434" s="22"/>
    </row>
    <row r="435" spans="10:24">
      <c r="J435" s="20" t="e">
        <f>VLOOKUP(G435,MD!M$2:O$93,3,FALSE)</f>
        <v>#N/A</v>
      </c>
      <c r="K435" s="29"/>
      <c r="P435" s="22"/>
      <c r="X435" s="22"/>
    </row>
    <row r="436" spans="10:24">
      <c r="J436" s="20" t="e">
        <f>VLOOKUP(G436,MD!M$2:O$93,3,FALSE)</f>
        <v>#N/A</v>
      </c>
      <c r="K436" s="29"/>
      <c r="P436" s="22"/>
      <c r="X436" s="22"/>
    </row>
    <row r="437" spans="10:24">
      <c r="J437" s="20" t="e">
        <f>VLOOKUP(G437,MD!M$2:O$93,3,FALSE)</f>
        <v>#N/A</v>
      </c>
      <c r="K437" s="29"/>
      <c r="P437" s="22"/>
      <c r="X437" s="22"/>
    </row>
    <row r="438" spans="10:24">
      <c r="J438" s="20" t="e">
        <f>VLOOKUP(G438,MD!M$2:O$93,3,FALSE)</f>
        <v>#N/A</v>
      </c>
      <c r="K438" s="29"/>
      <c r="P438" s="22"/>
      <c r="X438" s="22"/>
    </row>
    <row r="439" spans="10:24">
      <c r="J439" s="20" t="e">
        <f>VLOOKUP(G439,MD!M$2:O$93,3,FALSE)</f>
        <v>#N/A</v>
      </c>
      <c r="K439" s="29"/>
      <c r="P439" s="22"/>
      <c r="X439" s="22"/>
    </row>
    <row r="440" spans="10:24">
      <c r="J440" s="20" t="e">
        <f>VLOOKUP(G440,MD!M$2:O$93,3,FALSE)</f>
        <v>#N/A</v>
      </c>
      <c r="K440" s="29"/>
      <c r="P440" s="22"/>
      <c r="X440" s="22"/>
    </row>
    <row r="441" spans="10:24">
      <c r="J441" s="20" t="e">
        <f>VLOOKUP(G441,MD!M$2:O$93,3,FALSE)</f>
        <v>#N/A</v>
      </c>
      <c r="K441" s="29"/>
      <c r="P441" s="22"/>
      <c r="X441" s="22"/>
    </row>
    <row r="442" spans="10:24">
      <c r="J442" s="20" t="e">
        <f>VLOOKUP(G442,MD!M$2:O$93,3,FALSE)</f>
        <v>#N/A</v>
      </c>
      <c r="K442" s="29"/>
      <c r="P442" s="22"/>
      <c r="X442" s="22"/>
    </row>
    <row r="443" spans="10:24">
      <c r="J443" s="20" t="e">
        <f>VLOOKUP(G443,MD!M$2:O$93,3,FALSE)</f>
        <v>#N/A</v>
      </c>
      <c r="K443" s="29"/>
      <c r="P443" s="22"/>
      <c r="X443" s="22"/>
    </row>
    <row r="444" spans="10:24">
      <c r="J444" s="20" t="e">
        <f>VLOOKUP(G444,MD!M$2:O$93,3,FALSE)</f>
        <v>#N/A</v>
      </c>
      <c r="K444" s="29"/>
      <c r="P444" s="22"/>
      <c r="X444" s="22"/>
    </row>
    <row r="445" spans="10:24">
      <c r="J445" s="20" t="e">
        <f>VLOOKUP(G445,MD!M$2:O$93,3,FALSE)</f>
        <v>#N/A</v>
      </c>
      <c r="K445" s="29"/>
      <c r="P445" s="22"/>
      <c r="X445" s="22"/>
    </row>
    <row r="446" spans="10:24">
      <c r="J446" s="20" t="e">
        <f>VLOOKUP(G446,MD!M$2:O$93,3,FALSE)</f>
        <v>#N/A</v>
      </c>
      <c r="K446" s="29"/>
      <c r="P446" s="22"/>
      <c r="X446" s="22"/>
    </row>
    <row r="447" spans="10:24">
      <c r="J447" s="20" t="e">
        <f>VLOOKUP(G447,MD!M$2:O$93,3,FALSE)</f>
        <v>#N/A</v>
      </c>
      <c r="K447" s="29"/>
      <c r="P447" s="22"/>
      <c r="X447" s="22"/>
    </row>
    <row r="448" spans="10:24">
      <c r="J448" s="20" t="e">
        <f>VLOOKUP(G448,MD!M$2:O$93,3,FALSE)</f>
        <v>#N/A</v>
      </c>
      <c r="K448" s="29"/>
      <c r="P448" s="22"/>
      <c r="X448" s="22"/>
    </row>
    <row r="449" spans="10:24">
      <c r="J449" s="20" t="e">
        <f>VLOOKUP(G449,MD!M$2:O$93,3,FALSE)</f>
        <v>#N/A</v>
      </c>
      <c r="K449" s="29"/>
      <c r="P449" s="22"/>
      <c r="X449" s="22"/>
    </row>
    <row r="450" spans="10:24">
      <c r="J450" s="20" t="e">
        <f>VLOOKUP(G450,MD!M$2:O$93,3,FALSE)</f>
        <v>#N/A</v>
      </c>
      <c r="K450" s="29"/>
      <c r="P450" s="22"/>
      <c r="X450" s="22"/>
    </row>
    <row r="451" spans="10:24">
      <c r="J451" s="20" t="e">
        <f>VLOOKUP(G451,MD!M$2:O$93,3,FALSE)</f>
        <v>#N/A</v>
      </c>
      <c r="K451" s="29"/>
      <c r="P451" s="22"/>
      <c r="X451" s="22"/>
    </row>
    <row r="452" spans="10:24">
      <c r="J452" s="20" t="e">
        <f>VLOOKUP(G452,MD!M$2:O$93,3,FALSE)</f>
        <v>#N/A</v>
      </c>
      <c r="K452" s="29"/>
      <c r="P452" s="22"/>
      <c r="X452" s="22"/>
    </row>
    <row r="453" spans="10:24">
      <c r="J453" s="20" t="e">
        <f>VLOOKUP(G453,MD!M$2:O$93,3,FALSE)</f>
        <v>#N/A</v>
      </c>
      <c r="K453" s="29"/>
      <c r="P453" s="22"/>
      <c r="X453" s="22"/>
    </row>
    <row r="454" spans="10:24">
      <c r="J454" s="20" t="e">
        <f>VLOOKUP(G454,MD!M$2:O$93,3,FALSE)</f>
        <v>#N/A</v>
      </c>
      <c r="K454" s="29"/>
      <c r="P454" s="22"/>
      <c r="X454" s="22"/>
    </row>
    <row r="455" spans="10:24">
      <c r="J455" s="20" t="e">
        <f>VLOOKUP(G455,MD!M$2:O$93,3,FALSE)</f>
        <v>#N/A</v>
      </c>
      <c r="K455" s="29"/>
      <c r="P455" s="22"/>
      <c r="X455" s="22"/>
    </row>
    <row r="456" spans="10:24">
      <c r="J456" s="20" t="e">
        <f>VLOOKUP(G456,MD!M$2:O$93,3,FALSE)</f>
        <v>#N/A</v>
      </c>
      <c r="K456" s="29"/>
      <c r="P456" s="22"/>
      <c r="X456" s="22"/>
    </row>
    <row r="457" spans="10:24">
      <c r="J457" s="20" t="e">
        <f>VLOOKUP(G457,MD!M$2:O$93,3,FALSE)</f>
        <v>#N/A</v>
      </c>
      <c r="K457" s="29"/>
      <c r="P457" s="22"/>
      <c r="X457" s="22"/>
    </row>
    <row r="458" spans="10:24">
      <c r="J458" s="20" t="e">
        <f>VLOOKUP(G458,MD!M$2:O$93,3,FALSE)</f>
        <v>#N/A</v>
      </c>
      <c r="K458" s="29"/>
      <c r="P458" s="22"/>
      <c r="X458" s="22"/>
    </row>
    <row r="459" spans="10:24">
      <c r="J459" s="20" t="e">
        <f>VLOOKUP(G459,MD!M$2:O$93,3,FALSE)</f>
        <v>#N/A</v>
      </c>
      <c r="K459" s="29"/>
      <c r="P459" s="22"/>
      <c r="X459" s="22"/>
    </row>
    <row r="460" spans="10:24">
      <c r="J460" s="20" t="e">
        <f>VLOOKUP(G460,MD!M$2:O$93,3,FALSE)</f>
        <v>#N/A</v>
      </c>
      <c r="K460" s="29"/>
      <c r="P460" s="22"/>
      <c r="X460" s="22"/>
    </row>
    <row r="461" spans="10:24">
      <c r="J461" s="20" t="e">
        <f>VLOOKUP(G461,MD!M$2:O$93,3,FALSE)</f>
        <v>#N/A</v>
      </c>
      <c r="K461" s="29"/>
      <c r="P461" s="22"/>
      <c r="X461" s="22"/>
    </row>
    <row r="462" spans="10:24">
      <c r="J462" s="20" t="e">
        <f>VLOOKUP(G462,MD!M$2:O$93,3,FALSE)</f>
        <v>#N/A</v>
      </c>
      <c r="K462" s="29"/>
      <c r="P462" s="22"/>
      <c r="X462" s="22"/>
    </row>
    <row r="463" spans="10:24">
      <c r="J463" s="20" t="e">
        <f>VLOOKUP(G463,MD!M$2:O$93,3,FALSE)</f>
        <v>#N/A</v>
      </c>
      <c r="K463" s="29"/>
      <c r="P463" s="22"/>
      <c r="X463" s="22"/>
    </row>
    <row r="464" spans="10:24">
      <c r="J464" s="20" t="e">
        <f>VLOOKUP(G464,MD!M$2:O$93,3,FALSE)</f>
        <v>#N/A</v>
      </c>
      <c r="K464" s="29"/>
      <c r="P464" s="22"/>
      <c r="X464" s="22"/>
    </row>
    <row r="465" spans="10:24">
      <c r="J465" s="20" t="e">
        <f>VLOOKUP(G465,MD!M$2:O$93,3,FALSE)</f>
        <v>#N/A</v>
      </c>
      <c r="K465" s="29"/>
      <c r="P465" s="22"/>
      <c r="X465" s="22"/>
    </row>
    <row r="466" spans="10:24">
      <c r="J466" s="20" t="e">
        <f>VLOOKUP(G466,MD!M$2:O$93,3,FALSE)</f>
        <v>#N/A</v>
      </c>
      <c r="K466" s="29"/>
      <c r="P466" s="22"/>
      <c r="X466" s="22"/>
    </row>
    <row r="467" spans="10:24">
      <c r="J467" s="20" t="e">
        <f>VLOOKUP(G467,MD!M$2:O$93,3,FALSE)</f>
        <v>#N/A</v>
      </c>
      <c r="K467" s="29"/>
      <c r="P467" s="22"/>
      <c r="X467" s="22"/>
    </row>
    <row r="468" spans="10:24">
      <c r="J468" s="20" t="e">
        <f>VLOOKUP(G468,MD!M$2:O$93,3,FALSE)</f>
        <v>#N/A</v>
      </c>
      <c r="K468" s="29"/>
      <c r="P468" s="22"/>
      <c r="X468" s="22"/>
    </row>
    <row r="469" spans="10:24">
      <c r="J469" s="20" t="e">
        <f>VLOOKUP(G469,MD!M$2:O$93,3,FALSE)</f>
        <v>#N/A</v>
      </c>
      <c r="K469" s="29"/>
      <c r="P469" s="22"/>
      <c r="X469" s="22"/>
    </row>
    <row r="470" spans="10:24">
      <c r="J470" s="20" t="e">
        <f>VLOOKUP(G470,MD!M$2:O$93,3,FALSE)</f>
        <v>#N/A</v>
      </c>
      <c r="K470" s="29"/>
      <c r="P470" s="22"/>
      <c r="X470" s="22"/>
    </row>
    <row r="471" spans="10:24">
      <c r="J471" s="20" t="e">
        <f>VLOOKUP(G471,MD!M$2:O$93,3,FALSE)</f>
        <v>#N/A</v>
      </c>
      <c r="K471" s="29"/>
      <c r="P471" s="22"/>
      <c r="X471" s="22"/>
    </row>
    <row r="472" spans="10:24">
      <c r="J472" s="20" t="e">
        <f>VLOOKUP(G472,MD!M$2:O$93,3,FALSE)</f>
        <v>#N/A</v>
      </c>
      <c r="K472" s="29"/>
      <c r="P472" s="22"/>
      <c r="X472" s="22"/>
    </row>
    <row r="473" spans="10:24">
      <c r="J473" s="20" t="e">
        <f>VLOOKUP(G473,MD!M$2:O$93,3,FALSE)</f>
        <v>#N/A</v>
      </c>
      <c r="K473" s="29"/>
      <c r="P473" s="22"/>
      <c r="X473" s="22"/>
    </row>
    <row r="474" spans="10:24">
      <c r="J474" s="20" t="e">
        <f>VLOOKUP(G474,MD!M$2:O$93,3,FALSE)</f>
        <v>#N/A</v>
      </c>
      <c r="K474" s="29"/>
      <c r="P474" s="22"/>
      <c r="X474" s="22"/>
    </row>
    <row r="475" spans="10:24">
      <c r="J475" s="20" t="e">
        <f>VLOOKUP(G475,MD!M$2:O$93,3,FALSE)</f>
        <v>#N/A</v>
      </c>
      <c r="K475" s="29"/>
      <c r="P475" s="22"/>
      <c r="X475" s="22"/>
    </row>
    <row r="476" spans="10:24">
      <c r="J476" s="20" t="e">
        <f>VLOOKUP(G476,MD!M$2:O$93,3,FALSE)</f>
        <v>#N/A</v>
      </c>
      <c r="K476" s="29"/>
      <c r="P476" s="22"/>
      <c r="X476" s="22"/>
    </row>
    <row r="477" spans="10:24">
      <c r="J477" s="20" t="e">
        <f>VLOOKUP(G477,MD!M$2:O$93,3,FALSE)</f>
        <v>#N/A</v>
      </c>
      <c r="K477" s="29"/>
      <c r="P477" s="22"/>
      <c r="X477" s="22"/>
    </row>
    <row r="478" spans="10:24">
      <c r="J478" s="20" t="e">
        <f>VLOOKUP(G478,MD!M$2:O$93,3,FALSE)</f>
        <v>#N/A</v>
      </c>
      <c r="K478" s="29"/>
      <c r="P478" s="22"/>
      <c r="X478" s="22"/>
    </row>
    <row r="479" spans="10:24">
      <c r="J479" s="20" t="e">
        <f>VLOOKUP(G479,MD!M$2:O$93,3,FALSE)</f>
        <v>#N/A</v>
      </c>
      <c r="K479" s="29"/>
      <c r="P479" s="22"/>
      <c r="X479" s="22"/>
    </row>
    <row r="480" spans="10:24">
      <c r="J480" s="20" t="e">
        <f>VLOOKUP(G480,MD!M$2:O$93,3,FALSE)</f>
        <v>#N/A</v>
      </c>
      <c r="K480" s="29"/>
      <c r="P480" s="22"/>
      <c r="X480" s="22"/>
    </row>
    <row r="481" spans="10:24">
      <c r="J481" s="20" t="e">
        <f>VLOOKUP(G481,MD!M$2:O$93,3,FALSE)</f>
        <v>#N/A</v>
      </c>
      <c r="K481" s="29"/>
      <c r="P481" s="22"/>
      <c r="X481" s="22"/>
    </row>
    <row r="482" spans="10:24">
      <c r="J482" s="20" t="e">
        <f>VLOOKUP(G482,MD!M$2:O$93,3,FALSE)</f>
        <v>#N/A</v>
      </c>
      <c r="K482" s="29"/>
      <c r="P482" s="22"/>
      <c r="X482" s="22"/>
    </row>
    <row r="483" spans="10:24">
      <c r="J483" s="20" t="e">
        <f>VLOOKUP(G483,MD!M$2:O$93,3,FALSE)</f>
        <v>#N/A</v>
      </c>
      <c r="K483" s="29"/>
      <c r="P483" s="22"/>
      <c r="X483" s="22"/>
    </row>
    <row r="484" spans="10:24">
      <c r="J484" s="20" t="e">
        <f>VLOOKUP(G484,MD!M$2:O$93,3,FALSE)</f>
        <v>#N/A</v>
      </c>
      <c r="K484" s="29"/>
      <c r="P484" s="22"/>
      <c r="X484" s="22"/>
    </row>
    <row r="485" spans="10:24">
      <c r="J485" s="20" t="e">
        <f>VLOOKUP(G485,MD!M$2:O$93,3,FALSE)</f>
        <v>#N/A</v>
      </c>
      <c r="K485" s="29"/>
      <c r="P485" s="22"/>
      <c r="X485" s="22"/>
    </row>
    <row r="486" spans="10:24">
      <c r="J486" s="20" t="e">
        <f>VLOOKUP(G486,MD!M$2:O$93,3,FALSE)</f>
        <v>#N/A</v>
      </c>
      <c r="K486" s="29"/>
      <c r="P486" s="22"/>
      <c r="X486" s="22"/>
    </row>
    <row r="487" spans="10:24">
      <c r="J487" s="20" t="e">
        <f>VLOOKUP(G487,MD!M$2:O$93,3,FALSE)</f>
        <v>#N/A</v>
      </c>
      <c r="K487" s="29"/>
      <c r="P487" s="22"/>
      <c r="X487" s="22"/>
    </row>
    <row r="488" spans="10:24">
      <c r="J488" s="20" t="e">
        <f>VLOOKUP(G488,MD!M$2:O$93,3,FALSE)</f>
        <v>#N/A</v>
      </c>
      <c r="K488" s="29"/>
      <c r="P488" s="22"/>
      <c r="X488" s="22"/>
    </row>
    <row r="489" spans="10:24">
      <c r="J489" s="20" t="e">
        <f>VLOOKUP(G489,MD!M$2:O$93,3,FALSE)</f>
        <v>#N/A</v>
      </c>
      <c r="K489" s="29"/>
      <c r="P489" s="22"/>
      <c r="X489" s="22"/>
    </row>
    <row r="490" spans="10:24">
      <c r="J490" s="20" t="e">
        <f>VLOOKUP(G490,MD!M$2:O$93,3,FALSE)</f>
        <v>#N/A</v>
      </c>
      <c r="K490" s="29"/>
      <c r="P490" s="22"/>
      <c r="X490" s="22"/>
    </row>
    <row r="491" spans="10:24">
      <c r="J491" s="20" t="e">
        <f>VLOOKUP(G491,MD!M$2:O$93,3,FALSE)</f>
        <v>#N/A</v>
      </c>
      <c r="K491" s="29"/>
      <c r="P491" s="22"/>
      <c r="X491" s="22"/>
    </row>
    <row r="492" spans="10:24">
      <c r="J492" s="20" t="e">
        <f>VLOOKUP(G492,MD!M$2:O$93,3,FALSE)</f>
        <v>#N/A</v>
      </c>
      <c r="K492" s="29"/>
      <c r="P492" s="22"/>
      <c r="X492" s="22"/>
    </row>
    <row r="493" spans="10:24">
      <c r="J493" s="20" t="e">
        <f>VLOOKUP(G493,MD!M$2:O$93,3,FALSE)</f>
        <v>#N/A</v>
      </c>
      <c r="K493" s="29"/>
      <c r="P493" s="22"/>
      <c r="X493" s="22"/>
    </row>
    <row r="494" spans="10:24">
      <c r="J494" s="20" t="e">
        <f>VLOOKUP(G494,MD!M$2:O$93,3,FALSE)</f>
        <v>#N/A</v>
      </c>
      <c r="K494" s="29"/>
      <c r="P494" s="22"/>
      <c r="X494" s="22"/>
    </row>
    <row r="495" spans="10:24">
      <c r="J495" s="20" t="e">
        <f>VLOOKUP(G495,MD!M$2:O$93,3,FALSE)</f>
        <v>#N/A</v>
      </c>
      <c r="K495" s="29"/>
      <c r="P495" s="22"/>
      <c r="X495" s="22"/>
    </row>
    <row r="496" spans="10:24">
      <c r="J496" s="20" t="e">
        <f>VLOOKUP(G496,MD!M$2:O$93,3,FALSE)</f>
        <v>#N/A</v>
      </c>
      <c r="K496" s="29"/>
      <c r="P496" s="22"/>
      <c r="X496" s="22"/>
    </row>
    <row r="497" spans="10:24">
      <c r="J497" s="20" t="e">
        <f>VLOOKUP(G497,MD!M$2:O$93,3,FALSE)</f>
        <v>#N/A</v>
      </c>
      <c r="K497" s="29"/>
      <c r="P497" s="22"/>
      <c r="X497" s="22"/>
    </row>
    <row r="498" spans="10:24">
      <c r="J498" s="20" t="e">
        <f>VLOOKUP(G498,MD!M$2:O$93,3,FALSE)</f>
        <v>#N/A</v>
      </c>
      <c r="K498" s="29"/>
      <c r="P498" s="22"/>
      <c r="X498" s="22"/>
    </row>
    <row r="499" spans="10:24">
      <c r="J499" s="20" t="e">
        <f>VLOOKUP(G499,MD!M$2:O$93,3,FALSE)</f>
        <v>#N/A</v>
      </c>
      <c r="K499" s="29"/>
      <c r="P499" s="22"/>
      <c r="X499" s="22"/>
    </row>
    <row r="500" spans="10:24">
      <c r="J500" s="20" t="e">
        <f>VLOOKUP(G500,MD!M$2:O$93,3,FALSE)</f>
        <v>#N/A</v>
      </c>
      <c r="K500" s="29"/>
      <c r="P500" s="22"/>
      <c r="X500" s="22"/>
    </row>
    <row r="501" spans="10:24">
      <c r="J501" s="20" t="e">
        <f>VLOOKUP(G501,MD!M$2:O$93,3,FALSE)</f>
        <v>#N/A</v>
      </c>
      <c r="K501" s="29"/>
      <c r="P501" s="22"/>
      <c r="X501" s="22"/>
    </row>
    <row r="502" spans="10:24">
      <c r="J502" s="20" t="e">
        <f>VLOOKUP(G502,MD!M$2:O$93,3,FALSE)</f>
        <v>#N/A</v>
      </c>
      <c r="K502" s="29"/>
      <c r="P502" s="22"/>
      <c r="X502" s="22"/>
    </row>
    <row r="503" spans="10:24">
      <c r="J503" s="20" t="e">
        <f>VLOOKUP(G503,MD!M$2:O$93,3,FALSE)</f>
        <v>#N/A</v>
      </c>
      <c r="K503" s="29"/>
      <c r="P503" s="22"/>
      <c r="X503" s="22"/>
    </row>
    <row r="504" spans="10:24">
      <c r="J504" s="20" t="e">
        <f>VLOOKUP(G504,MD!M$2:O$93,3,FALSE)</f>
        <v>#N/A</v>
      </c>
      <c r="K504" s="29"/>
      <c r="P504" s="22"/>
      <c r="X504" s="22"/>
    </row>
    <row r="505" spans="10:24">
      <c r="J505" s="20" t="e">
        <f>VLOOKUP(G505,MD!M$2:O$93,3,FALSE)</f>
        <v>#N/A</v>
      </c>
      <c r="K505" s="29"/>
      <c r="P505" s="22"/>
      <c r="X505" s="22"/>
    </row>
    <row r="506" spans="10:24">
      <c r="J506" s="20" t="e">
        <f>VLOOKUP(G506,MD!M$2:O$93,3,FALSE)</f>
        <v>#N/A</v>
      </c>
      <c r="K506" s="29"/>
      <c r="P506" s="22"/>
      <c r="X506" s="22"/>
    </row>
    <row r="507" spans="10:24">
      <c r="J507" s="20" t="e">
        <f>VLOOKUP(G507,MD!M$2:O$93,3,FALSE)</f>
        <v>#N/A</v>
      </c>
      <c r="K507" s="29"/>
      <c r="P507" s="22"/>
      <c r="X507" s="22"/>
    </row>
    <row r="508" spans="10:24">
      <c r="J508" s="20" t="e">
        <f>VLOOKUP(G508,MD!M$2:O$93,3,FALSE)</f>
        <v>#N/A</v>
      </c>
      <c r="K508" s="29"/>
      <c r="P508" s="22"/>
      <c r="X508" s="22"/>
    </row>
    <row r="509" spans="10:24">
      <c r="J509" s="20" t="e">
        <f>VLOOKUP(G509,MD!M$2:O$93,3,FALSE)</f>
        <v>#N/A</v>
      </c>
      <c r="K509" s="29"/>
      <c r="P509" s="22"/>
      <c r="X509" s="22"/>
    </row>
    <row r="510" spans="10:24">
      <c r="J510" s="20" t="e">
        <f>VLOOKUP(G510,MD!M$2:O$93,3,FALSE)</f>
        <v>#N/A</v>
      </c>
      <c r="K510" s="29"/>
      <c r="P510" s="22"/>
      <c r="X510" s="22"/>
    </row>
    <row r="511" spans="10:24">
      <c r="J511" s="20" t="e">
        <f>VLOOKUP(G511,MD!M$2:O$93,3,FALSE)</f>
        <v>#N/A</v>
      </c>
      <c r="K511" s="29"/>
      <c r="P511" s="22"/>
      <c r="X511" s="22"/>
    </row>
    <row r="512" spans="10:24">
      <c r="J512" s="20" t="e">
        <f>VLOOKUP(G512,MD!M$2:O$93,3,FALSE)</f>
        <v>#N/A</v>
      </c>
      <c r="K512" s="29"/>
      <c r="P512" s="22"/>
      <c r="X512" s="22"/>
    </row>
    <row r="513" spans="10:24">
      <c r="J513" s="20" t="e">
        <f>VLOOKUP(G513,MD!M$2:O$93,3,FALSE)</f>
        <v>#N/A</v>
      </c>
      <c r="K513" s="29"/>
      <c r="P513" s="22"/>
      <c r="X513" s="22"/>
    </row>
    <row r="514" spans="10:24">
      <c r="J514" s="20" t="e">
        <f>VLOOKUP(G514,MD!M$2:O$93,3,FALSE)</f>
        <v>#N/A</v>
      </c>
      <c r="K514" s="29"/>
      <c r="P514" s="22"/>
      <c r="X514" s="22"/>
    </row>
    <row r="515" spans="10:24">
      <c r="J515" s="20" t="e">
        <f>VLOOKUP(G515,MD!M$2:O$93,3,FALSE)</f>
        <v>#N/A</v>
      </c>
      <c r="K515" s="29"/>
      <c r="P515" s="22"/>
      <c r="X515" s="22"/>
    </row>
    <row r="516" spans="10:24">
      <c r="J516" s="20" t="e">
        <f>VLOOKUP(G516,MD!M$2:O$93,3,FALSE)</f>
        <v>#N/A</v>
      </c>
      <c r="K516" s="29"/>
      <c r="P516" s="22"/>
      <c r="X516" s="22"/>
    </row>
    <row r="517" spans="10:24">
      <c r="J517" s="20" t="e">
        <f>VLOOKUP(G517,MD!M$2:O$93,3,FALSE)</f>
        <v>#N/A</v>
      </c>
      <c r="K517" s="29"/>
      <c r="P517" s="22"/>
      <c r="X517" s="22"/>
    </row>
    <row r="518" spans="10:24">
      <c r="J518" s="20" t="e">
        <f>VLOOKUP(G518,MD!M$2:O$93,3,FALSE)</f>
        <v>#N/A</v>
      </c>
      <c r="K518" s="29"/>
      <c r="P518" s="22"/>
      <c r="X518" s="22"/>
    </row>
    <row r="519" spans="10:24">
      <c r="J519" s="20" t="e">
        <f>VLOOKUP(G519,MD!M$2:O$93,3,FALSE)</f>
        <v>#N/A</v>
      </c>
      <c r="K519" s="29"/>
      <c r="P519" s="22"/>
      <c r="X519" s="22"/>
    </row>
    <row r="520" spans="10:24">
      <c r="J520" s="20" t="e">
        <f>VLOOKUP(G520,MD!M$2:O$93,3,FALSE)</f>
        <v>#N/A</v>
      </c>
      <c r="K520" s="29"/>
      <c r="P520" s="22"/>
      <c r="X520" s="22"/>
    </row>
    <row r="521" spans="10:24">
      <c r="J521" s="20" t="e">
        <f>VLOOKUP(G521,MD!M$2:O$93,3,FALSE)</f>
        <v>#N/A</v>
      </c>
      <c r="K521" s="29"/>
      <c r="P521" s="22"/>
      <c r="X521" s="22"/>
    </row>
    <row r="522" spans="10:24">
      <c r="J522" s="20" t="e">
        <f>VLOOKUP(G522,MD!M$2:O$93,3,FALSE)</f>
        <v>#N/A</v>
      </c>
      <c r="K522" s="29"/>
      <c r="P522" s="22"/>
      <c r="X522" s="22"/>
    </row>
    <row r="523" spans="10:24">
      <c r="J523" s="20" t="e">
        <f>VLOOKUP(G523,MD!M$2:O$93,3,FALSE)</f>
        <v>#N/A</v>
      </c>
      <c r="K523" s="29"/>
      <c r="P523" s="22"/>
      <c r="X523" s="22"/>
    </row>
    <row r="524" spans="10:24">
      <c r="J524" s="20" t="e">
        <f>VLOOKUP(G524,MD!M$2:O$93,3,FALSE)</f>
        <v>#N/A</v>
      </c>
      <c r="K524" s="29"/>
      <c r="P524" s="22"/>
      <c r="X524" s="22"/>
    </row>
    <row r="525" spans="10:24">
      <c r="J525" s="20" t="e">
        <f>VLOOKUP(G525,MD!M$2:O$93,3,FALSE)</f>
        <v>#N/A</v>
      </c>
      <c r="K525" s="29"/>
      <c r="P525" s="22"/>
      <c r="X525" s="22"/>
    </row>
    <row r="526" spans="10:24">
      <c r="J526" s="20" t="e">
        <f>VLOOKUP(G526,MD!M$2:O$93,3,FALSE)</f>
        <v>#N/A</v>
      </c>
      <c r="K526" s="29"/>
      <c r="P526" s="22"/>
      <c r="X526" s="22"/>
    </row>
    <row r="527" spans="10:24">
      <c r="J527" s="20" t="e">
        <f>VLOOKUP(G527,MD!M$2:O$93,3,FALSE)</f>
        <v>#N/A</v>
      </c>
      <c r="K527" s="29"/>
      <c r="P527" s="22"/>
      <c r="X527" s="22"/>
    </row>
    <row r="528" spans="10:24">
      <c r="J528" s="20" t="e">
        <f>VLOOKUP(G528,MD!M$2:O$93,3,FALSE)</f>
        <v>#N/A</v>
      </c>
      <c r="K528" s="29"/>
      <c r="P528" s="22"/>
      <c r="X528" s="22"/>
    </row>
    <row r="529" spans="10:24">
      <c r="J529" s="20" t="e">
        <f>VLOOKUP(G529,MD!M$2:O$93,3,FALSE)</f>
        <v>#N/A</v>
      </c>
      <c r="K529" s="29"/>
      <c r="P529" s="22"/>
      <c r="X529" s="22"/>
    </row>
    <row r="530" spans="10:24">
      <c r="J530" s="20" t="e">
        <f>VLOOKUP(G530,MD!M$2:O$93,3,FALSE)</f>
        <v>#N/A</v>
      </c>
      <c r="K530" s="29"/>
      <c r="P530" s="22"/>
      <c r="X530" s="22"/>
    </row>
    <row r="531" spans="10:24">
      <c r="J531" s="20" t="e">
        <f>VLOOKUP(G531,MD!M$2:O$93,3,FALSE)</f>
        <v>#N/A</v>
      </c>
      <c r="K531" s="29"/>
      <c r="P531" s="22"/>
      <c r="X531" s="22"/>
    </row>
    <row r="532" spans="10:24">
      <c r="J532" s="20" t="e">
        <f>VLOOKUP(G532,MD!M$2:O$93,3,FALSE)</f>
        <v>#N/A</v>
      </c>
      <c r="K532" s="29"/>
      <c r="P532" s="22"/>
      <c r="X532" s="22"/>
    </row>
    <row r="533" spans="10:24">
      <c r="J533" s="20" t="e">
        <f>VLOOKUP(G533,MD!M$2:O$93,3,FALSE)</f>
        <v>#N/A</v>
      </c>
      <c r="K533" s="29"/>
      <c r="P533" s="22"/>
      <c r="X533" s="22"/>
    </row>
    <row r="534" spans="10:24">
      <c r="J534" s="20" t="e">
        <f>VLOOKUP(G534,MD!M$2:O$93,3,FALSE)</f>
        <v>#N/A</v>
      </c>
      <c r="K534" s="29"/>
      <c r="P534" s="22"/>
      <c r="X534" s="22"/>
    </row>
    <row r="535" spans="10:24">
      <c r="J535" s="20" t="e">
        <f>VLOOKUP(G535,MD!M$2:O$93,3,FALSE)</f>
        <v>#N/A</v>
      </c>
      <c r="K535" s="29"/>
      <c r="P535" s="22"/>
      <c r="X535" s="22"/>
    </row>
    <row r="536" spans="10:24">
      <c r="J536" s="20" t="e">
        <f>VLOOKUP(G536,MD!M$2:O$93,3,FALSE)</f>
        <v>#N/A</v>
      </c>
      <c r="K536" s="29"/>
      <c r="P536" s="22"/>
      <c r="X536" s="22"/>
    </row>
    <row r="537" spans="10:24">
      <c r="J537" s="20" t="e">
        <f>VLOOKUP(G537,MD!M$2:O$93,3,FALSE)</f>
        <v>#N/A</v>
      </c>
      <c r="K537" s="29"/>
      <c r="P537" s="22"/>
      <c r="X537" s="22"/>
    </row>
    <row r="538" spans="10:24">
      <c r="J538" s="20" t="e">
        <f>VLOOKUP(G538,MD!M$2:O$93,3,FALSE)</f>
        <v>#N/A</v>
      </c>
      <c r="K538" s="29"/>
      <c r="P538" s="22"/>
      <c r="X538" s="22"/>
    </row>
    <row r="539" spans="10:24">
      <c r="J539" s="20" t="e">
        <f>VLOOKUP(G539,MD!M$2:O$93,3,FALSE)</f>
        <v>#N/A</v>
      </c>
      <c r="K539" s="29"/>
      <c r="P539" s="22"/>
      <c r="X539" s="22"/>
    </row>
    <row r="540" spans="10:24">
      <c r="J540" s="20" t="e">
        <f>VLOOKUP(G540,MD!M$2:O$93,3,FALSE)</f>
        <v>#N/A</v>
      </c>
      <c r="K540" s="29"/>
      <c r="P540" s="22"/>
      <c r="X540" s="22"/>
    </row>
    <row r="541" spans="10:24">
      <c r="J541" s="20" t="e">
        <f>VLOOKUP(G541,MD!M$2:O$93,3,FALSE)</f>
        <v>#N/A</v>
      </c>
      <c r="K541" s="29"/>
      <c r="P541" s="22"/>
      <c r="X541" s="22"/>
    </row>
    <row r="542" spans="10:24">
      <c r="J542" s="20" t="e">
        <f>VLOOKUP(G542,MD!M$2:O$93,3,FALSE)</f>
        <v>#N/A</v>
      </c>
      <c r="K542" s="29"/>
      <c r="P542" s="22"/>
      <c r="X542" s="22"/>
    </row>
    <row r="543" spans="10:24">
      <c r="J543" s="20" t="e">
        <f>VLOOKUP(G543,MD!M$2:O$93,3,FALSE)</f>
        <v>#N/A</v>
      </c>
      <c r="K543" s="29"/>
      <c r="P543" s="22"/>
      <c r="X543" s="22"/>
    </row>
    <row r="544" spans="10:24">
      <c r="J544" s="20" t="e">
        <f>VLOOKUP(G544,MD!M$2:O$93,3,FALSE)</f>
        <v>#N/A</v>
      </c>
      <c r="K544" s="29"/>
      <c r="P544" s="22"/>
      <c r="X544" s="22"/>
    </row>
    <row r="545" spans="10:24">
      <c r="J545" s="20" t="e">
        <f>VLOOKUP(G545,MD!M$2:O$93,3,FALSE)</f>
        <v>#N/A</v>
      </c>
      <c r="K545" s="29"/>
      <c r="P545" s="22"/>
      <c r="X545" s="22"/>
    </row>
    <row r="546" spans="10:24">
      <c r="J546" s="20" t="e">
        <f>VLOOKUP(G546,MD!M$2:O$93,3,FALSE)</f>
        <v>#N/A</v>
      </c>
      <c r="K546" s="29"/>
      <c r="P546" s="22"/>
      <c r="X546" s="22"/>
    </row>
    <row r="547" spans="10:24">
      <c r="J547" s="20" t="e">
        <f>VLOOKUP(G547,MD!M$2:O$93,3,FALSE)</f>
        <v>#N/A</v>
      </c>
      <c r="K547" s="29"/>
      <c r="P547" s="22"/>
      <c r="X547" s="22"/>
    </row>
    <row r="548" spans="10:24">
      <c r="J548" s="20" t="e">
        <f>VLOOKUP(G548,MD!M$2:O$93,3,FALSE)</f>
        <v>#N/A</v>
      </c>
      <c r="K548" s="29"/>
      <c r="P548" s="22"/>
      <c r="X548" s="22"/>
    </row>
    <row r="549" spans="10:24">
      <c r="J549" s="20" t="e">
        <f>VLOOKUP(G549,MD!M$2:O$93,3,FALSE)</f>
        <v>#N/A</v>
      </c>
      <c r="K549" s="29"/>
      <c r="P549" s="22"/>
      <c r="X549" s="22"/>
    </row>
    <row r="550" spans="10:24">
      <c r="J550" s="20" t="e">
        <f>VLOOKUP(G550,MD!M$2:O$93,3,FALSE)</f>
        <v>#N/A</v>
      </c>
      <c r="K550" s="29"/>
      <c r="P550" s="22"/>
      <c r="X550" s="22"/>
    </row>
    <row r="551" spans="10:24">
      <c r="J551" s="20" t="e">
        <f>VLOOKUP(G551,MD!M$2:O$93,3,FALSE)</f>
        <v>#N/A</v>
      </c>
      <c r="K551" s="29"/>
      <c r="P551" s="22"/>
      <c r="X551" s="22"/>
    </row>
    <row r="552" spans="10:24">
      <c r="J552" s="20" t="e">
        <f>VLOOKUP(G552,MD!M$2:O$93,3,FALSE)</f>
        <v>#N/A</v>
      </c>
      <c r="K552" s="29"/>
      <c r="P552" s="22"/>
      <c r="X552" s="22"/>
    </row>
    <row r="553" spans="10:24">
      <c r="J553" s="20" t="e">
        <f>VLOOKUP(G553,MD!M$2:O$93,3,FALSE)</f>
        <v>#N/A</v>
      </c>
      <c r="K553" s="29"/>
      <c r="P553" s="22"/>
      <c r="X553" s="22"/>
    </row>
    <row r="554" spans="10:24">
      <c r="J554" s="20" t="e">
        <f>VLOOKUP(G554,MD!M$2:O$93,3,FALSE)</f>
        <v>#N/A</v>
      </c>
      <c r="K554" s="29"/>
      <c r="P554" s="22"/>
      <c r="X554" s="22"/>
    </row>
    <row r="555" spans="10:24">
      <c r="J555" s="20" t="e">
        <f>VLOOKUP(G555,MD!M$2:O$93,3,FALSE)</f>
        <v>#N/A</v>
      </c>
      <c r="K555" s="29"/>
      <c r="P555" s="22"/>
      <c r="X555" s="22"/>
    </row>
    <row r="556" spans="10:24">
      <c r="J556" s="20" t="e">
        <f>VLOOKUP(G556,MD!M$2:O$93,3,FALSE)</f>
        <v>#N/A</v>
      </c>
      <c r="K556" s="29"/>
      <c r="P556" s="22"/>
      <c r="X556" s="22"/>
    </row>
    <row r="557" spans="10:24">
      <c r="J557" s="20" t="e">
        <f>VLOOKUP(G557,MD!M$2:O$93,3,FALSE)</f>
        <v>#N/A</v>
      </c>
      <c r="K557" s="29"/>
      <c r="P557" s="22"/>
      <c r="X557" s="22"/>
    </row>
    <row r="558" spans="10:24">
      <c r="J558" s="20" t="e">
        <f>VLOOKUP(G558,MD!M$2:O$93,3,FALSE)</f>
        <v>#N/A</v>
      </c>
      <c r="K558" s="29"/>
      <c r="P558" s="22"/>
      <c r="X558" s="22"/>
    </row>
    <row r="559" spans="10:24">
      <c r="J559" s="20" t="e">
        <f>VLOOKUP(G559,MD!M$2:O$93,3,FALSE)</f>
        <v>#N/A</v>
      </c>
      <c r="K559" s="29"/>
      <c r="P559" s="22"/>
      <c r="X559" s="22"/>
    </row>
    <row r="560" spans="10:24">
      <c r="J560" s="20" t="e">
        <f>VLOOKUP(G560,MD!M$2:O$93,3,FALSE)</f>
        <v>#N/A</v>
      </c>
      <c r="K560" s="29"/>
      <c r="P560" s="22"/>
      <c r="X560" s="22"/>
    </row>
    <row r="561" spans="10:24">
      <c r="J561" s="20" t="e">
        <f>VLOOKUP(G561,MD!M$2:O$93,3,FALSE)</f>
        <v>#N/A</v>
      </c>
      <c r="K561" s="29"/>
      <c r="P561" s="22"/>
      <c r="X561" s="22"/>
    </row>
    <row r="562" spans="10:24">
      <c r="J562" s="20" t="e">
        <f>VLOOKUP(G562,MD!M$2:O$93,3,FALSE)</f>
        <v>#N/A</v>
      </c>
      <c r="K562" s="29"/>
      <c r="P562" s="22"/>
      <c r="X562" s="22"/>
    </row>
    <row r="563" spans="10:24">
      <c r="J563" s="20" t="e">
        <f>VLOOKUP(G563,MD!M$2:O$93,3,FALSE)</f>
        <v>#N/A</v>
      </c>
      <c r="K563" s="29"/>
      <c r="P563" s="22"/>
      <c r="X563" s="22"/>
    </row>
    <row r="564" spans="10:24">
      <c r="J564" s="20" t="e">
        <f>VLOOKUP(G564,MD!M$2:O$93,3,FALSE)</f>
        <v>#N/A</v>
      </c>
      <c r="K564" s="29"/>
      <c r="P564" s="22"/>
      <c r="X564" s="22"/>
    </row>
    <row r="565" spans="10:24">
      <c r="J565" s="20" t="e">
        <f>VLOOKUP(G565,MD!M$2:O$93,3,FALSE)</f>
        <v>#N/A</v>
      </c>
      <c r="K565" s="29"/>
      <c r="P565" s="22"/>
      <c r="X565" s="22"/>
    </row>
    <row r="566" spans="10:24">
      <c r="J566" s="20" t="e">
        <f>VLOOKUP(G566,MD!M$2:O$93,3,FALSE)</f>
        <v>#N/A</v>
      </c>
      <c r="K566" s="29"/>
      <c r="P566" s="22"/>
      <c r="X566" s="22"/>
    </row>
    <row r="567" spans="10:24">
      <c r="J567" s="20" t="e">
        <f>VLOOKUP(G567,MD!M$2:O$93,3,FALSE)</f>
        <v>#N/A</v>
      </c>
      <c r="K567" s="29"/>
      <c r="P567" s="22"/>
      <c r="X567" s="22"/>
    </row>
    <row r="568" spans="10:24">
      <c r="J568" s="20" t="e">
        <f>VLOOKUP(G568,MD!M$2:O$93,3,FALSE)</f>
        <v>#N/A</v>
      </c>
      <c r="K568" s="29"/>
      <c r="P568" s="22"/>
      <c r="X568" s="22"/>
    </row>
    <row r="569" spans="10:24">
      <c r="J569" s="20" t="e">
        <f>VLOOKUP(G569,MD!M$2:O$93,3,FALSE)</f>
        <v>#N/A</v>
      </c>
      <c r="K569" s="29"/>
      <c r="P569" s="22"/>
      <c r="X569" s="22"/>
    </row>
    <row r="570" spans="10:24">
      <c r="J570" s="20" t="e">
        <f>VLOOKUP(G570,MD!M$2:O$93,3,FALSE)</f>
        <v>#N/A</v>
      </c>
      <c r="K570" s="29"/>
      <c r="P570" s="22"/>
      <c r="X570" s="22"/>
    </row>
    <row r="571" spans="10:24">
      <c r="J571" s="20" t="e">
        <f>VLOOKUP(G571,MD!M$2:O$93,3,FALSE)</f>
        <v>#N/A</v>
      </c>
      <c r="K571" s="29"/>
      <c r="P571" s="22"/>
      <c r="X571" s="22"/>
    </row>
    <row r="572" spans="10:24">
      <c r="J572" s="20" t="e">
        <f>VLOOKUP(G572,MD!M$2:O$93,3,FALSE)</f>
        <v>#N/A</v>
      </c>
      <c r="K572" s="29"/>
      <c r="P572" s="22"/>
      <c r="X572" s="22"/>
    </row>
    <row r="573" spans="10:24">
      <c r="J573" s="20" t="e">
        <f>VLOOKUP(G573,MD!M$2:O$93,3,FALSE)</f>
        <v>#N/A</v>
      </c>
      <c r="K573" s="29"/>
      <c r="P573" s="22"/>
      <c r="X573" s="22"/>
    </row>
    <row r="574" spans="10:24">
      <c r="J574" s="20" t="e">
        <f>VLOOKUP(G574,MD!M$2:O$93,3,FALSE)</f>
        <v>#N/A</v>
      </c>
      <c r="K574" s="29"/>
      <c r="P574" s="22"/>
      <c r="X574" s="22"/>
    </row>
    <row r="575" spans="10:24">
      <c r="J575" s="20" t="e">
        <f>VLOOKUP(G575,MD!M$2:O$93,3,FALSE)</f>
        <v>#N/A</v>
      </c>
      <c r="K575" s="29"/>
      <c r="P575" s="22"/>
      <c r="X575" s="22"/>
    </row>
    <row r="576" spans="10:24">
      <c r="J576" s="20" t="e">
        <f>VLOOKUP(G576,MD!M$2:O$93,3,FALSE)</f>
        <v>#N/A</v>
      </c>
      <c r="K576" s="29"/>
      <c r="P576" s="22"/>
      <c r="X576" s="22"/>
    </row>
    <row r="577" spans="10:24">
      <c r="J577" s="20" t="e">
        <f>VLOOKUP(G577,MD!M$2:O$93,3,FALSE)</f>
        <v>#N/A</v>
      </c>
      <c r="K577" s="29"/>
      <c r="P577" s="22"/>
      <c r="X577" s="22"/>
    </row>
    <row r="578" spans="10:24">
      <c r="J578" s="20" t="e">
        <f>VLOOKUP(G578,MD!M$2:O$93,3,FALSE)</f>
        <v>#N/A</v>
      </c>
      <c r="K578" s="29"/>
      <c r="P578" s="22"/>
      <c r="X578" s="22"/>
    </row>
    <row r="579" spans="10:24">
      <c r="J579" s="20" t="e">
        <f>VLOOKUP(G579,MD!M$2:O$93,3,FALSE)</f>
        <v>#N/A</v>
      </c>
      <c r="K579" s="29"/>
      <c r="P579" s="22"/>
      <c r="X579" s="22"/>
    </row>
    <row r="580" spans="10:24">
      <c r="J580" s="20" t="e">
        <f>VLOOKUP(G580,MD!M$2:O$93,3,FALSE)</f>
        <v>#N/A</v>
      </c>
      <c r="K580" s="29"/>
      <c r="P580" s="22"/>
      <c r="X580" s="22"/>
    </row>
    <row r="581" spans="10:24">
      <c r="J581" s="20" t="e">
        <f>VLOOKUP(G581,MD!M$2:O$93,3,FALSE)</f>
        <v>#N/A</v>
      </c>
      <c r="K581" s="29"/>
      <c r="P581" s="22"/>
      <c r="X581" s="22"/>
    </row>
    <row r="582" spans="10:24">
      <c r="J582" s="20" t="e">
        <f>VLOOKUP(G582,MD!M$2:O$93,3,FALSE)</f>
        <v>#N/A</v>
      </c>
      <c r="K582" s="29"/>
      <c r="P582" s="22"/>
      <c r="X582" s="22"/>
    </row>
    <row r="583" spans="10:24">
      <c r="J583" s="20" t="e">
        <f>VLOOKUP(G583,MD!M$2:O$93,3,FALSE)</f>
        <v>#N/A</v>
      </c>
      <c r="K583" s="29"/>
      <c r="P583" s="22"/>
      <c r="X583" s="22"/>
    </row>
    <row r="584" spans="10:24">
      <c r="J584" s="20" t="e">
        <f>VLOOKUP(G584,MD!M$2:O$93,3,FALSE)</f>
        <v>#N/A</v>
      </c>
      <c r="K584" s="29"/>
      <c r="P584" s="22"/>
      <c r="X584" s="22"/>
    </row>
    <row r="585" spans="10:24">
      <c r="J585" s="20" t="e">
        <f>VLOOKUP(G585,MD!M$2:O$93,3,FALSE)</f>
        <v>#N/A</v>
      </c>
      <c r="K585" s="29"/>
      <c r="P585" s="22"/>
      <c r="X585" s="22"/>
    </row>
    <row r="586" spans="10:24">
      <c r="J586" s="20" t="e">
        <f>VLOOKUP(G586,MD!M$2:O$93,3,FALSE)</f>
        <v>#N/A</v>
      </c>
      <c r="K586" s="29"/>
      <c r="P586" s="22"/>
      <c r="X586" s="22"/>
    </row>
    <row r="587" spans="10:24">
      <c r="J587" s="20" t="e">
        <f>VLOOKUP(G587,MD!M$2:O$93,3,FALSE)</f>
        <v>#N/A</v>
      </c>
      <c r="K587" s="29"/>
      <c r="P587" s="22"/>
      <c r="X587" s="22"/>
    </row>
    <row r="588" spans="10:24">
      <c r="J588" s="20" t="e">
        <f>VLOOKUP(G588,MD!M$2:O$93,3,FALSE)</f>
        <v>#N/A</v>
      </c>
      <c r="K588" s="29"/>
      <c r="P588" s="22"/>
      <c r="X588" s="22"/>
    </row>
    <row r="589" spans="10:24">
      <c r="J589" s="20" t="e">
        <f>VLOOKUP(G589,MD!M$2:O$93,3,FALSE)</f>
        <v>#N/A</v>
      </c>
      <c r="K589" s="29"/>
      <c r="P589" s="22"/>
      <c r="X589" s="22"/>
    </row>
    <row r="590" spans="10:24">
      <c r="J590" s="20" t="e">
        <f>VLOOKUP(G590,MD!M$2:O$93,3,FALSE)</f>
        <v>#N/A</v>
      </c>
      <c r="K590" s="29"/>
      <c r="P590" s="22"/>
      <c r="X590" s="22"/>
    </row>
    <row r="591" spans="10:24">
      <c r="J591" s="20" t="e">
        <f>VLOOKUP(G591,MD!M$2:O$93,3,FALSE)</f>
        <v>#N/A</v>
      </c>
      <c r="K591" s="29"/>
      <c r="P591" s="22"/>
      <c r="X591" s="22"/>
    </row>
    <row r="592" spans="10:24">
      <c r="J592" s="20" t="e">
        <f>VLOOKUP(G592,MD!M$2:O$93,3,FALSE)</f>
        <v>#N/A</v>
      </c>
      <c r="K592" s="29"/>
      <c r="P592" s="22"/>
      <c r="X592" s="22"/>
    </row>
    <row r="593" spans="10:24">
      <c r="J593" s="20" t="e">
        <f>VLOOKUP(G593,MD!M$2:O$93,3,FALSE)</f>
        <v>#N/A</v>
      </c>
      <c r="K593" s="29"/>
      <c r="P593" s="22"/>
      <c r="X593" s="22"/>
    </row>
    <row r="594" spans="10:24">
      <c r="J594" s="20" t="e">
        <f>VLOOKUP(G594,MD!M$2:O$93,3,FALSE)</f>
        <v>#N/A</v>
      </c>
      <c r="K594" s="29"/>
      <c r="P594" s="22"/>
      <c r="X594" s="22"/>
    </row>
    <row r="595" spans="10:24">
      <c r="J595" s="20" t="e">
        <f>VLOOKUP(G595,MD!M$2:O$93,3,FALSE)</f>
        <v>#N/A</v>
      </c>
      <c r="K595" s="29"/>
      <c r="P595" s="22"/>
      <c r="X595" s="22"/>
    </row>
    <row r="596" spans="10:24">
      <c r="J596" s="20" t="e">
        <f>VLOOKUP(G596,MD!M$2:O$93,3,FALSE)</f>
        <v>#N/A</v>
      </c>
      <c r="K596" s="29"/>
      <c r="P596" s="22"/>
      <c r="X596" s="22"/>
    </row>
    <row r="597" spans="10:24">
      <c r="J597" s="20" t="e">
        <f>VLOOKUP(G597,MD!M$2:O$93,3,FALSE)</f>
        <v>#N/A</v>
      </c>
      <c r="K597" s="29"/>
      <c r="P597" s="22"/>
      <c r="X597" s="22"/>
    </row>
    <row r="598" spans="10:24">
      <c r="J598" s="20" t="e">
        <f>VLOOKUP(G598,MD!M$2:O$93,3,FALSE)</f>
        <v>#N/A</v>
      </c>
      <c r="K598" s="29"/>
      <c r="P598" s="22"/>
      <c r="X598" s="22"/>
    </row>
    <row r="599" spans="10:24">
      <c r="J599" s="20" t="e">
        <f>VLOOKUP(G599,MD!M$2:O$93,3,FALSE)</f>
        <v>#N/A</v>
      </c>
      <c r="K599" s="29"/>
      <c r="P599" s="22"/>
      <c r="X599" s="22"/>
    </row>
    <row r="600" spans="10:24">
      <c r="J600" s="20" t="e">
        <f>VLOOKUP(G600,MD!M$2:O$93,3,FALSE)</f>
        <v>#N/A</v>
      </c>
      <c r="K600" s="29"/>
      <c r="P600" s="22"/>
      <c r="X600" s="22"/>
    </row>
    <row r="601" spans="10:24">
      <c r="J601" s="20" t="e">
        <f>VLOOKUP(G601,MD!M$2:O$93,3,FALSE)</f>
        <v>#N/A</v>
      </c>
      <c r="K601" s="29"/>
      <c r="P601" s="22"/>
      <c r="X601" s="22"/>
    </row>
    <row r="602" spans="10:24">
      <c r="J602" s="20" t="e">
        <f>VLOOKUP(G602,MD!M$2:O$93,3,FALSE)</f>
        <v>#N/A</v>
      </c>
      <c r="K602" s="29"/>
      <c r="P602" s="22"/>
      <c r="X602" s="22"/>
    </row>
    <row r="603" spans="10:24">
      <c r="J603" s="20" t="e">
        <f>VLOOKUP(G603,MD!M$2:O$93,3,FALSE)</f>
        <v>#N/A</v>
      </c>
      <c r="K603" s="29"/>
      <c r="P603" s="22"/>
      <c r="X603" s="22"/>
    </row>
    <row r="604" spans="10:24">
      <c r="J604" s="20" t="e">
        <f>VLOOKUP(G604,MD!M$2:O$93,3,FALSE)</f>
        <v>#N/A</v>
      </c>
      <c r="K604" s="29"/>
      <c r="P604" s="22"/>
      <c r="X604" s="22"/>
    </row>
    <row r="605" spans="10:24">
      <c r="J605" s="20" t="e">
        <f>VLOOKUP(G605,MD!M$2:O$93,3,FALSE)</f>
        <v>#N/A</v>
      </c>
      <c r="K605" s="29"/>
      <c r="P605" s="22"/>
      <c r="X605" s="22"/>
    </row>
    <row r="606" spans="10:24">
      <c r="J606" s="20" t="e">
        <f>VLOOKUP(G606,MD!M$2:O$93,3,FALSE)</f>
        <v>#N/A</v>
      </c>
      <c r="K606" s="29"/>
      <c r="P606" s="22"/>
      <c r="X606" s="22"/>
    </row>
    <row r="607" spans="10:24">
      <c r="J607" s="20" t="e">
        <f>VLOOKUP(G607,MD!M$2:O$93,3,FALSE)</f>
        <v>#N/A</v>
      </c>
      <c r="K607" s="29"/>
      <c r="P607" s="22"/>
      <c r="X607" s="22"/>
    </row>
    <row r="608" spans="10:24">
      <c r="J608" s="20" t="e">
        <f>VLOOKUP(G608,MD!M$2:O$93,3,FALSE)</f>
        <v>#N/A</v>
      </c>
      <c r="K608" s="29"/>
      <c r="P608" s="22"/>
      <c r="X608" s="22"/>
    </row>
    <row r="609" spans="10:24">
      <c r="J609" s="20" t="e">
        <f>VLOOKUP(G609,MD!M$2:O$93,3,FALSE)</f>
        <v>#N/A</v>
      </c>
      <c r="K609" s="29"/>
      <c r="P609" s="22"/>
      <c r="X609" s="22"/>
    </row>
    <row r="610" spans="10:24">
      <c r="J610" s="20" t="e">
        <f>VLOOKUP(G610,MD!M$2:O$93,3,FALSE)</f>
        <v>#N/A</v>
      </c>
      <c r="K610" s="29"/>
      <c r="P610" s="22"/>
      <c r="X610" s="22"/>
    </row>
    <row r="611" spans="10:24">
      <c r="J611" s="20" t="e">
        <f>VLOOKUP(G611,MD!M$2:O$93,3,FALSE)</f>
        <v>#N/A</v>
      </c>
      <c r="K611" s="29"/>
      <c r="P611" s="22"/>
      <c r="X611" s="22"/>
    </row>
    <row r="612" spans="10:24">
      <c r="J612" s="20" t="e">
        <f>VLOOKUP(G612,MD!M$2:O$93,3,FALSE)</f>
        <v>#N/A</v>
      </c>
      <c r="K612" s="29"/>
      <c r="P612" s="22"/>
      <c r="X612" s="22"/>
    </row>
    <row r="613" spans="10:24">
      <c r="J613" s="20" t="e">
        <f>VLOOKUP(G613,MD!M$2:O$93,3,FALSE)</f>
        <v>#N/A</v>
      </c>
      <c r="K613" s="29"/>
      <c r="P613" s="22"/>
      <c r="X613" s="22"/>
    </row>
    <row r="614" spans="10:24">
      <c r="J614" s="20" t="e">
        <f>VLOOKUP(G614,MD!M$2:O$93,3,FALSE)</f>
        <v>#N/A</v>
      </c>
      <c r="K614" s="29"/>
      <c r="P614" s="22"/>
      <c r="X614" s="22"/>
    </row>
    <row r="615" spans="10:24">
      <c r="J615" s="20" t="e">
        <f>VLOOKUP(G615,MD!M$2:O$93,3,FALSE)</f>
        <v>#N/A</v>
      </c>
      <c r="K615" s="29"/>
      <c r="P615" s="22"/>
      <c r="X615" s="22"/>
    </row>
    <row r="616" spans="10:24">
      <c r="J616" s="20" t="e">
        <f>VLOOKUP(G616,MD!M$2:O$93,3,FALSE)</f>
        <v>#N/A</v>
      </c>
      <c r="K616" s="29"/>
      <c r="P616" s="22"/>
      <c r="X616" s="22"/>
    </row>
    <row r="617" spans="10:24">
      <c r="J617" s="20" t="e">
        <f>VLOOKUP(G617,MD!M$2:O$93,3,FALSE)</f>
        <v>#N/A</v>
      </c>
      <c r="K617" s="29"/>
      <c r="P617" s="22"/>
      <c r="X617" s="22"/>
    </row>
    <row r="618" spans="10:24">
      <c r="J618" s="20" t="e">
        <f>VLOOKUP(G618,MD!M$2:O$93,3,FALSE)</f>
        <v>#N/A</v>
      </c>
      <c r="K618" s="29"/>
      <c r="P618" s="22"/>
      <c r="X618" s="22"/>
    </row>
    <row r="619" spans="10:24">
      <c r="J619" s="20" t="e">
        <f>VLOOKUP(G619,MD!M$2:O$93,3,FALSE)</f>
        <v>#N/A</v>
      </c>
      <c r="K619" s="29"/>
      <c r="P619" s="22"/>
      <c r="X619" s="22"/>
    </row>
    <row r="620" spans="10:24">
      <c r="J620" s="20" t="e">
        <f>VLOOKUP(G620,MD!M$2:O$93,3,FALSE)</f>
        <v>#N/A</v>
      </c>
      <c r="K620" s="29"/>
      <c r="P620" s="22"/>
      <c r="X620" s="22"/>
    </row>
    <row r="621" spans="10:24">
      <c r="J621" s="20" t="e">
        <f>VLOOKUP(G621,MD!M$2:O$93,3,FALSE)</f>
        <v>#N/A</v>
      </c>
      <c r="K621" s="29"/>
      <c r="P621" s="22"/>
      <c r="X621" s="22"/>
    </row>
    <row r="622" spans="10:24">
      <c r="J622" s="20" t="e">
        <f>VLOOKUP(G622,MD!M$2:O$93,3,FALSE)</f>
        <v>#N/A</v>
      </c>
      <c r="K622" s="29"/>
      <c r="P622" s="22"/>
      <c r="X622" s="22"/>
    </row>
    <row r="623" spans="10:24">
      <c r="J623" s="20" t="e">
        <f>VLOOKUP(G623,MD!M$2:O$93,3,FALSE)</f>
        <v>#N/A</v>
      </c>
      <c r="K623" s="29"/>
      <c r="P623" s="22"/>
      <c r="X623" s="22"/>
    </row>
    <row r="624" spans="10:24">
      <c r="J624" s="20" t="e">
        <f>VLOOKUP(G624,MD!M$2:O$93,3,FALSE)</f>
        <v>#N/A</v>
      </c>
      <c r="K624" s="29"/>
      <c r="P624" s="22"/>
      <c r="X624" s="22"/>
    </row>
    <row r="625" spans="10:24">
      <c r="J625" s="20" t="e">
        <f>VLOOKUP(G625,MD!M$2:O$93,3,FALSE)</f>
        <v>#N/A</v>
      </c>
      <c r="K625" s="29"/>
      <c r="P625" s="22"/>
      <c r="X625" s="22"/>
    </row>
    <row r="626" spans="10:24">
      <c r="J626" s="20" t="e">
        <f>VLOOKUP(G626,MD!M$2:O$93,3,FALSE)</f>
        <v>#N/A</v>
      </c>
      <c r="K626" s="29"/>
      <c r="P626" s="22"/>
      <c r="X626" s="22"/>
    </row>
    <row r="627" spans="10:24">
      <c r="J627" s="20" t="e">
        <f>VLOOKUP(G627,MD!M$2:O$93,3,FALSE)</f>
        <v>#N/A</v>
      </c>
      <c r="K627" s="29"/>
      <c r="P627" s="22"/>
      <c r="X627" s="22"/>
    </row>
    <row r="628" spans="10:24">
      <c r="J628" s="20" t="e">
        <f>VLOOKUP(G628,MD!M$2:O$93,3,FALSE)</f>
        <v>#N/A</v>
      </c>
      <c r="K628" s="29"/>
      <c r="P628" s="22"/>
      <c r="X628" s="22"/>
    </row>
    <row r="629" spans="10:24">
      <c r="J629" s="20" t="e">
        <f>VLOOKUP(G629,MD!M$2:O$93,3,FALSE)</f>
        <v>#N/A</v>
      </c>
      <c r="K629" s="29"/>
      <c r="P629" s="22"/>
      <c r="X629" s="22"/>
    </row>
    <row r="630" spans="10:24">
      <c r="J630" s="20" t="e">
        <f>VLOOKUP(G630,MD!M$2:O$93,3,FALSE)</f>
        <v>#N/A</v>
      </c>
      <c r="K630" s="29"/>
      <c r="P630" s="22"/>
      <c r="X630" s="22"/>
    </row>
    <row r="631" spans="10:24">
      <c r="J631" s="20" t="e">
        <f>VLOOKUP(G631,MD!M$2:O$93,3,FALSE)</f>
        <v>#N/A</v>
      </c>
      <c r="K631" s="29"/>
      <c r="P631" s="22"/>
      <c r="X631" s="22"/>
    </row>
    <row r="632" spans="10:24">
      <c r="J632" s="20" t="e">
        <f>VLOOKUP(G632,MD!M$2:O$93,3,FALSE)</f>
        <v>#N/A</v>
      </c>
      <c r="K632" s="29"/>
      <c r="P632" s="22"/>
      <c r="X632" s="22"/>
    </row>
    <row r="633" spans="10:24">
      <c r="J633" s="20" t="e">
        <f>VLOOKUP(G633,MD!M$2:O$93,3,FALSE)</f>
        <v>#N/A</v>
      </c>
      <c r="K633" s="29"/>
      <c r="P633" s="22"/>
      <c r="X633" s="22"/>
    </row>
    <row r="634" spans="10:24">
      <c r="J634" s="20" t="e">
        <f>VLOOKUP(G634,MD!M$2:O$93,3,FALSE)</f>
        <v>#N/A</v>
      </c>
      <c r="K634" s="29"/>
      <c r="P634" s="22"/>
      <c r="X634" s="22"/>
    </row>
    <row r="635" spans="10:24">
      <c r="J635" s="20" t="e">
        <f>VLOOKUP(G635,MD!M$2:O$93,3,FALSE)</f>
        <v>#N/A</v>
      </c>
      <c r="K635" s="29"/>
      <c r="P635" s="22"/>
      <c r="X635" s="22"/>
    </row>
    <row r="636" spans="10:24">
      <c r="J636" s="20" t="e">
        <f>VLOOKUP(G636,MD!M$2:O$93,3,FALSE)</f>
        <v>#N/A</v>
      </c>
      <c r="K636" s="29"/>
      <c r="P636" s="22"/>
      <c r="X636" s="22"/>
    </row>
    <row r="637" spans="10:24">
      <c r="J637" s="20" t="e">
        <f>VLOOKUP(G637,MD!M$2:O$93,3,FALSE)</f>
        <v>#N/A</v>
      </c>
      <c r="K637" s="29"/>
      <c r="P637" s="22"/>
      <c r="X637" s="22"/>
    </row>
    <row r="638" spans="10:24">
      <c r="J638" s="20" t="e">
        <f>VLOOKUP(G638,MD!M$2:O$93,3,FALSE)</f>
        <v>#N/A</v>
      </c>
      <c r="K638" s="29"/>
      <c r="P638" s="22"/>
      <c r="X638" s="22"/>
    </row>
    <row r="639" spans="10:24">
      <c r="J639" s="20" t="e">
        <f>VLOOKUP(G639,MD!M$2:O$93,3,FALSE)</f>
        <v>#N/A</v>
      </c>
      <c r="K639" s="29"/>
      <c r="P639" s="22"/>
      <c r="X639" s="22"/>
    </row>
    <row r="640" spans="10:24">
      <c r="J640" s="20" t="e">
        <f>VLOOKUP(G640,MD!M$2:O$93,3,FALSE)</f>
        <v>#N/A</v>
      </c>
      <c r="K640" s="29"/>
      <c r="P640" s="22"/>
      <c r="X640" s="22"/>
    </row>
    <row r="641" spans="10:24">
      <c r="J641" s="20" t="e">
        <f>VLOOKUP(G641,MD!M$2:O$93,3,FALSE)</f>
        <v>#N/A</v>
      </c>
      <c r="K641" s="29"/>
      <c r="P641" s="22"/>
      <c r="X641" s="22"/>
    </row>
    <row r="642" spans="10:24">
      <c r="J642" s="20" t="e">
        <f>VLOOKUP(G642,MD!M$2:O$93,3,FALSE)</f>
        <v>#N/A</v>
      </c>
      <c r="K642" s="29"/>
      <c r="P642" s="22"/>
      <c r="X642" s="22"/>
    </row>
    <row r="643" spans="10:24">
      <c r="J643" s="20" t="e">
        <f>VLOOKUP(G643,MD!M$2:O$93,3,FALSE)</f>
        <v>#N/A</v>
      </c>
      <c r="K643" s="29"/>
      <c r="P643" s="22"/>
      <c r="X643" s="22"/>
    </row>
    <row r="644" spans="10:24">
      <c r="J644" s="20" t="e">
        <f>VLOOKUP(G644,MD!M$2:O$93,3,FALSE)</f>
        <v>#N/A</v>
      </c>
      <c r="K644" s="29"/>
      <c r="P644" s="22"/>
      <c r="X644" s="22"/>
    </row>
    <row r="645" spans="10:24">
      <c r="J645" s="20" t="e">
        <f>VLOOKUP(G645,MD!M$2:O$93,3,FALSE)</f>
        <v>#N/A</v>
      </c>
      <c r="K645" s="29"/>
      <c r="P645" s="22"/>
      <c r="X645" s="22"/>
    </row>
    <row r="646" spans="10:24">
      <c r="J646" s="20" t="e">
        <f>VLOOKUP(G646,MD!M$2:O$93,3,FALSE)</f>
        <v>#N/A</v>
      </c>
      <c r="K646" s="29"/>
      <c r="P646" s="22"/>
      <c r="X646" s="22"/>
    </row>
    <row r="647" spans="10:24">
      <c r="J647" s="20" t="e">
        <f>VLOOKUP(G647,MD!M$2:O$93,3,FALSE)</f>
        <v>#N/A</v>
      </c>
      <c r="K647" s="29"/>
      <c r="P647" s="22"/>
      <c r="X647" s="22"/>
    </row>
    <row r="648" spans="10:24">
      <c r="J648" s="20" t="e">
        <f>VLOOKUP(G648,MD!M$2:O$93,3,FALSE)</f>
        <v>#N/A</v>
      </c>
      <c r="K648" s="29"/>
      <c r="P648" s="22"/>
      <c r="X648" s="22"/>
    </row>
    <row r="649" spans="10:24">
      <c r="J649" s="20" t="e">
        <f>VLOOKUP(G649,MD!M$2:O$93,3,FALSE)</f>
        <v>#N/A</v>
      </c>
      <c r="K649" s="29"/>
      <c r="P649" s="22"/>
      <c r="X649" s="22"/>
    </row>
    <row r="650" spans="10:24">
      <c r="J650" s="20" t="e">
        <f>VLOOKUP(G650,MD!M$2:O$93,3,FALSE)</f>
        <v>#N/A</v>
      </c>
      <c r="K650" s="29"/>
      <c r="P650" s="22"/>
      <c r="X650" s="22"/>
    </row>
    <row r="651" spans="10:24">
      <c r="J651" s="20" t="e">
        <f>VLOOKUP(G651,MD!M$2:O$93,3,FALSE)</f>
        <v>#N/A</v>
      </c>
      <c r="K651" s="29"/>
      <c r="P651" s="22"/>
      <c r="X651" s="22"/>
    </row>
    <row r="652" spans="10:24">
      <c r="J652" s="20" t="e">
        <f>VLOOKUP(G652,MD!M$2:O$93,3,FALSE)</f>
        <v>#N/A</v>
      </c>
      <c r="K652" s="29"/>
      <c r="P652" s="22"/>
      <c r="X652" s="22"/>
    </row>
    <row r="653" spans="10:24">
      <c r="J653" s="20" t="e">
        <f>VLOOKUP(G653,MD!M$2:O$93,3,FALSE)</f>
        <v>#N/A</v>
      </c>
      <c r="K653" s="29"/>
      <c r="P653" s="22"/>
      <c r="X653" s="22"/>
    </row>
    <row r="654" spans="10:24">
      <c r="J654" s="20" t="e">
        <f>VLOOKUP(G654,MD!M$2:O$93,3,FALSE)</f>
        <v>#N/A</v>
      </c>
      <c r="K654" s="29"/>
      <c r="P654" s="22"/>
      <c r="X654" s="22"/>
    </row>
    <row r="655" spans="10:24">
      <c r="J655" s="20" t="e">
        <f>VLOOKUP(G655,MD!M$2:O$93,3,FALSE)</f>
        <v>#N/A</v>
      </c>
      <c r="K655" s="29"/>
      <c r="P655" s="22"/>
      <c r="X655" s="22"/>
    </row>
    <row r="656" spans="10:24">
      <c r="J656" s="20" t="e">
        <f>VLOOKUP(G656,MD!M$2:O$93,3,FALSE)</f>
        <v>#N/A</v>
      </c>
      <c r="K656" s="29"/>
      <c r="P656" s="22"/>
      <c r="X656" s="22"/>
    </row>
    <row r="657" spans="10:24">
      <c r="J657" s="20" t="e">
        <f>VLOOKUP(G657,MD!M$2:O$93,3,FALSE)</f>
        <v>#N/A</v>
      </c>
      <c r="K657" s="29"/>
      <c r="P657" s="22"/>
      <c r="X657" s="22"/>
    </row>
    <row r="658" spans="10:24">
      <c r="J658" s="20" t="e">
        <f>VLOOKUP(G658,MD!M$2:O$93,3,FALSE)</f>
        <v>#N/A</v>
      </c>
      <c r="K658" s="29"/>
      <c r="P658" s="22"/>
      <c r="X658" s="22"/>
    </row>
    <row r="659" spans="10:24">
      <c r="J659" s="20" t="e">
        <f>VLOOKUP(G659,MD!M$2:O$93,3,FALSE)</f>
        <v>#N/A</v>
      </c>
      <c r="K659" s="29"/>
      <c r="P659" s="22"/>
      <c r="X659" s="22"/>
    </row>
    <row r="660" spans="10:24">
      <c r="J660" s="20" t="e">
        <f>VLOOKUP(G660,MD!M$2:O$93,3,FALSE)</f>
        <v>#N/A</v>
      </c>
      <c r="K660" s="29"/>
      <c r="P660" s="22"/>
      <c r="X660" s="22"/>
    </row>
    <row r="661" spans="10:24">
      <c r="J661" s="20" t="e">
        <f>VLOOKUP(G661,MD!M$2:O$93,3,FALSE)</f>
        <v>#N/A</v>
      </c>
      <c r="K661" s="29"/>
      <c r="P661" s="22"/>
      <c r="X661" s="22"/>
    </row>
    <row r="662" spans="10:24">
      <c r="J662" s="20" t="e">
        <f>VLOOKUP(G662,MD!M$2:O$93,3,FALSE)</f>
        <v>#N/A</v>
      </c>
      <c r="K662" s="29"/>
      <c r="P662" s="22"/>
      <c r="X662" s="22"/>
    </row>
    <row r="663" spans="10:24">
      <c r="J663" s="20" t="e">
        <f>VLOOKUP(G663,MD!M$2:O$93,3,FALSE)</f>
        <v>#N/A</v>
      </c>
      <c r="K663" s="29"/>
      <c r="P663" s="22"/>
      <c r="X663" s="22"/>
    </row>
    <row r="664" spans="10:24">
      <c r="J664" s="20" t="e">
        <f>VLOOKUP(G664,MD!M$2:O$93,3,FALSE)</f>
        <v>#N/A</v>
      </c>
      <c r="K664" s="29"/>
      <c r="P664" s="22"/>
      <c r="X664" s="22"/>
    </row>
    <row r="665" spans="10:24">
      <c r="J665" s="20" t="e">
        <f>VLOOKUP(G665,MD!M$2:O$93,3,FALSE)</f>
        <v>#N/A</v>
      </c>
      <c r="K665" s="29"/>
      <c r="P665" s="22"/>
      <c r="X665" s="22"/>
    </row>
    <row r="666" spans="10:24">
      <c r="J666" s="20" t="e">
        <f>VLOOKUP(G666,MD!M$2:O$93,3,FALSE)</f>
        <v>#N/A</v>
      </c>
      <c r="K666" s="29"/>
      <c r="P666" s="22"/>
      <c r="X666" s="22"/>
    </row>
    <row r="667" spans="10:24">
      <c r="J667" s="20" t="e">
        <f>VLOOKUP(G667,MD!M$2:O$93,3,FALSE)</f>
        <v>#N/A</v>
      </c>
      <c r="K667" s="29"/>
      <c r="P667" s="22"/>
      <c r="X667" s="22"/>
    </row>
    <row r="668" spans="10:24">
      <c r="J668" s="20" t="e">
        <f>VLOOKUP(G668,MD!M$2:O$93,3,FALSE)</f>
        <v>#N/A</v>
      </c>
      <c r="K668" s="29"/>
      <c r="P668" s="22"/>
      <c r="X668" s="22"/>
    </row>
    <row r="669" spans="10:24">
      <c r="J669" s="20" t="e">
        <f>VLOOKUP(G669,MD!M$2:O$93,3,FALSE)</f>
        <v>#N/A</v>
      </c>
      <c r="K669" s="29"/>
      <c r="P669" s="22"/>
      <c r="X669" s="22"/>
    </row>
    <row r="670" spans="10:24">
      <c r="J670" s="20" t="e">
        <f>VLOOKUP(G670,MD!M$2:O$93,3,FALSE)</f>
        <v>#N/A</v>
      </c>
      <c r="K670" s="29"/>
      <c r="P670" s="22"/>
      <c r="X670" s="22"/>
    </row>
    <row r="671" spans="10:24">
      <c r="J671" s="20" t="e">
        <f>VLOOKUP(G671,MD!M$2:O$93,3,FALSE)</f>
        <v>#N/A</v>
      </c>
      <c r="K671" s="29"/>
      <c r="P671" s="22"/>
      <c r="X671" s="22"/>
    </row>
    <row r="672" spans="10:24">
      <c r="J672" s="20" t="e">
        <f>VLOOKUP(G672,MD!M$2:O$93,3,FALSE)</f>
        <v>#N/A</v>
      </c>
      <c r="K672" s="29"/>
      <c r="P672" s="22"/>
      <c r="X672" s="22"/>
    </row>
    <row r="673" spans="10:24">
      <c r="J673" s="20" t="e">
        <f>VLOOKUP(G673,MD!M$2:O$93,3,FALSE)</f>
        <v>#N/A</v>
      </c>
      <c r="K673" s="29"/>
      <c r="P673" s="22"/>
      <c r="X673" s="22"/>
    </row>
    <row r="674" spans="10:24">
      <c r="J674" s="20" t="e">
        <f>VLOOKUP(G674,MD!M$2:O$93,3,FALSE)</f>
        <v>#N/A</v>
      </c>
      <c r="K674" s="29"/>
      <c r="P674" s="22"/>
      <c r="X674" s="22"/>
    </row>
    <row r="675" spans="10:24">
      <c r="J675" s="20" t="e">
        <f>VLOOKUP(G675,MD!M$2:O$93,3,FALSE)</f>
        <v>#N/A</v>
      </c>
      <c r="K675" s="29"/>
      <c r="P675" s="22"/>
      <c r="X675" s="22"/>
    </row>
    <row r="676" spans="10:24">
      <c r="J676" s="20" t="e">
        <f>VLOOKUP(G676,MD!M$2:O$93,3,FALSE)</f>
        <v>#N/A</v>
      </c>
      <c r="K676" s="29"/>
      <c r="P676" s="22"/>
      <c r="X676" s="22"/>
    </row>
    <row r="677" spans="10:24">
      <c r="J677" s="20" t="e">
        <f>VLOOKUP(G677,MD!M$2:O$93,3,FALSE)</f>
        <v>#N/A</v>
      </c>
      <c r="K677" s="29"/>
      <c r="P677" s="22"/>
      <c r="X677" s="22"/>
    </row>
    <row r="678" spans="10:24">
      <c r="J678" s="20" t="e">
        <f>VLOOKUP(G678,MD!M$2:O$93,3,FALSE)</f>
        <v>#N/A</v>
      </c>
      <c r="K678" s="29"/>
      <c r="P678" s="22"/>
      <c r="X678" s="22"/>
    </row>
    <row r="679" spans="10:24">
      <c r="J679" s="20" t="e">
        <f>VLOOKUP(G679,MD!M$2:O$93,3,FALSE)</f>
        <v>#N/A</v>
      </c>
      <c r="K679" s="29"/>
      <c r="P679" s="22"/>
      <c r="X679" s="22"/>
    </row>
    <row r="680" spans="10:24">
      <c r="J680" s="20" t="e">
        <f>VLOOKUP(G680,MD!M$2:O$93,3,FALSE)</f>
        <v>#N/A</v>
      </c>
      <c r="K680" s="29"/>
      <c r="P680" s="22"/>
      <c r="X680" s="22"/>
    </row>
    <row r="681" spans="10:24">
      <c r="J681" s="20" t="e">
        <f>VLOOKUP(G681,MD!M$2:O$93,3,FALSE)</f>
        <v>#N/A</v>
      </c>
      <c r="K681" s="29"/>
      <c r="P681" s="22"/>
      <c r="X681" s="22"/>
    </row>
    <row r="682" spans="10:24">
      <c r="J682" s="20" t="e">
        <f>VLOOKUP(G682,MD!M$2:O$93,3,FALSE)</f>
        <v>#N/A</v>
      </c>
      <c r="K682" s="29"/>
      <c r="P682" s="22"/>
      <c r="X682" s="22"/>
    </row>
    <row r="683" spans="10:24">
      <c r="J683" s="20" t="e">
        <f>VLOOKUP(G683,MD!M$2:O$93,3,FALSE)</f>
        <v>#N/A</v>
      </c>
      <c r="K683" s="29"/>
      <c r="P683" s="22"/>
      <c r="X683" s="22"/>
    </row>
    <row r="684" spans="10:24">
      <c r="J684" s="20" t="e">
        <f>VLOOKUP(G684,MD!M$2:O$93,3,FALSE)</f>
        <v>#N/A</v>
      </c>
      <c r="K684" s="29"/>
      <c r="P684" s="22"/>
      <c r="X684" s="22"/>
    </row>
    <row r="685" spans="10:24">
      <c r="J685" s="20" t="e">
        <f>VLOOKUP(G685,MD!M$2:O$93,3,FALSE)</f>
        <v>#N/A</v>
      </c>
      <c r="K685" s="29"/>
      <c r="P685" s="22"/>
      <c r="X685" s="22"/>
    </row>
    <row r="686" spans="10:24">
      <c r="J686" s="20" t="e">
        <f>VLOOKUP(G686,MD!M$2:O$93,3,FALSE)</f>
        <v>#N/A</v>
      </c>
      <c r="K686" s="29"/>
      <c r="P686" s="22"/>
      <c r="X686" s="22"/>
    </row>
    <row r="687" spans="10:24">
      <c r="J687" s="20" t="e">
        <f>VLOOKUP(G687,MD!M$2:O$93,3,FALSE)</f>
        <v>#N/A</v>
      </c>
      <c r="K687" s="29"/>
      <c r="P687" s="22"/>
      <c r="X687" s="22"/>
    </row>
    <row r="688" spans="10:24">
      <c r="J688" s="20" t="e">
        <f>VLOOKUP(G688,MD!M$2:O$93,3,FALSE)</f>
        <v>#N/A</v>
      </c>
      <c r="K688" s="29"/>
      <c r="P688" s="22"/>
      <c r="X688" s="22"/>
    </row>
    <row r="689" spans="10:24">
      <c r="J689" s="20" t="e">
        <f>VLOOKUP(G689,MD!M$2:O$93,3,FALSE)</f>
        <v>#N/A</v>
      </c>
      <c r="K689" s="29"/>
      <c r="P689" s="22"/>
      <c r="X689" s="22"/>
    </row>
    <row r="690" spans="10:24">
      <c r="J690" s="20" t="e">
        <f>VLOOKUP(G690,MD!M$2:O$93,3,FALSE)</f>
        <v>#N/A</v>
      </c>
      <c r="K690" s="29"/>
      <c r="P690" s="22"/>
      <c r="X690" s="22"/>
    </row>
    <row r="691" spans="10:24">
      <c r="J691" s="20" t="e">
        <f>VLOOKUP(G691,MD!M$2:O$93,3,FALSE)</f>
        <v>#N/A</v>
      </c>
      <c r="K691" s="29"/>
      <c r="P691" s="22"/>
      <c r="X691" s="22"/>
    </row>
    <row r="692" spans="10:24">
      <c r="J692" s="20" t="e">
        <f>VLOOKUP(G692,MD!M$2:O$93,3,FALSE)</f>
        <v>#N/A</v>
      </c>
      <c r="K692" s="29"/>
      <c r="P692" s="22"/>
      <c r="X692" s="22"/>
    </row>
    <row r="693" spans="10:24">
      <c r="J693" s="20" t="e">
        <f>VLOOKUP(G693,MD!M$2:O$93,3,FALSE)</f>
        <v>#N/A</v>
      </c>
      <c r="K693" s="29"/>
      <c r="P693" s="22"/>
      <c r="X693" s="22"/>
    </row>
    <row r="694" spans="10:24">
      <c r="J694" s="20" t="e">
        <f>VLOOKUP(G694,MD!M$2:O$93,3,FALSE)</f>
        <v>#N/A</v>
      </c>
      <c r="K694" s="29"/>
      <c r="P694" s="22"/>
      <c r="X694" s="22"/>
    </row>
    <row r="695" spans="10:24">
      <c r="J695" s="20" t="e">
        <f>VLOOKUP(G695,MD!M$2:O$93,3,FALSE)</f>
        <v>#N/A</v>
      </c>
      <c r="K695" s="29"/>
      <c r="P695" s="22"/>
      <c r="X695" s="22"/>
    </row>
    <row r="696" spans="10:24">
      <c r="J696" s="20" t="e">
        <f>VLOOKUP(G696,MD!M$2:O$93,3,FALSE)</f>
        <v>#N/A</v>
      </c>
      <c r="K696" s="29"/>
      <c r="P696" s="22"/>
      <c r="X696" s="22"/>
    </row>
    <row r="697" spans="10:24">
      <c r="J697" s="20" t="e">
        <f>VLOOKUP(G697,MD!M$2:O$93,3,FALSE)</f>
        <v>#N/A</v>
      </c>
      <c r="K697" s="29"/>
      <c r="P697" s="22"/>
      <c r="X697" s="22"/>
    </row>
    <row r="698" spans="10:24">
      <c r="J698" s="20" t="e">
        <f>VLOOKUP(G698,MD!M$2:O$93,3,FALSE)</f>
        <v>#N/A</v>
      </c>
      <c r="K698" s="29"/>
      <c r="P698" s="22"/>
      <c r="X698" s="22"/>
    </row>
    <row r="699" spans="10:24">
      <c r="J699" s="20" t="e">
        <f>VLOOKUP(G699,MD!M$2:O$93,3,FALSE)</f>
        <v>#N/A</v>
      </c>
      <c r="K699" s="29"/>
      <c r="P699" s="22"/>
      <c r="X699" s="22"/>
    </row>
    <row r="700" spans="10:24">
      <c r="J700" s="20" t="e">
        <f>VLOOKUP(G700,MD!M$2:O$93,3,FALSE)</f>
        <v>#N/A</v>
      </c>
      <c r="K700" s="29"/>
      <c r="P700" s="22"/>
      <c r="X700" s="22"/>
    </row>
    <row r="701" spans="10:24">
      <c r="J701" s="20" t="e">
        <f>VLOOKUP(G701,MD!M$2:O$93,3,FALSE)</f>
        <v>#N/A</v>
      </c>
      <c r="K701" s="29"/>
      <c r="P701" s="22"/>
      <c r="X701" s="22"/>
    </row>
    <row r="702" spans="10:24">
      <c r="J702" s="20" t="e">
        <f>VLOOKUP(G702,MD!M$2:O$93,3,FALSE)</f>
        <v>#N/A</v>
      </c>
      <c r="K702" s="29"/>
      <c r="P702" s="22"/>
      <c r="X702" s="22"/>
    </row>
    <row r="703" spans="10:24">
      <c r="J703" s="20" t="e">
        <f>VLOOKUP(G703,MD!M$2:O$93,3,FALSE)</f>
        <v>#N/A</v>
      </c>
      <c r="K703" s="29"/>
      <c r="P703" s="22"/>
      <c r="X703" s="22"/>
    </row>
    <row r="704" spans="10:24">
      <c r="J704" s="20" t="e">
        <f>VLOOKUP(G704,MD!M$2:O$93,3,FALSE)</f>
        <v>#N/A</v>
      </c>
      <c r="K704" s="29"/>
      <c r="P704" s="22"/>
      <c r="X704" s="22"/>
    </row>
    <row r="705" spans="10:24">
      <c r="J705" s="20" t="e">
        <f>VLOOKUP(G705,MD!M$2:O$93,3,FALSE)</f>
        <v>#N/A</v>
      </c>
      <c r="K705" s="29"/>
      <c r="P705" s="22"/>
      <c r="X705" s="22"/>
    </row>
    <row r="706" spans="10:24">
      <c r="J706" s="20" t="e">
        <f>VLOOKUP(G706,MD!M$2:O$93,3,FALSE)</f>
        <v>#N/A</v>
      </c>
      <c r="K706" s="29"/>
      <c r="P706" s="22"/>
      <c r="X706" s="22"/>
    </row>
    <row r="707" spans="10:24">
      <c r="J707" s="20" t="e">
        <f>VLOOKUP(G707,MD!M$2:O$93,3,FALSE)</f>
        <v>#N/A</v>
      </c>
      <c r="K707" s="29"/>
      <c r="P707" s="22"/>
      <c r="X707" s="22"/>
    </row>
    <row r="708" spans="10:24">
      <c r="J708" s="20" t="e">
        <f>VLOOKUP(G708,MD!M$2:O$93,3,FALSE)</f>
        <v>#N/A</v>
      </c>
      <c r="K708" s="29"/>
      <c r="P708" s="22"/>
      <c r="X708" s="22"/>
    </row>
    <row r="709" spans="10:24">
      <c r="J709" s="20" t="e">
        <f>VLOOKUP(G709,MD!M$2:O$93,3,FALSE)</f>
        <v>#N/A</v>
      </c>
      <c r="K709" s="29"/>
      <c r="P709" s="22"/>
      <c r="X709" s="22"/>
    </row>
    <row r="710" spans="10:24">
      <c r="J710" s="20" t="e">
        <f>VLOOKUP(G710,MD!M$2:O$93,3,FALSE)</f>
        <v>#N/A</v>
      </c>
      <c r="K710" s="29"/>
      <c r="P710" s="22"/>
      <c r="X710" s="22"/>
    </row>
    <row r="711" spans="10:24">
      <c r="J711" s="20" t="e">
        <f>VLOOKUP(G711,MD!M$2:O$93,3,FALSE)</f>
        <v>#N/A</v>
      </c>
      <c r="K711" s="29"/>
      <c r="P711" s="22"/>
      <c r="X711" s="22"/>
    </row>
    <row r="712" spans="10:24">
      <c r="J712" s="20" t="e">
        <f>VLOOKUP(G712,MD!M$2:O$93,3,FALSE)</f>
        <v>#N/A</v>
      </c>
      <c r="K712" s="29"/>
      <c r="P712" s="22"/>
      <c r="X712" s="22"/>
    </row>
    <row r="713" spans="10:24">
      <c r="J713" s="20" t="e">
        <f>VLOOKUP(G713,MD!M$2:O$93,3,FALSE)</f>
        <v>#N/A</v>
      </c>
      <c r="K713" s="29"/>
      <c r="P713" s="22"/>
      <c r="X713" s="22"/>
    </row>
    <row r="714" spans="10:24">
      <c r="J714" s="20" t="e">
        <f>VLOOKUP(G714,MD!M$2:O$93,3,FALSE)</f>
        <v>#N/A</v>
      </c>
      <c r="K714" s="29"/>
      <c r="P714" s="22"/>
      <c r="X714" s="22"/>
    </row>
    <row r="715" spans="10:24">
      <c r="J715" s="20" t="e">
        <f>VLOOKUP(G715,MD!M$2:O$93,3,FALSE)</f>
        <v>#N/A</v>
      </c>
      <c r="K715" s="29"/>
      <c r="P715" s="22"/>
      <c r="X715" s="22"/>
    </row>
    <row r="716" spans="10:24">
      <c r="J716" s="20" t="e">
        <f>VLOOKUP(G716,MD!M$2:O$93,3,FALSE)</f>
        <v>#N/A</v>
      </c>
      <c r="K716" s="29"/>
      <c r="P716" s="22"/>
      <c r="X716" s="22"/>
    </row>
    <row r="717" spans="10:24">
      <c r="J717" s="20" t="e">
        <f>VLOOKUP(G717,MD!M$2:O$93,3,FALSE)</f>
        <v>#N/A</v>
      </c>
      <c r="K717" s="29"/>
      <c r="P717" s="22"/>
      <c r="X717" s="22"/>
    </row>
    <row r="718" spans="10:24">
      <c r="J718" s="20" t="e">
        <f>VLOOKUP(G718,MD!M$2:O$93,3,FALSE)</f>
        <v>#N/A</v>
      </c>
      <c r="K718" s="29"/>
      <c r="P718" s="22"/>
      <c r="X718" s="22"/>
    </row>
    <row r="719" spans="10:24">
      <c r="J719" s="20" t="e">
        <f>VLOOKUP(G719,MD!M$2:O$93,3,FALSE)</f>
        <v>#N/A</v>
      </c>
      <c r="K719" s="29"/>
      <c r="P719" s="22"/>
      <c r="X719" s="22"/>
    </row>
    <row r="720" spans="10:24">
      <c r="J720" s="20" t="e">
        <f>VLOOKUP(G720,MD!M$2:O$93,3,FALSE)</f>
        <v>#N/A</v>
      </c>
      <c r="K720" s="29"/>
      <c r="P720" s="22"/>
      <c r="X720" s="22"/>
    </row>
    <row r="721" spans="10:24">
      <c r="J721" s="20" t="e">
        <f>VLOOKUP(G721,MD!M$2:O$93,3,FALSE)</f>
        <v>#N/A</v>
      </c>
      <c r="K721" s="29"/>
      <c r="P721" s="22"/>
      <c r="X721" s="22"/>
    </row>
    <row r="722" spans="10:24">
      <c r="J722" s="20" t="e">
        <f>VLOOKUP(G722,MD!M$2:O$93,3,FALSE)</f>
        <v>#N/A</v>
      </c>
      <c r="K722" s="29"/>
      <c r="P722" s="22"/>
      <c r="X722" s="22"/>
    </row>
    <row r="723" spans="10:24">
      <c r="J723" s="20" t="e">
        <f>VLOOKUP(G723,MD!M$2:O$93,3,FALSE)</f>
        <v>#N/A</v>
      </c>
      <c r="K723" s="29"/>
      <c r="P723" s="22"/>
      <c r="X723" s="22"/>
    </row>
    <row r="724" spans="10:24">
      <c r="J724" s="20" t="e">
        <f>VLOOKUP(G724,MD!M$2:O$93,3,FALSE)</f>
        <v>#N/A</v>
      </c>
      <c r="K724" s="29"/>
      <c r="P724" s="22"/>
      <c r="X724" s="22"/>
    </row>
    <row r="725" spans="10:24">
      <c r="J725" s="20" t="e">
        <f>VLOOKUP(G725,MD!M$2:O$93,3,FALSE)</f>
        <v>#N/A</v>
      </c>
      <c r="K725" s="29"/>
      <c r="P725" s="22"/>
      <c r="X725" s="22"/>
    </row>
    <row r="726" spans="10:24">
      <c r="J726" s="20" t="e">
        <f>VLOOKUP(G726,MD!M$2:O$93,3,FALSE)</f>
        <v>#N/A</v>
      </c>
      <c r="K726" s="29"/>
      <c r="P726" s="22"/>
      <c r="X726" s="22"/>
    </row>
    <row r="727" spans="10:24">
      <c r="J727" s="20" t="e">
        <f>VLOOKUP(G727,MD!M$2:O$93,3,FALSE)</f>
        <v>#N/A</v>
      </c>
      <c r="K727" s="29"/>
      <c r="P727" s="22"/>
      <c r="X727" s="22"/>
    </row>
    <row r="728" spans="10:24">
      <c r="J728" s="20" t="e">
        <f>VLOOKUP(G728,MD!M$2:O$93,3,FALSE)</f>
        <v>#N/A</v>
      </c>
      <c r="K728" s="29"/>
      <c r="P728" s="22"/>
      <c r="X728" s="22"/>
    </row>
    <row r="729" spans="10:24">
      <c r="J729" s="20" t="e">
        <f>VLOOKUP(G729,MD!M$2:O$93,3,FALSE)</f>
        <v>#N/A</v>
      </c>
      <c r="K729" s="29"/>
      <c r="P729" s="22"/>
      <c r="X729" s="22"/>
    </row>
    <row r="730" spans="10:24">
      <c r="J730" s="20" t="e">
        <f>VLOOKUP(G730,MD!M$2:O$93,3,FALSE)</f>
        <v>#N/A</v>
      </c>
      <c r="K730" s="29"/>
      <c r="P730" s="22"/>
      <c r="X730" s="22"/>
    </row>
    <row r="731" spans="10:24">
      <c r="J731" s="20" t="e">
        <f>VLOOKUP(G731,MD!M$2:O$93,3,FALSE)</f>
        <v>#N/A</v>
      </c>
      <c r="K731" s="29"/>
      <c r="P731" s="22"/>
      <c r="X731" s="22"/>
    </row>
    <row r="732" spans="10:24">
      <c r="J732" s="20" t="e">
        <f>VLOOKUP(G732,MD!M$2:O$93,3,FALSE)</f>
        <v>#N/A</v>
      </c>
      <c r="K732" s="29"/>
      <c r="P732" s="22"/>
      <c r="X732" s="22"/>
    </row>
    <row r="733" spans="10:24">
      <c r="J733" s="20" t="e">
        <f>VLOOKUP(G733,MD!M$2:O$93,3,FALSE)</f>
        <v>#N/A</v>
      </c>
      <c r="K733" s="29"/>
      <c r="P733" s="22"/>
      <c r="X733" s="22"/>
    </row>
    <row r="734" spans="10:24">
      <c r="J734" s="20" t="e">
        <f>VLOOKUP(G734,MD!M$2:O$93,3,FALSE)</f>
        <v>#N/A</v>
      </c>
      <c r="K734" s="29"/>
      <c r="P734" s="22"/>
      <c r="X734" s="22"/>
    </row>
    <row r="735" spans="10:24">
      <c r="J735" s="20" t="e">
        <f>VLOOKUP(G735,MD!M$2:O$93,3,FALSE)</f>
        <v>#N/A</v>
      </c>
      <c r="K735" s="29"/>
      <c r="P735" s="22"/>
      <c r="X735" s="22"/>
    </row>
    <row r="736" spans="10:24">
      <c r="J736" s="20" t="e">
        <f>VLOOKUP(G736,MD!M$2:O$93,3,FALSE)</f>
        <v>#N/A</v>
      </c>
      <c r="K736" s="29"/>
      <c r="P736" s="22"/>
      <c r="X736" s="22"/>
    </row>
    <row r="737" spans="10:24">
      <c r="J737" s="20" t="e">
        <f>VLOOKUP(G737,MD!M$2:O$93,3,FALSE)</f>
        <v>#N/A</v>
      </c>
      <c r="K737" s="29"/>
      <c r="P737" s="22"/>
      <c r="X737" s="22"/>
    </row>
    <row r="738" spans="10:24">
      <c r="J738" s="20" t="e">
        <f>VLOOKUP(G738,MD!M$2:O$93,3,FALSE)</f>
        <v>#N/A</v>
      </c>
      <c r="K738" s="29"/>
      <c r="P738" s="22"/>
      <c r="X738" s="22"/>
    </row>
    <row r="739" spans="10:24">
      <c r="J739" s="20" t="e">
        <f>VLOOKUP(G739,MD!M$2:O$93,3,FALSE)</f>
        <v>#N/A</v>
      </c>
      <c r="K739" s="29"/>
      <c r="P739" s="22"/>
      <c r="X739" s="22"/>
    </row>
    <row r="740" spans="10:24">
      <c r="J740" s="20" t="e">
        <f>VLOOKUP(G740,MD!M$2:O$93,3,FALSE)</f>
        <v>#N/A</v>
      </c>
      <c r="K740" s="29"/>
      <c r="P740" s="22"/>
      <c r="X740" s="22"/>
    </row>
    <row r="741" spans="10:24">
      <c r="J741" s="20" t="e">
        <f>VLOOKUP(G741,MD!M$2:O$93,3,FALSE)</f>
        <v>#N/A</v>
      </c>
      <c r="K741" s="29"/>
      <c r="P741" s="22"/>
      <c r="X741" s="22"/>
    </row>
    <row r="742" spans="10:24">
      <c r="J742" s="20" t="e">
        <f>VLOOKUP(G742,MD!M$2:O$93,3,FALSE)</f>
        <v>#N/A</v>
      </c>
      <c r="K742" s="29"/>
      <c r="P742" s="22"/>
      <c r="X742" s="22"/>
    </row>
    <row r="743" spans="10:24">
      <c r="J743" s="20" t="e">
        <f>VLOOKUP(G743,MD!M$2:O$93,3,FALSE)</f>
        <v>#N/A</v>
      </c>
      <c r="K743" s="29"/>
      <c r="P743" s="22"/>
      <c r="X743" s="22"/>
    </row>
    <row r="744" spans="10:24">
      <c r="J744" s="20" t="e">
        <f>VLOOKUP(G744,MD!M$2:O$93,3,FALSE)</f>
        <v>#N/A</v>
      </c>
      <c r="K744" s="29"/>
      <c r="P744" s="22"/>
      <c r="X744" s="22"/>
    </row>
    <row r="745" spans="10:24">
      <c r="J745" s="20" t="e">
        <f>VLOOKUP(G745,MD!M$2:O$93,3,FALSE)</f>
        <v>#N/A</v>
      </c>
      <c r="K745" s="29"/>
      <c r="P745" s="22"/>
      <c r="X745" s="22"/>
    </row>
    <row r="746" spans="10:24">
      <c r="J746" s="20" t="e">
        <f>VLOOKUP(G746,MD!M$2:O$93,3,FALSE)</f>
        <v>#N/A</v>
      </c>
      <c r="K746" s="29"/>
      <c r="P746" s="22"/>
      <c r="X746" s="22"/>
    </row>
    <row r="747" spans="10:24">
      <c r="J747" s="20" t="e">
        <f>VLOOKUP(G747,MD!M$2:O$93,3,FALSE)</f>
        <v>#N/A</v>
      </c>
      <c r="K747" s="29"/>
      <c r="P747" s="22"/>
      <c r="X747" s="22"/>
    </row>
    <row r="748" spans="10:24">
      <c r="J748" s="20" t="e">
        <f>VLOOKUP(G748,MD!M$2:O$93,3,FALSE)</f>
        <v>#N/A</v>
      </c>
      <c r="K748" s="29"/>
      <c r="P748" s="22"/>
      <c r="X748" s="22"/>
    </row>
    <row r="749" spans="10:24">
      <c r="J749" s="20" t="e">
        <f>VLOOKUP(G749,MD!M$2:O$93,3,FALSE)</f>
        <v>#N/A</v>
      </c>
      <c r="K749" s="29"/>
      <c r="P749" s="22"/>
      <c r="X749" s="22"/>
    </row>
    <row r="750" spans="10:24">
      <c r="J750" s="20" t="e">
        <f>VLOOKUP(G750,MD!M$2:O$93,3,FALSE)</f>
        <v>#N/A</v>
      </c>
      <c r="K750" s="29"/>
      <c r="P750" s="22"/>
      <c r="X750" s="22"/>
    </row>
    <row r="751" spans="10:24">
      <c r="J751" s="20" t="e">
        <f>VLOOKUP(G751,MD!M$2:O$93,3,FALSE)</f>
        <v>#N/A</v>
      </c>
      <c r="K751" s="29"/>
      <c r="P751" s="22"/>
      <c r="X751" s="22"/>
    </row>
    <row r="752" spans="10:24">
      <c r="J752" s="20" t="e">
        <f>VLOOKUP(G752,MD!M$2:O$93,3,FALSE)</f>
        <v>#N/A</v>
      </c>
      <c r="K752" s="29"/>
      <c r="P752" s="22"/>
      <c r="X752" s="22"/>
    </row>
    <row r="753" spans="10:24">
      <c r="J753" s="20" t="e">
        <f>VLOOKUP(G753,MD!M$2:O$93,3,FALSE)</f>
        <v>#N/A</v>
      </c>
      <c r="K753" s="29"/>
      <c r="P753" s="22"/>
      <c r="X753" s="22"/>
    </row>
    <row r="754" spans="10:24">
      <c r="J754" s="20" t="e">
        <f>VLOOKUP(G754,MD!M$2:O$93,3,FALSE)</f>
        <v>#N/A</v>
      </c>
      <c r="K754" s="29"/>
      <c r="P754" s="22"/>
      <c r="X754" s="22"/>
    </row>
    <row r="755" spans="10:24">
      <c r="J755" s="20" t="e">
        <f>VLOOKUP(G755,MD!M$2:O$93,3,FALSE)</f>
        <v>#N/A</v>
      </c>
      <c r="K755" s="29"/>
      <c r="P755" s="22"/>
      <c r="X755" s="22"/>
    </row>
    <row r="756" spans="10:24">
      <c r="J756" s="20" t="e">
        <f>VLOOKUP(G756,MD!M$2:O$93,3,FALSE)</f>
        <v>#N/A</v>
      </c>
      <c r="K756" s="29"/>
      <c r="P756" s="22"/>
      <c r="X756" s="22"/>
    </row>
    <row r="757" spans="10:24">
      <c r="J757" s="20" t="e">
        <f>VLOOKUP(G757,MD!M$2:O$93,3,FALSE)</f>
        <v>#N/A</v>
      </c>
      <c r="K757" s="29"/>
      <c r="P757" s="22"/>
      <c r="X757" s="22"/>
    </row>
    <row r="758" spans="10:24">
      <c r="J758" s="20" t="e">
        <f>VLOOKUP(G758,MD!M$2:O$93,3,FALSE)</f>
        <v>#N/A</v>
      </c>
      <c r="K758" s="29"/>
      <c r="P758" s="22"/>
      <c r="X758" s="22"/>
    </row>
    <row r="759" spans="10:24">
      <c r="J759" s="20" t="e">
        <f>VLOOKUP(G759,MD!M$2:O$93,3,FALSE)</f>
        <v>#N/A</v>
      </c>
      <c r="K759" s="29"/>
      <c r="P759" s="22"/>
      <c r="X759" s="22"/>
    </row>
    <row r="760" spans="10:24">
      <c r="J760" s="20" t="e">
        <f>VLOOKUP(G760,MD!M$2:O$93,3,FALSE)</f>
        <v>#N/A</v>
      </c>
      <c r="K760" s="29"/>
      <c r="P760" s="22"/>
      <c r="X760" s="22"/>
    </row>
    <row r="761" spans="10:24">
      <c r="J761" s="20" t="e">
        <f>VLOOKUP(G761,MD!M$2:O$93,3,FALSE)</f>
        <v>#N/A</v>
      </c>
      <c r="K761" s="29"/>
      <c r="P761" s="22"/>
      <c r="X761" s="22"/>
    </row>
    <row r="762" spans="10:24">
      <c r="J762" s="20" t="e">
        <f>VLOOKUP(G762,MD!M$2:O$93,3,FALSE)</f>
        <v>#N/A</v>
      </c>
      <c r="K762" s="29"/>
      <c r="P762" s="22"/>
      <c r="X762" s="22"/>
    </row>
    <row r="763" spans="10:24">
      <c r="J763" s="20" t="e">
        <f>VLOOKUP(G763,MD!M$2:O$93,3,FALSE)</f>
        <v>#N/A</v>
      </c>
      <c r="K763" s="29"/>
      <c r="P763" s="22"/>
      <c r="X763" s="22"/>
    </row>
    <row r="764" spans="10:24">
      <c r="J764" s="20" t="e">
        <f>VLOOKUP(G764,MD!M$2:O$93,3,FALSE)</f>
        <v>#N/A</v>
      </c>
      <c r="K764" s="29"/>
      <c r="P764" s="22"/>
      <c r="X764" s="22"/>
    </row>
    <row r="765" spans="10:24">
      <c r="J765" s="20" t="e">
        <f>VLOOKUP(G765,MD!M$2:O$93,3,FALSE)</f>
        <v>#N/A</v>
      </c>
      <c r="K765" s="29"/>
      <c r="P765" s="22"/>
      <c r="X765" s="22"/>
    </row>
    <row r="766" spans="10:24">
      <c r="J766" s="20" t="e">
        <f>VLOOKUP(G766,MD!M$2:O$93,3,FALSE)</f>
        <v>#N/A</v>
      </c>
      <c r="K766" s="29"/>
      <c r="P766" s="22"/>
      <c r="X766" s="22"/>
    </row>
    <row r="767" spans="10:24">
      <c r="J767" s="20" t="e">
        <f>VLOOKUP(G767,MD!M$2:O$93,3,FALSE)</f>
        <v>#N/A</v>
      </c>
      <c r="K767" s="29"/>
      <c r="P767" s="22"/>
      <c r="X767" s="22"/>
    </row>
    <row r="768" spans="10:24">
      <c r="J768" s="20" t="e">
        <f>VLOOKUP(G768,MD!M$2:O$93,3,FALSE)</f>
        <v>#N/A</v>
      </c>
      <c r="K768" s="29"/>
      <c r="P768" s="22"/>
      <c r="X768" s="22"/>
    </row>
    <row r="769" spans="10:24">
      <c r="J769" s="20" t="e">
        <f>VLOOKUP(G769,MD!M$2:O$93,3,FALSE)</f>
        <v>#N/A</v>
      </c>
      <c r="K769" s="29"/>
      <c r="P769" s="22"/>
      <c r="X769" s="22"/>
    </row>
    <row r="770" spans="10:24">
      <c r="J770" s="20" t="e">
        <f>VLOOKUP(G770,MD!M$2:O$93,3,FALSE)</f>
        <v>#N/A</v>
      </c>
      <c r="K770" s="29"/>
      <c r="P770" s="22"/>
      <c r="X770" s="22"/>
    </row>
    <row r="771" spans="10:24">
      <c r="J771" s="20" t="e">
        <f>VLOOKUP(G771,MD!M$2:O$93,3,FALSE)</f>
        <v>#N/A</v>
      </c>
      <c r="K771" s="29"/>
      <c r="P771" s="22"/>
      <c r="X771" s="22"/>
    </row>
    <row r="772" spans="10:24">
      <c r="J772" s="20" t="e">
        <f>VLOOKUP(G772,MD!M$2:O$93,3,FALSE)</f>
        <v>#N/A</v>
      </c>
      <c r="K772" s="29"/>
      <c r="P772" s="22"/>
      <c r="X772" s="22"/>
    </row>
    <row r="773" spans="10:24">
      <c r="J773" s="20" t="e">
        <f>VLOOKUP(G773,MD!M$2:O$93,3,FALSE)</f>
        <v>#N/A</v>
      </c>
      <c r="K773" s="29"/>
      <c r="P773" s="22"/>
      <c r="X773" s="22"/>
    </row>
    <row r="774" spans="10:24">
      <c r="J774" s="20" t="e">
        <f>VLOOKUP(G774,MD!M$2:O$93,3,FALSE)</f>
        <v>#N/A</v>
      </c>
      <c r="K774" s="29"/>
      <c r="P774" s="22"/>
      <c r="X774" s="22"/>
    </row>
    <row r="775" spans="10:24">
      <c r="J775" s="20" t="e">
        <f>VLOOKUP(G775,MD!M$2:O$93,3,FALSE)</f>
        <v>#N/A</v>
      </c>
      <c r="K775" s="29"/>
      <c r="P775" s="22"/>
      <c r="X775" s="22"/>
    </row>
    <row r="776" spans="10:24">
      <c r="J776" s="20" t="e">
        <f>VLOOKUP(G776,MD!M$2:O$93,3,FALSE)</f>
        <v>#N/A</v>
      </c>
      <c r="K776" s="29"/>
      <c r="P776" s="22"/>
      <c r="X776" s="22"/>
    </row>
    <row r="777" spans="10:24">
      <c r="J777" s="20" t="e">
        <f>VLOOKUP(G777,MD!M$2:O$93,3,FALSE)</f>
        <v>#N/A</v>
      </c>
      <c r="K777" s="29"/>
      <c r="P777" s="22"/>
      <c r="X777" s="22"/>
    </row>
    <row r="778" spans="10:24">
      <c r="J778" s="20" t="e">
        <f>VLOOKUP(G778,MD!M$2:O$93,3,FALSE)</f>
        <v>#N/A</v>
      </c>
      <c r="K778" s="29"/>
      <c r="P778" s="22"/>
      <c r="X778" s="22"/>
    </row>
    <row r="779" spans="10:24">
      <c r="J779" s="20" t="e">
        <f>VLOOKUP(G779,MD!M$2:O$93,3,FALSE)</f>
        <v>#N/A</v>
      </c>
      <c r="K779" s="29"/>
      <c r="P779" s="22"/>
      <c r="X779" s="22"/>
    </row>
    <row r="780" spans="10:24">
      <c r="J780" s="20" t="e">
        <f>VLOOKUP(G780,MD!M$2:O$93,3,FALSE)</f>
        <v>#N/A</v>
      </c>
      <c r="K780" s="29"/>
      <c r="P780" s="22"/>
      <c r="X780" s="22"/>
    </row>
    <row r="781" spans="10:24">
      <c r="J781" s="20" t="e">
        <f>VLOOKUP(G781,MD!M$2:O$93,3,FALSE)</f>
        <v>#N/A</v>
      </c>
      <c r="K781" s="29"/>
      <c r="P781" s="22"/>
      <c r="X781" s="22"/>
    </row>
    <row r="782" spans="10:24">
      <c r="J782" s="20" t="e">
        <f>VLOOKUP(G782,MD!M$2:O$93,3,FALSE)</f>
        <v>#N/A</v>
      </c>
      <c r="K782" s="29"/>
      <c r="P782" s="22"/>
      <c r="X782" s="22"/>
    </row>
    <row r="783" spans="10:24">
      <c r="J783" s="20" t="e">
        <f>VLOOKUP(G783,MD!M$2:O$93,3,FALSE)</f>
        <v>#N/A</v>
      </c>
      <c r="K783" s="29"/>
      <c r="P783" s="22"/>
      <c r="X783" s="22"/>
    </row>
    <row r="784" spans="10:24">
      <c r="J784" s="20" t="e">
        <f>VLOOKUP(G784,MD!M$2:O$93,3,FALSE)</f>
        <v>#N/A</v>
      </c>
      <c r="K784" s="29"/>
      <c r="P784" s="22"/>
      <c r="X784" s="22"/>
    </row>
    <row r="785" spans="10:24">
      <c r="J785" s="20" t="e">
        <f>VLOOKUP(G785,MD!M$2:O$93,3,FALSE)</f>
        <v>#N/A</v>
      </c>
      <c r="K785" s="29"/>
      <c r="P785" s="22"/>
      <c r="X785" s="22"/>
    </row>
    <row r="786" spans="10:24">
      <c r="J786" s="20" t="e">
        <f>VLOOKUP(G786,MD!M$2:O$93,3,FALSE)</f>
        <v>#N/A</v>
      </c>
      <c r="K786" s="29"/>
      <c r="P786" s="22"/>
      <c r="X786" s="22"/>
    </row>
    <row r="787" spans="10:24">
      <c r="J787" s="20" t="e">
        <f>VLOOKUP(G787,MD!M$2:O$93,3,FALSE)</f>
        <v>#N/A</v>
      </c>
      <c r="K787" s="29"/>
      <c r="P787" s="22"/>
      <c r="X787" s="22"/>
    </row>
    <row r="788" spans="10:24">
      <c r="J788" s="20" t="e">
        <f>VLOOKUP(G788,MD!M$2:O$93,3,FALSE)</f>
        <v>#N/A</v>
      </c>
      <c r="K788" s="29"/>
      <c r="P788" s="22"/>
      <c r="X788" s="22"/>
    </row>
    <row r="789" spans="10:24">
      <c r="J789" s="20" t="e">
        <f>VLOOKUP(G789,MD!M$2:O$93,3,FALSE)</f>
        <v>#N/A</v>
      </c>
      <c r="K789" s="29"/>
      <c r="P789" s="22"/>
      <c r="X789" s="22"/>
    </row>
    <row r="790" spans="10:24">
      <c r="J790" s="20" t="e">
        <f>VLOOKUP(G790,MD!M$2:O$93,3,FALSE)</f>
        <v>#N/A</v>
      </c>
      <c r="K790" s="29"/>
      <c r="P790" s="22"/>
      <c r="X790" s="22"/>
    </row>
    <row r="791" spans="10:24">
      <c r="J791" s="20" t="e">
        <f>VLOOKUP(G791,MD!M$2:O$93,3,FALSE)</f>
        <v>#N/A</v>
      </c>
      <c r="K791" s="29"/>
      <c r="P791" s="22"/>
      <c r="X791" s="22"/>
    </row>
    <row r="792" spans="10:24">
      <c r="J792" s="20" t="e">
        <f>VLOOKUP(G792,MD!M$2:O$93,3,FALSE)</f>
        <v>#N/A</v>
      </c>
      <c r="K792" s="29"/>
      <c r="P792" s="22"/>
      <c r="X792" s="22"/>
    </row>
    <row r="793" spans="10:24">
      <c r="J793" s="20" t="e">
        <f>VLOOKUP(G793,MD!M$2:O$93,3,FALSE)</f>
        <v>#N/A</v>
      </c>
      <c r="K793" s="29"/>
      <c r="P793" s="22"/>
      <c r="X793" s="22"/>
    </row>
    <row r="794" spans="10:24">
      <c r="J794" s="20" t="e">
        <f>VLOOKUP(G794,MD!M$2:O$93,3,FALSE)</f>
        <v>#N/A</v>
      </c>
      <c r="K794" s="29"/>
      <c r="P794" s="22"/>
      <c r="X794" s="22"/>
    </row>
    <row r="795" spans="10:24">
      <c r="J795" s="20" t="e">
        <f>VLOOKUP(G795,MD!M$2:O$93,3,FALSE)</f>
        <v>#N/A</v>
      </c>
      <c r="K795" s="29"/>
      <c r="P795" s="22"/>
      <c r="X795" s="22"/>
    </row>
    <row r="796" spans="10:24">
      <c r="J796" s="20" t="e">
        <f>VLOOKUP(G796,MD!M$2:O$93,3,FALSE)</f>
        <v>#N/A</v>
      </c>
      <c r="K796" s="29"/>
      <c r="P796" s="22"/>
      <c r="X796" s="22"/>
    </row>
    <row r="797" spans="10:24">
      <c r="J797" s="20" t="e">
        <f>VLOOKUP(G797,MD!M$2:O$93,3,FALSE)</f>
        <v>#N/A</v>
      </c>
      <c r="K797" s="29"/>
      <c r="P797" s="22"/>
      <c r="X797" s="22"/>
    </row>
    <row r="798" spans="10:24">
      <c r="J798" s="20" t="e">
        <f>VLOOKUP(G798,MD!M$2:O$93,3,FALSE)</f>
        <v>#N/A</v>
      </c>
      <c r="K798" s="29"/>
      <c r="P798" s="22"/>
      <c r="X798" s="22"/>
    </row>
    <row r="799" spans="10:24">
      <c r="J799" s="20" t="e">
        <f>VLOOKUP(G799,MD!M$2:O$93,3,FALSE)</f>
        <v>#N/A</v>
      </c>
      <c r="K799" s="29"/>
      <c r="P799" s="22"/>
      <c r="X799" s="22"/>
    </row>
    <row r="800" spans="10:24">
      <c r="J800" s="20" t="e">
        <f>VLOOKUP(G800,MD!M$2:O$93,3,FALSE)</f>
        <v>#N/A</v>
      </c>
      <c r="K800" s="29"/>
      <c r="P800" s="22"/>
      <c r="X800" s="22"/>
    </row>
    <row r="801" spans="10:24">
      <c r="J801" s="20" t="e">
        <f>VLOOKUP(G801,MD!M$2:O$93,3,FALSE)</f>
        <v>#N/A</v>
      </c>
      <c r="K801" s="29"/>
      <c r="P801" s="22"/>
      <c r="X801" s="22"/>
    </row>
    <row r="802" spans="10:24">
      <c r="J802" s="20" t="e">
        <f>VLOOKUP(G802,MD!M$2:O$93,3,FALSE)</f>
        <v>#N/A</v>
      </c>
      <c r="K802" s="29"/>
      <c r="P802" s="22"/>
      <c r="X802" s="22"/>
    </row>
    <row r="803" spans="10:24">
      <c r="J803" s="20" t="e">
        <f>VLOOKUP(G803,MD!M$2:O$93,3,FALSE)</f>
        <v>#N/A</v>
      </c>
      <c r="K803" s="29"/>
      <c r="P803" s="22"/>
      <c r="X803" s="22"/>
    </row>
    <row r="804" spans="10:24">
      <c r="J804" s="20" t="e">
        <f>VLOOKUP(G804,MD!M$2:O$93,3,FALSE)</f>
        <v>#N/A</v>
      </c>
      <c r="K804" s="29"/>
      <c r="P804" s="22"/>
      <c r="X804" s="22"/>
    </row>
    <row r="805" spans="10:24">
      <c r="J805" s="20" t="e">
        <f>VLOOKUP(G805,MD!M$2:O$93,3,FALSE)</f>
        <v>#N/A</v>
      </c>
      <c r="K805" s="29"/>
      <c r="P805" s="22"/>
      <c r="X805" s="22"/>
    </row>
    <row r="806" spans="10:24">
      <c r="J806" s="20" t="e">
        <f>VLOOKUP(G806,MD!M$2:O$93,3,FALSE)</f>
        <v>#N/A</v>
      </c>
      <c r="K806" s="29"/>
      <c r="P806" s="22"/>
      <c r="X806" s="22"/>
    </row>
    <row r="807" spans="10:24">
      <c r="J807" s="20" t="e">
        <f>VLOOKUP(G807,MD!M$2:O$93,3,FALSE)</f>
        <v>#N/A</v>
      </c>
      <c r="K807" s="29"/>
      <c r="P807" s="22"/>
      <c r="X807" s="22"/>
    </row>
    <row r="808" spans="10:24">
      <c r="J808" s="20" t="e">
        <f>VLOOKUP(G808,MD!M$2:O$93,3,FALSE)</f>
        <v>#N/A</v>
      </c>
      <c r="K808" s="29"/>
      <c r="P808" s="22"/>
      <c r="X808" s="22"/>
    </row>
    <row r="809" spans="10:24">
      <c r="J809" s="20" t="e">
        <f>VLOOKUP(G809,MD!M$2:O$93,3,FALSE)</f>
        <v>#N/A</v>
      </c>
      <c r="K809" s="29"/>
      <c r="P809" s="22"/>
      <c r="X809" s="22"/>
    </row>
    <row r="810" spans="10:24">
      <c r="J810" s="20" t="e">
        <f>VLOOKUP(G810,MD!M$2:O$93,3,FALSE)</f>
        <v>#N/A</v>
      </c>
      <c r="K810" s="29"/>
      <c r="P810" s="22"/>
      <c r="X810" s="22"/>
    </row>
    <row r="811" spans="10:24">
      <c r="J811" s="20" t="e">
        <f>VLOOKUP(G811,MD!M$2:O$93,3,FALSE)</f>
        <v>#N/A</v>
      </c>
      <c r="K811" s="29"/>
      <c r="P811" s="22"/>
      <c r="X811" s="22"/>
    </row>
    <row r="812" spans="10:24">
      <c r="J812" s="20" t="e">
        <f>VLOOKUP(G812,MD!M$2:O$93,3,FALSE)</f>
        <v>#N/A</v>
      </c>
      <c r="K812" s="29"/>
      <c r="P812" s="22"/>
      <c r="X812" s="22"/>
    </row>
    <row r="813" spans="10:24">
      <c r="J813" s="20" t="e">
        <f>VLOOKUP(G813,MD!M$2:O$93,3,FALSE)</f>
        <v>#N/A</v>
      </c>
      <c r="K813" s="29"/>
      <c r="P813" s="22"/>
      <c r="X813" s="22"/>
    </row>
    <row r="814" spans="10:24">
      <c r="J814" s="20" t="e">
        <f>VLOOKUP(G814,MD!M$2:O$93,3,FALSE)</f>
        <v>#N/A</v>
      </c>
      <c r="K814" s="29"/>
      <c r="P814" s="22"/>
      <c r="X814" s="22"/>
    </row>
    <row r="815" spans="10:24">
      <c r="J815" s="20" t="e">
        <f>VLOOKUP(G815,MD!M$2:O$93,3,FALSE)</f>
        <v>#N/A</v>
      </c>
      <c r="K815" s="29"/>
      <c r="P815" s="22"/>
      <c r="X815" s="22"/>
    </row>
    <row r="816" spans="10:24">
      <c r="J816" s="20" t="e">
        <f>VLOOKUP(G816,MD!M$2:O$93,3,FALSE)</f>
        <v>#N/A</v>
      </c>
      <c r="K816" s="29"/>
      <c r="P816" s="22"/>
      <c r="X816" s="22"/>
    </row>
    <row r="817" spans="10:24">
      <c r="J817" s="20" t="e">
        <f>VLOOKUP(G817,MD!M$2:O$93,3,FALSE)</f>
        <v>#N/A</v>
      </c>
      <c r="K817" s="29"/>
      <c r="P817" s="22"/>
      <c r="X817" s="22"/>
    </row>
    <row r="818" spans="10:24">
      <c r="J818" s="20" t="e">
        <f>VLOOKUP(G818,MD!M$2:O$93,3,FALSE)</f>
        <v>#N/A</v>
      </c>
      <c r="K818" s="29"/>
      <c r="P818" s="22"/>
      <c r="X818" s="22"/>
    </row>
    <row r="819" spans="10:24">
      <c r="J819" s="20" t="e">
        <f>VLOOKUP(G819,MD!M$2:O$93,3,FALSE)</f>
        <v>#N/A</v>
      </c>
      <c r="K819" s="29"/>
      <c r="P819" s="22"/>
      <c r="X819" s="22"/>
    </row>
    <row r="820" spans="10:24">
      <c r="J820" s="20" t="e">
        <f>VLOOKUP(G820,MD!M$2:O$93,3,FALSE)</f>
        <v>#N/A</v>
      </c>
      <c r="K820" s="29"/>
      <c r="P820" s="22"/>
      <c r="X820" s="22"/>
    </row>
    <row r="821" spans="10:24">
      <c r="J821" s="20" t="e">
        <f>VLOOKUP(G821,MD!M$2:O$93,3,FALSE)</f>
        <v>#N/A</v>
      </c>
      <c r="K821" s="29"/>
      <c r="P821" s="22"/>
      <c r="X821" s="22"/>
    </row>
    <row r="822" spans="10:24">
      <c r="J822" s="20" t="e">
        <f>VLOOKUP(G822,MD!M$2:O$93,3,FALSE)</f>
        <v>#N/A</v>
      </c>
      <c r="K822" s="29"/>
      <c r="P822" s="22"/>
      <c r="X822" s="22"/>
    </row>
    <row r="823" spans="10:24">
      <c r="J823" s="20" t="e">
        <f>VLOOKUP(G823,MD!M$2:O$93,3,FALSE)</f>
        <v>#N/A</v>
      </c>
      <c r="K823" s="29"/>
      <c r="P823" s="22"/>
      <c r="X823" s="22"/>
    </row>
    <row r="824" spans="10:24">
      <c r="J824" s="20" t="e">
        <f>VLOOKUP(G824,MD!M$2:O$93,3,FALSE)</f>
        <v>#N/A</v>
      </c>
      <c r="K824" s="29"/>
      <c r="P824" s="22"/>
      <c r="X824" s="22"/>
    </row>
    <row r="825" spans="10:24">
      <c r="J825" s="20" t="e">
        <f>VLOOKUP(G825,MD!M$2:O$93,3,FALSE)</f>
        <v>#N/A</v>
      </c>
      <c r="K825" s="29"/>
      <c r="P825" s="22"/>
      <c r="X825" s="22"/>
    </row>
    <row r="826" spans="10:24">
      <c r="J826" s="20" t="e">
        <f>VLOOKUP(G826,MD!M$2:O$93,3,FALSE)</f>
        <v>#N/A</v>
      </c>
      <c r="K826" s="29"/>
      <c r="P826" s="22"/>
      <c r="X826" s="22"/>
    </row>
    <row r="827" spans="10:24">
      <c r="J827" s="20" t="e">
        <f>VLOOKUP(G827,MD!M$2:O$93,3,FALSE)</f>
        <v>#N/A</v>
      </c>
      <c r="K827" s="29"/>
      <c r="P827" s="22"/>
      <c r="X827" s="22"/>
    </row>
    <row r="828" spans="10:24">
      <c r="J828" s="20" t="e">
        <f>VLOOKUP(G828,MD!M$2:O$93,3,FALSE)</f>
        <v>#N/A</v>
      </c>
      <c r="K828" s="29"/>
      <c r="P828" s="22"/>
      <c r="X828" s="22"/>
    </row>
    <row r="829" spans="10:24">
      <c r="J829" s="20" t="e">
        <f>VLOOKUP(G829,MD!M$2:O$93,3,FALSE)</f>
        <v>#N/A</v>
      </c>
      <c r="K829" s="29"/>
      <c r="P829" s="22"/>
      <c r="X829" s="22"/>
    </row>
    <row r="830" spans="10:24">
      <c r="J830" s="20" t="e">
        <f>VLOOKUP(G830,MD!M$2:O$93,3,FALSE)</f>
        <v>#N/A</v>
      </c>
      <c r="K830" s="29"/>
      <c r="P830" s="22"/>
      <c r="X830" s="22"/>
    </row>
    <row r="831" spans="10:24">
      <c r="J831" s="20" t="e">
        <f>VLOOKUP(G831,MD!M$2:O$93,3,FALSE)</f>
        <v>#N/A</v>
      </c>
      <c r="K831" s="29"/>
      <c r="P831" s="22"/>
      <c r="X831" s="22"/>
    </row>
    <row r="832" spans="10:24">
      <c r="J832" s="20" t="e">
        <f>VLOOKUP(G832,MD!M$2:O$93,3,FALSE)</f>
        <v>#N/A</v>
      </c>
      <c r="K832" s="29"/>
      <c r="P832" s="22"/>
      <c r="X832" s="22"/>
    </row>
    <row r="833" spans="10:24">
      <c r="J833" s="20" t="e">
        <f>VLOOKUP(G833,MD!M$2:O$93,3,FALSE)</f>
        <v>#N/A</v>
      </c>
      <c r="K833" s="29"/>
      <c r="P833" s="22"/>
      <c r="X833" s="22"/>
    </row>
    <row r="834" spans="10:24">
      <c r="J834" s="20" t="e">
        <f>VLOOKUP(G834,MD!M$2:O$93,3,FALSE)</f>
        <v>#N/A</v>
      </c>
      <c r="K834" s="29"/>
      <c r="P834" s="22"/>
      <c r="X834" s="22"/>
    </row>
    <row r="835" spans="10:24">
      <c r="J835" s="20" t="e">
        <f>VLOOKUP(G835,MD!M$2:O$93,3,FALSE)</f>
        <v>#N/A</v>
      </c>
      <c r="K835" s="29"/>
      <c r="P835" s="22"/>
      <c r="X835" s="22"/>
    </row>
    <row r="836" spans="10:24">
      <c r="J836" s="20" t="e">
        <f>VLOOKUP(G836,MD!M$2:O$93,3,FALSE)</f>
        <v>#N/A</v>
      </c>
      <c r="K836" s="29"/>
      <c r="P836" s="22"/>
      <c r="X836" s="22"/>
    </row>
    <row r="837" spans="10:24">
      <c r="J837" s="20" t="e">
        <f>VLOOKUP(G837,MD!M$2:O$93,3,FALSE)</f>
        <v>#N/A</v>
      </c>
      <c r="K837" s="29"/>
      <c r="P837" s="22"/>
      <c r="X837" s="22"/>
    </row>
    <row r="838" spans="10:24">
      <c r="J838" s="20" t="e">
        <f>VLOOKUP(G838,MD!M$2:O$93,3,FALSE)</f>
        <v>#N/A</v>
      </c>
      <c r="K838" s="29"/>
      <c r="P838" s="22"/>
      <c r="X838" s="22"/>
    </row>
    <row r="839" spans="10:24">
      <c r="J839" s="20" t="e">
        <f>VLOOKUP(G839,MD!M$2:O$93,3,FALSE)</f>
        <v>#N/A</v>
      </c>
      <c r="K839" s="29"/>
      <c r="P839" s="22"/>
      <c r="X839" s="22"/>
    </row>
    <row r="840" spans="10:24">
      <c r="J840" s="20" t="e">
        <f>VLOOKUP(G840,MD!M$2:O$93,3,FALSE)</f>
        <v>#N/A</v>
      </c>
      <c r="K840" s="29"/>
      <c r="P840" s="22"/>
      <c r="X840" s="22"/>
    </row>
    <row r="841" spans="10:24">
      <c r="J841" s="20" t="e">
        <f>VLOOKUP(G841,MD!M$2:O$93,3,FALSE)</f>
        <v>#N/A</v>
      </c>
      <c r="K841" s="29"/>
      <c r="P841" s="22"/>
      <c r="X841" s="22"/>
    </row>
    <row r="842" spans="10:24">
      <c r="J842" s="20" t="e">
        <f>VLOOKUP(G842,MD!M$2:O$93,3,FALSE)</f>
        <v>#N/A</v>
      </c>
      <c r="K842" s="29"/>
      <c r="P842" s="22"/>
      <c r="X842" s="22"/>
    </row>
    <row r="843" spans="10:24">
      <c r="J843" s="20" t="e">
        <f>VLOOKUP(G843,MD!M$2:O$93,3,FALSE)</f>
        <v>#N/A</v>
      </c>
      <c r="K843" s="29"/>
      <c r="P843" s="22"/>
      <c r="X843" s="22"/>
    </row>
    <row r="844" spans="10:24">
      <c r="J844" s="20" t="e">
        <f>VLOOKUP(G844,MD!M$2:O$93,3,FALSE)</f>
        <v>#N/A</v>
      </c>
      <c r="K844" s="29"/>
      <c r="P844" s="22"/>
      <c r="X844" s="22"/>
    </row>
    <row r="845" spans="10:24">
      <c r="J845" s="20" t="e">
        <f>VLOOKUP(G845,MD!M$2:O$93,3,FALSE)</f>
        <v>#N/A</v>
      </c>
      <c r="K845" s="29"/>
      <c r="P845" s="22"/>
      <c r="X845" s="22"/>
    </row>
    <row r="846" spans="10:24">
      <c r="J846" s="20" t="e">
        <f>VLOOKUP(G846,MD!M$2:O$93,3,FALSE)</f>
        <v>#N/A</v>
      </c>
      <c r="K846" s="29"/>
      <c r="P846" s="22"/>
      <c r="X846" s="22"/>
    </row>
    <row r="847" spans="10:24">
      <c r="J847" s="20" t="e">
        <f>VLOOKUP(G847,MD!M$2:O$93,3,FALSE)</f>
        <v>#N/A</v>
      </c>
      <c r="K847" s="29"/>
      <c r="P847" s="22"/>
      <c r="X847" s="22"/>
    </row>
    <row r="848" spans="10:24">
      <c r="J848" s="20" t="e">
        <f>VLOOKUP(G848,MD!M$2:O$93,3,FALSE)</f>
        <v>#N/A</v>
      </c>
      <c r="K848" s="29"/>
      <c r="P848" s="22"/>
      <c r="X848" s="22"/>
    </row>
    <row r="849" spans="10:24">
      <c r="J849" s="20" t="e">
        <f>VLOOKUP(G849,MD!M$2:O$93,3,FALSE)</f>
        <v>#N/A</v>
      </c>
      <c r="K849" s="29"/>
      <c r="P849" s="22"/>
      <c r="X849" s="22"/>
    </row>
    <row r="850" spans="10:24">
      <c r="J850" s="20" t="e">
        <f>VLOOKUP(G850,MD!M$2:O$93,3,FALSE)</f>
        <v>#N/A</v>
      </c>
      <c r="K850" s="29"/>
      <c r="P850" s="22"/>
      <c r="X850" s="22"/>
    </row>
    <row r="851" spans="10:24">
      <c r="J851" s="20" t="e">
        <f>VLOOKUP(G851,MD!M$2:O$93,3,FALSE)</f>
        <v>#N/A</v>
      </c>
      <c r="K851" s="29"/>
      <c r="P851" s="22"/>
      <c r="X851" s="22"/>
    </row>
    <row r="852" spans="10:24">
      <c r="J852" s="20" t="e">
        <f>VLOOKUP(G852,MD!M$2:O$93,3,FALSE)</f>
        <v>#N/A</v>
      </c>
      <c r="K852" s="29"/>
      <c r="P852" s="22"/>
      <c r="X852" s="22"/>
    </row>
    <row r="853" spans="10:24">
      <c r="J853" s="20" t="e">
        <f>VLOOKUP(G853,MD!M$2:O$93,3,FALSE)</f>
        <v>#N/A</v>
      </c>
      <c r="K853" s="29"/>
      <c r="P853" s="22"/>
      <c r="X853" s="22"/>
    </row>
    <row r="854" spans="10:24">
      <c r="J854" s="20" t="e">
        <f>VLOOKUP(G854,MD!M$2:O$93,3,FALSE)</f>
        <v>#N/A</v>
      </c>
      <c r="K854" s="29"/>
      <c r="P854" s="22"/>
      <c r="X854" s="22"/>
    </row>
    <row r="855" spans="10:24">
      <c r="J855" s="20" t="e">
        <f>VLOOKUP(G855,MD!M$2:O$93,3,FALSE)</f>
        <v>#N/A</v>
      </c>
      <c r="K855" s="29"/>
      <c r="P855" s="22"/>
      <c r="X855" s="22"/>
    </row>
    <row r="856" spans="10:24">
      <c r="J856" s="20" t="e">
        <f>VLOOKUP(G856,MD!M$2:O$93,3,FALSE)</f>
        <v>#N/A</v>
      </c>
      <c r="K856" s="29"/>
      <c r="P856" s="22"/>
      <c r="X856" s="22"/>
    </row>
    <row r="857" spans="10:24">
      <c r="J857" s="20" t="e">
        <f>VLOOKUP(G857,MD!M$2:O$93,3,FALSE)</f>
        <v>#N/A</v>
      </c>
      <c r="K857" s="29"/>
      <c r="P857" s="22"/>
      <c r="X857" s="22"/>
    </row>
    <row r="858" spans="10:24">
      <c r="J858" s="20" t="e">
        <f>VLOOKUP(G858,MD!M$2:O$93,3,FALSE)</f>
        <v>#N/A</v>
      </c>
      <c r="K858" s="29"/>
      <c r="P858" s="22"/>
      <c r="X858" s="22"/>
    </row>
    <row r="859" spans="10:24">
      <c r="J859" s="20" t="e">
        <f>VLOOKUP(G859,MD!M$2:O$93,3,FALSE)</f>
        <v>#N/A</v>
      </c>
      <c r="K859" s="29"/>
      <c r="P859" s="22"/>
      <c r="X859" s="22"/>
    </row>
    <row r="860" spans="10:24">
      <c r="J860" s="20" t="e">
        <f>VLOOKUP(G860,MD!M$2:O$93,3,FALSE)</f>
        <v>#N/A</v>
      </c>
      <c r="K860" s="29"/>
      <c r="P860" s="22"/>
      <c r="X860" s="22"/>
    </row>
    <row r="861" spans="10:24">
      <c r="J861" s="20" t="e">
        <f>VLOOKUP(G861,MD!M$2:O$93,3,FALSE)</f>
        <v>#N/A</v>
      </c>
      <c r="K861" s="29"/>
      <c r="P861" s="22"/>
      <c r="X861" s="22"/>
    </row>
    <row r="862" spans="10:24">
      <c r="J862" s="20" t="e">
        <f>VLOOKUP(G862,MD!M$2:O$93,3,FALSE)</f>
        <v>#N/A</v>
      </c>
      <c r="K862" s="29"/>
      <c r="P862" s="22"/>
      <c r="X862" s="22"/>
    </row>
    <row r="863" spans="10:24">
      <c r="J863" s="20" t="e">
        <f>VLOOKUP(G863,MD!M$2:O$93,3,FALSE)</f>
        <v>#N/A</v>
      </c>
      <c r="K863" s="29"/>
      <c r="P863" s="22"/>
      <c r="X863" s="22"/>
    </row>
    <row r="864" spans="10:24">
      <c r="J864" s="20" t="e">
        <f>VLOOKUP(G864,MD!M$2:O$93,3,FALSE)</f>
        <v>#N/A</v>
      </c>
      <c r="K864" s="29"/>
      <c r="P864" s="22"/>
      <c r="X864" s="22"/>
    </row>
    <row r="865" spans="10:24">
      <c r="J865" s="20" t="e">
        <f>VLOOKUP(G865,MD!M$2:O$93,3,FALSE)</f>
        <v>#N/A</v>
      </c>
      <c r="K865" s="29"/>
      <c r="P865" s="22"/>
      <c r="X865" s="22"/>
    </row>
    <row r="866" spans="10:24">
      <c r="J866" s="20" t="e">
        <f>VLOOKUP(G866,MD!M$2:O$93,3,FALSE)</f>
        <v>#N/A</v>
      </c>
      <c r="K866" s="29"/>
      <c r="P866" s="22"/>
      <c r="X866" s="22"/>
    </row>
    <row r="867" spans="10:24">
      <c r="J867" s="20" t="e">
        <f>VLOOKUP(G867,MD!M$2:O$93,3,FALSE)</f>
        <v>#N/A</v>
      </c>
      <c r="K867" s="29"/>
      <c r="P867" s="22"/>
      <c r="X867" s="22"/>
    </row>
    <row r="868" spans="10:24">
      <c r="J868" s="20" t="e">
        <f>VLOOKUP(G868,MD!M$2:O$93,3,FALSE)</f>
        <v>#N/A</v>
      </c>
      <c r="K868" s="29"/>
      <c r="P868" s="22"/>
      <c r="X868" s="22"/>
    </row>
    <row r="869" spans="10:24">
      <c r="J869" s="20" t="e">
        <f>VLOOKUP(G869,MD!M$2:O$93,3,FALSE)</f>
        <v>#N/A</v>
      </c>
      <c r="K869" s="29"/>
      <c r="P869" s="22"/>
      <c r="X869" s="22"/>
    </row>
    <row r="870" spans="10:24">
      <c r="J870" s="20" t="e">
        <f>VLOOKUP(G870,MD!M$2:O$93,3,FALSE)</f>
        <v>#N/A</v>
      </c>
      <c r="K870" s="29"/>
      <c r="P870" s="22"/>
      <c r="X870" s="22"/>
    </row>
    <row r="871" spans="10:24">
      <c r="J871" s="20" t="e">
        <f>VLOOKUP(G871,MD!M$2:O$93,3,FALSE)</f>
        <v>#N/A</v>
      </c>
      <c r="K871" s="29"/>
      <c r="P871" s="22"/>
      <c r="X871" s="22"/>
    </row>
    <row r="872" spans="10:24">
      <c r="J872" s="20" t="e">
        <f>VLOOKUP(G872,MD!M$2:O$93,3,FALSE)</f>
        <v>#N/A</v>
      </c>
      <c r="K872" s="29"/>
      <c r="P872" s="22"/>
      <c r="X872" s="22"/>
    </row>
    <row r="873" spans="10:24">
      <c r="J873" s="20" t="e">
        <f>VLOOKUP(G873,MD!M$2:O$93,3,FALSE)</f>
        <v>#N/A</v>
      </c>
      <c r="K873" s="29"/>
      <c r="P873" s="22"/>
      <c r="X873" s="22"/>
    </row>
    <row r="874" spans="10:24">
      <c r="J874" s="20" t="e">
        <f>VLOOKUP(G874,MD!M$2:O$93,3,FALSE)</f>
        <v>#N/A</v>
      </c>
      <c r="K874" s="29"/>
      <c r="P874" s="22"/>
      <c r="X874" s="22"/>
    </row>
    <row r="875" spans="10:24">
      <c r="J875" s="20" t="e">
        <f>VLOOKUP(G875,MD!M$2:O$93,3,FALSE)</f>
        <v>#N/A</v>
      </c>
      <c r="K875" s="29"/>
      <c r="P875" s="22"/>
      <c r="X875" s="22"/>
    </row>
    <row r="876" spans="10:24">
      <c r="J876" s="20" t="e">
        <f>VLOOKUP(G876,MD!M$2:O$93,3,FALSE)</f>
        <v>#N/A</v>
      </c>
      <c r="K876" s="29"/>
      <c r="P876" s="22"/>
      <c r="X876" s="22"/>
    </row>
    <row r="877" spans="10:24">
      <c r="J877" s="20" t="e">
        <f>VLOOKUP(G877,MD!M$2:O$93,3,FALSE)</f>
        <v>#N/A</v>
      </c>
      <c r="K877" s="29"/>
      <c r="P877" s="22"/>
      <c r="X877" s="22"/>
    </row>
    <row r="878" spans="10:24">
      <c r="J878" s="20" t="e">
        <f>VLOOKUP(G878,MD!M$2:O$93,3,FALSE)</f>
        <v>#N/A</v>
      </c>
      <c r="K878" s="29"/>
      <c r="P878" s="22"/>
      <c r="X878" s="22"/>
    </row>
    <row r="879" spans="10:24">
      <c r="J879" s="20" t="e">
        <f>VLOOKUP(G879,MD!M$2:O$93,3,FALSE)</f>
        <v>#N/A</v>
      </c>
      <c r="K879" s="29"/>
      <c r="P879" s="22"/>
      <c r="X879" s="22"/>
    </row>
    <row r="880" spans="10:24">
      <c r="J880" s="20" t="e">
        <f>VLOOKUP(G880,MD!M$2:O$93,3,FALSE)</f>
        <v>#N/A</v>
      </c>
      <c r="K880" s="29"/>
      <c r="P880" s="22"/>
      <c r="X880" s="22"/>
    </row>
    <row r="881" spans="10:24">
      <c r="J881" s="20" t="e">
        <f>VLOOKUP(G881,MD!M$2:O$93,3,FALSE)</f>
        <v>#N/A</v>
      </c>
      <c r="K881" s="29"/>
      <c r="P881" s="22"/>
      <c r="X881" s="22"/>
    </row>
    <row r="882" spans="10:24">
      <c r="J882" s="20" t="e">
        <f>VLOOKUP(G882,MD!M$2:O$93,3,FALSE)</f>
        <v>#N/A</v>
      </c>
      <c r="K882" s="29"/>
      <c r="P882" s="22"/>
      <c r="X882" s="22"/>
    </row>
    <row r="883" spans="10:24">
      <c r="J883" s="20" t="e">
        <f>VLOOKUP(G883,MD!M$2:O$93,3,FALSE)</f>
        <v>#N/A</v>
      </c>
      <c r="K883" s="29"/>
      <c r="P883" s="22"/>
      <c r="X883" s="22"/>
    </row>
    <row r="884" spans="10:24">
      <c r="J884" s="20" t="e">
        <f>VLOOKUP(G884,MD!M$2:O$93,3,FALSE)</f>
        <v>#N/A</v>
      </c>
      <c r="K884" s="29"/>
      <c r="P884" s="22"/>
      <c r="X884" s="22"/>
    </row>
    <row r="885" spans="10:24">
      <c r="J885" s="20" t="e">
        <f>VLOOKUP(G885,MD!M$2:O$93,3,FALSE)</f>
        <v>#N/A</v>
      </c>
      <c r="K885" s="29"/>
      <c r="P885" s="22"/>
      <c r="X885" s="22"/>
    </row>
    <row r="886" spans="10:24">
      <c r="J886" s="20" t="e">
        <f>VLOOKUP(G886,MD!M$2:O$93,3,FALSE)</f>
        <v>#N/A</v>
      </c>
      <c r="K886" s="29"/>
      <c r="P886" s="22"/>
      <c r="X886" s="22"/>
    </row>
    <row r="887" spans="10:24">
      <c r="J887" s="20" t="e">
        <f>VLOOKUP(G887,MD!M$2:O$93,3,FALSE)</f>
        <v>#N/A</v>
      </c>
      <c r="K887" s="29"/>
      <c r="P887" s="22"/>
      <c r="X887" s="22"/>
    </row>
    <row r="888" spans="10:24">
      <c r="J888" s="20" t="e">
        <f>VLOOKUP(G888,MD!M$2:O$93,3,FALSE)</f>
        <v>#N/A</v>
      </c>
      <c r="K888" s="29"/>
      <c r="P888" s="22"/>
      <c r="X888" s="22"/>
    </row>
    <row r="889" spans="10:24">
      <c r="J889" s="20" t="e">
        <f>VLOOKUP(G889,MD!M$2:O$93,3,FALSE)</f>
        <v>#N/A</v>
      </c>
      <c r="K889" s="29"/>
      <c r="P889" s="22"/>
      <c r="X889" s="22"/>
    </row>
    <row r="890" spans="10:24">
      <c r="J890" s="20" t="e">
        <f>VLOOKUP(G890,MD!M$2:O$93,3,FALSE)</f>
        <v>#N/A</v>
      </c>
      <c r="K890" s="29"/>
      <c r="P890" s="22"/>
      <c r="X890" s="22"/>
    </row>
    <row r="891" spans="10:24">
      <c r="J891" s="20" t="e">
        <f>VLOOKUP(G891,MD!M$2:O$93,3,FALSE)</f>
        <v>#N/A</v>
      </c>
      <c r="K891" s="29"/>
      <c r="P891" s="22"/>
      <c r="X891" s="22"/>
    </row>
    <row r="892" spans="10:24">
      <c r="J892" s="20" t="e">
        <f>VLOOKUP(G892,MD!M$2:O$93,3,FALSE)</f>
        <v>#N/A</v>
      </c>
      <c r="K892" s="29"/>
      <c r="P892" s="22"/>
      <c r="X892" s="22"/>
    </row>
    <row r="893" spans="10:24">
      <c r="J893" s="20" t="e">
        <f>VLOOKUP(G893,MD!M$2:O$93,3,FALSE)</f>
        <v>#N/A</v>
      </c>
      <c r="K893" s="29"/>
      <c r="P893" s="22"/>
      <c r="X893" s="22"/>
    </row>
    <row r="894" spans="10:24">
      <c r="J894" s="20" t="e">
        <f>VLOOKUP(G894,MD!M$2:O$93,3,FALSE)</f>
        <v>#N/A</v>
      </c>
      <c r="K894" s="29"/>
      <c r="P894" s="22"/>
      <c r="X894" s="22"/>
    </row>
    <row r="895" spans="10:24">
      <c r="J895" s="20" t="e">
        <f>VLOOKUP(G895,MD!M$2:O$93,3,FALSE)</f>
        <v>#N/A</v>
      </c>
      <c r="K895" s="29"/>
      <c r="P895" s="22"/>
      <c r="X895" s="22"/>
    </row>
    <row r="896" spans="10:24">
      <c r="J896" s="20" t="e">
        <f>VLOOKUP(G896,MD!M$2:O$93,3,FALSE)</f>
        <v>#N/A</v>
      </c>
      <c r="K896" s="29"/>
      <c r="P896" s="22"/>
      <c r="X896" s="22"/>
    </row>
    <row r="897" spans="10:24">
      <c r="J897" s="20" t="e">
        <f>VLOOKUP(G897,MD!M$2:O$93,3,FALSE)</f>
        <v>#N/A</v>
      </c>
      <c r="K897" s="29"/>
      <c r="P897" s="22"/>
      <c r="X897" s="22"/>
    </row>
    <row r="898" spans="10:24">
      <c r="J898" s="20" t="e">
        <f>VLOOKUP(G898,MD!M$2:O$93,3,FALSE)</f>
        <v>#N/A</v>
      </c>
      <c r="K898" s="29"/>
      <c r="P898" s="22"/>
      <c r="X898" s="22"/>
    </row>
    <row r="899" spans="10:24">
      <c r="J899" s="20" t="e">
        <f>VLOOKUP(G899,MD!M$2:O$93,3,FALSE)</f>
        <v>#N/A</v>
      </c>
      <c r="K899" s="29"/>
      <c r="P899" s="22"/>
      <c r="X899" s="22"/>
    </row>
    <row r="900" spans="10:24">
      <c r="J900" s="20" t="e">
        <f>VLOOKUP(G900,MD!M$2:O$93,3,FALSE)</f>
        <v>#N/A</v>
      </c>
      <c r="K900" s="29"/>
      <c r="P900" s="22"/>
      <c r="X900" s="22"/>
    </row>
    <row r="901" spans="10:24">
      <c r="J901" s="20" t="e">
        <f>VLOOKUP(G901,MD!M$2:O$93,3,FALSE)</f>
        <v>#N/A</v>
      </c>
      <c r="K901" s="29"/>
      <c r="P901" s="22"/>
      <c r="X901" s="22"/>
    </row>
    <row r="902" spans="10:24">
      <c r="J902" s="20" t="e">
        <f>VLOOKUP(G902,MD!M$2:O$93,3,FALSE)</f>
        <v>#N/A</v>
      </c>
      <c r="K902" s="29"/>
      <c r="P902" s="22"/>
      <c r="X902" s="22"/>
    </row>
    <row r="903" spans="10:24">
      <c r="J903" s="20" t="e">
        <f>VLOOKUP(G903,MD!M$2:O$93,3,FALSE)</f>
        <v>#N/A</v>
      </c>
      <c r="K903" s="29"/>
      <c r="P903" s="22"/>
      <c r="X903" s="22"/>
    </row>
    <row r="904" spans="10:24">
      <c r="J904" s="20" t="e">
        <f>VLOOKUP(G904,MD!M$2:O$93,3,FALSE)</f>
        <v>#N/A</v>
      </c>
      <c r="K904" s="29"/>
      <c r="P904" s="22"/>
      <c r="X904" s="22"/>
    </row>
    <row r="905" spans="10:24">
      <c r="J905" s="20" t="e">
        <f>VLOOKUP(G905,MD!M$2:O$93,3,FALSE)</f>
        <v>#N/A</v>
      </c>
      <c r="K905" s="29"/>
      <c r="P905" s="22"/>
      <c r="X905" s="22"/>
    </row>
    <row r="906" spans="10:24">
      <c r="J906" s="20" t="e">
        <f>VLOOKUP(G906,MD!M$2:O$93,3,FALSE)</f>
        <v>#N/A</v>
      </c>
      <c r="K906" s="29"/>
      <c r="P906" s="22"/>
      <c r="X906" s="22"/>
    </row>
    <row r="907" spans="10:24">
      <c r="J907" s="20" t="e">
        <f>VLOOKUP(G907,MD!M$2:O$93,3,FALSE)</f>
        <v>#N/A</v>
      </c>
      <c r="K907" s="29"/>
      <c r="P907" s="22"/>
      <c r="X907" s="22"/>
    </row>
    <row r="908" spans="10:24">
      <c r="J908" s="20" t="e">
        <f>VLOOKUP(G908,MD!M$2:O$93,3,FALSE)</f>
        <v>#N/A</v>
      </c>
      <c r="K908" s="29"/>
      <c r="P908" s="22"/>
      <c r="X908" s="22"/>
    </row>
    <row r="909" spans="10:24">
      <c r="J909" s="20" t="e">
        <f>VLOOKUP(G909,MD!M$2:O$93,3,FALSE)</f>
        <v>#N/A</v>
      </c>
      <c r="K909" s="29"/>
      <c r="P909" s="22"/>
      <c r="X909" s="22"/>
    </row>
    <row r="910" spans="10:24">
      <c r="J910" s="20" t="e">
        <f>VLOOKUP(G910,MD!M$2:O$93,3,FALSE)</f>
        <v>#N/A</v>
      </c>
      <c r="K910" s="29"/>
      <c r="P910" s="22"/>
      <c r="X910" s="22"/>
    </row>
    <row r="911" spans="10:24">
      <c r="J911" s="20" t="e">
        <f>VLOOKUP(G911,MD!M$2:O$93,3,FALSE)</f>
        <v>#N/A</v>
      </c>
      <c r="K911" s="29"/>
      <c r="P911" s="22"/>
      <c r="X911" s="22"/>
    </row>
    <row r="912" spans="10:24">
      <c r="J912" s="20" t="e">
        <f>VLOOKUP(G912,MD!M$2:O$93,3,FALSE)</f>
        <v>#N/A</v>
      </c>
      <c r="K912" s="29"/>
      <c r="P912" s="22"/>
      <c r="X912" s="22"/>
    </row>
    <row r="913" spans="10:24">
      <c r="J913" s="20" t="e">
        <f>VLOOKUP(G913,MD!M$2:O$93,3,FALSE)</f>
        <v>#N/A</v>
      </c>
      <c r="K913" s="29"/>
      <c r="P913" s="22"/>
      <c r="X913" s="22"/>
    </row>
    <row r="914" spans="10:24">
      <c r="J914" s="20" t="e">
        <f>VLOOKUP(G914,MD!M$2:O$93,3,FALSE)</f>
        <v>#N/A</v>
      </c>
      <c r="K914" s="29"/>
      <c r="P914" s="22"/>
      <c r="X914" s="22"/>
    </row>
    <row r="915" spans="10:24">
      <c r="J915" s="20" t="e">
        <f>VLOOKUP(G915,MD!M$2:O$93,3,FALSE)</f>
        <v>#N/A</v>
      </c>
      <c r="K915" s="29"/>
      <c r="P915" s="22"/>
      <c r="X915" s="22"/>
    </row>
    <row r="916" spans="10:24">
      <c r="J916" s="20" t="e">
        <f>VLOOKUP(G916,MD!M$2:O$93,3,FALSE)</f>
        <v>#N/A</v>
      </c>
      <c r="K916" s="29"/>
      <c r="P916" s="22"/>
      <c r="X916" s="22"/>
    </row>
    <row r="917" spans="10:24">
      <c r="J917" s="20" t="e">
        <f>VLOOKUP(G917,MD!M$2:O$93,3,FALSE)</f>
        <v>#N/A</v>
      </c>
      <c r="K917" s="29"/>
      <c r="P917" s="22"/>
      <c r="X917" s="22"/>
    </row>
    <row r="918" spans="10:24">
      <c r="J918" s="20" t="e">
        <f>VLOOKUP(G918,MD!M$2:O$93,3,FALSE)</f>
        <v>#N/A</v>
      </c>
      <c r="K918" s="29"/>
      <c r="P918" s="22"/>
      <c r="X918" s="22"/>
    </row>
    <row r="919" spans="10:24">
      <c r="J919" s="20" t="e">
        <f>VLOOKUP(G919,MD!M$2:O$93,3,FALSE)</f>
        <v>#N/A</v>
      </c>
      <c r="K919" s="29"/>
      <c r="P919" s="22"/>
      <c r="X919" s="22"/>
    </row>
    <row r="920" spans="10:24">
      <c r="J920" s="20" t="e">
        <f>VLOOKUP(G920,MD!M$2:O$93,3,FALSE)</f>
        <v>#N/A</v>
      </c>
      <c r="K920" s="29"/>
      <c r="P920" s="22"/>
      <c r="X920" s="22"/>
    </row>
    <row r="921" spans="10:24">
      <c r="J921" s="20" t="e">
        <f>VLOOKUP(G921,MD!M$2:O$93,3,FALSE)</f>
        <v>#N/A</v>
      </c>
      <c r="K921" s="29"/>
      <c r="P921" s="22"/>
      <c r="X921" s="22"/>
    </row>
    <row r="922" spans="10:24">
      <c r="J922" s="20" t="e">
        <f>VLOOKUP(G922,MD!M$2:O$93,3,FALSE)</f>
        <v>#N/A</v>
      </c>
      <c r="K922" s="29"/>
      <c r="P922" s="22"/>
      <c r="X922" s="22"/>
    </row>
    <row r="923" spans="10:24">
      <c r="J923" s="20" t="e">
        <f>VLOOKUP(G923,MD!M$2:O$93,3,FALSE)</f>
        <v>#N/A</v>
      </c>
      <c r="K923" s="29"/>
      <c r="P923" s="22"/>
      <c r="X923" s="22"/>
    </row>
    <row r="924" spans="10:24">
      <c r="J924" s="20" t="e">
        <f>VLOOKUP(G924,MD!M$2:O$93,3,FALSE)</f>
        <v>#N/A</v>
      </c>
      <c r="K924" s="29"/>
      <c r="P924" s="22"/>
      <c r="X924" s="22"/>
    </row>
    <row r="925" spans="10:24">
      <c r="J925" s="20" t="e">
        <f>VLOOKUP(G925,MD!M$2:O$93,3,FALSE)</f>
        <v>#N/A</v>
      </c>
      <c r="K925" s="29"/>
      <c r="P925" s="22"/>
      <c r="X925" s="22"/>
    </row>
    <row r="926" spans="10:24">
      <c r="J926" s="20" t="e">
        <f>VLOOKUP(G926,MD!M$2:O$93,3,FALSE)</f>
        <v>#N/A</v>
      </c>
      <c r="K926" s="29"/>
      <c r="P926" s="22"/>
      <c r="X926" s="22"/>
    </row>
    <row r="927" spans="10:24">
      <c r="J927" s="20" t="e">
        <f>VLOOKUP(G927,MD!M$2:O$93,3,FALSE)</f>
        <v>#N/A</v>
      </c>
      <c r="K927" s="29"/>
      <c r="P927" s="22"/>
      <c r="X927" s="22"/>
    </row>
    <row r="928" spans="10:24">
      <c r="J928" s="20" t="e">
        <f>VLOOKUP(G928,MD!M$2:O$93,3,FALSE)</f>
        <v>#N/A</v>
      </c>
      <c r="K928" s="29"/>
      <c r="P928" s="22"/>
      <c r="X928" s="22"/>
    </row>
    <row r="929" spans="10:24">
      <c r="J929" s="20" t="e">
        <f>VLOOKUP(G929,MD!M$2:O$93,3,FALSE)</f>
        <v>#N/A</v>
      </c>
      <c r="K929" s="29"/>
      <c r="P929" s="22"/>
      <c r="X929" s="22"/>
    </row>
    <row r="930" spans="10:24">
      <c r="J930" s="20" t="e">
        <f>VLOOKUP(G930,MD!M$2:O$93,3,FALSE)</f>
        <v>#N/A</v>
      </c>
      <c r="K930" s="29"/>
      <c r="P930" s="22"/>
      <c r="X930" s="22"/>
    </row>
    <row r="931" spans="10:24">
      <c r="J931" s="20" t="e">
        <f>VLOOKUP(G931,MD!M$2:O$93,3,FALSE)</f>
        <v>#N/A</v>
      </c>
      <c r="K931" s="29"/>
      <c r="P931" s="22"/>
      <c r="X931" s="22"/>
    </row>
    <row r="932" spans="10:24">
      <c r="J932" s="20" t="e">
        <f>VLOOKUP(G932,MD!M$2:O$93,3,FALSE)</f>
        <v>#N/A</v>
      </c>
      <c r="K932" s="29"/>
      <c r="P932" s="22"/>
      <c r="X932" s="22"/>
    </row>
    <row r="933" spans="10:24">
      <c r="J933" s="20" t="e">
        <f>VLOOKUP(G933,MD!M$2:O$93,3,FALSE)</f>
        <v>#N/A</v>
      </c>
      <c r="K933" s="29"/>
      <c r="P933" s="22"/>
      <c r="X933" s="22"/>
    </row>
    <row r="934" spans="10:24">
      <c r="J934" s="20" t="e">
        <f>VLOOKUP(G934,MD!M$2:O$93,3,FALSE)</f>
        <v>#N/A</v>
      </c>
      <c r="K934" s="29"/>
      <c r="P934" s="22"/>
      <c r="X934" s="22"/>
    </row>
    <row r="935" spans="10:24">
      <c r="J935" s="20" t="e">
        <f>VLOOKUP(G935,MD!M$2:O$93,3,FALSE)</f>
        <v>#N/A</v>
      </c>
      <c r="K935" s="29"/>
      <c r="P935" s="22"/>
      <c r="X935" s="22"/>
    </row>
    <row r="936" spans="10:24">
      <c r="J936" s="20" t="e">
        <f>VLOOKUP(G936,MD!M$2:O$93,3,FALSE)</f>
        <v>#N/A</v>
      </c>
      <c r="K936" s="29"/>
      <c r="P936" s="22"/>
      <c r="X936" s="22"/>
    </row>
    <row r="937" spans="10:24">
      <c r="J937" s="20" t="e">
        <f>VLOOKUP(G937,MD!M$2:O$93,3,FALSE)</f>
        <v>#N/A</v>
      </c>
      <c r="K937" s="29"/>
      <c r="P937" s="22"/>
      <c r="X937" s="22"/>
    </row>
    <row r="938" spans="10:24">
      <c r="J938" s="20" t="e">
        <f>VLOOKUP(G938,MD!M$2:O$93,3,FALSE)</f>
        <v>#N/A</v>
      </c>
      <c r="K938" s="29"/>
      <c r="P938" s="22"/>
      <c r="X938" s="22"/>
    </row>
    <row r="939" spans="10:24">
      <c r="J939" s="20" t="e">
        <f>VLOOKUP(G939,MD!M$2:O$93,3,FALSE)</f>
        <v>#N/A</v>
      </c>
      <c r="K939" s="29"/>
      <c r="P939" s="22"/>
      <c r="X939" s="22"/>
    </row>
    <row r="940" spans="10:24">
      <c r="J940" s="20" t="e">
        <f>VLOOKUP(G940,MD!M$2:O$93,3,FALSE)</f>
        <v>#N/A</v>
      </c>
      <c r="K940" s="29"/>
      <c r="P940" s="22"/>
      <c r="X940" s="22"/>
    </row>
    <row r="941" spans="10:24">
      <c r="J941" s="20" t="e">
        <f>VLOOKUP(G941,MD!M$2:O$93,3,FALSE)</f>
        <v>#N/A</v>
      </c>
      <c r="K941" s="29"/>
      <c r="P941" s="22"/>
      <c r="X941" s="22"/>
    </row>
    <row r="942" spans="10:24">
      <c r="J942" s="20" t="e">
        <f>VLOOKUP(G942,MD!M$2:O$93,3,FALSE)</f>
        <v>#N/A</v>
      </c>
      <c r="K942" s="29"/>
      <c r="P942" s="22"/>
      <c r="X942" s="22"/>
    </row>
    <row r="943" spans="10:24">
      <c r="J943" s="20" t="e">
        <f>VLOOKUP(G943,MD!M$2:O$93,3,FALSE)</f>
        <v>#N/A</v>
      </c>
      <c r="K943" s="29"/>
      <c r="P943" s="22"/>
      <c r="X943" s="22"/>
    </row>
    <row r="944" spans="10:24">
      <c r="J944" s="20" t="e">
        <f>VLOOKUP(G944,MD!M$2:O$93,3,FALSE)</f>
        <v>#N/A</v>
      </c>
      <c r="K944" s="29"/>
      <c r="P944" s="22"/>
      <c r="X944" s="22"/>
    </row>
    <row r="945" spans="10:24">
      <c r="J945" s="20" t="e">
        <f>VLOOKUP(G945,MD!M$2:O$93,3,FALSE)</f>
        <v>#N/A</v>
      </c>
      <c r="K945" s="29"/>
      <c r="P945" s="22"/>
      <c r="X945" s="22"/>
    </row>
    <row r="946" spans="10:24">
      <c r="J946" s="20" t="e">
        <f>VLOOKUP(G946,MD!M$2:O$93,3,FALSE)</f>
        <v>#N/A</v>
      </c>
      <c r="K946" s="29"/>
      <c r="P946" s="22"/>
      <c r="X946" s="22"/>
    </row>
    <row r="947" spans="10:24">
      <c r="J947" s="20" t="e">
        <f>VLOOKUP(G947,MD!M$2:O$93,3,FALSE)</f>
        <v>#N/A</v>
      </c>
      <c r="K947" s="29"/>
      <c r="P947" s="22"/>
      <c r="X947" s="22"/>
    </row>
    <row r="948" spans="10:24">
      <c r="J948" s="20" t="e">
        <f>VLOOKUP(G948,MD!M$2:O$93,3,FALSE)</f>
        <v>#N/A</v>
      </c>
      <c r="K948" s="29"/>
      <c r="P948" s="22"/>
      <c r="X948" s="22"/>
    </row>
    <row r="949" spans="10:24">
      <c r="J949" s="20" t="e">
        <f>VLOOKUP(G949,MD!M$2:O$93,3,FALSE)</f>
        <v>#N/A</v>
      </c>
      <c r="K949" s="29"/>
      <c r="P949" s="22"/>
      <c r="X949" s="22"/>
    </row>
    <row r="950" spans="10:24">
      <c r="J950" s="20" t="e">
        <f>VLOOKUP(G950,MD!M$2:O$93,3,FALSE)</f>
        <v>#N/A</v>
      </c>
      <c r="K950" s="29"/>
      <c r="P950" s="22"/>
      <c r="X950" s="22"/>
    </row>
    <row r="951" spans="10:24">
      <c r="J951" s="20" t="e">
        <f>VLOOKUP(G951,MD!M$2:O$93,3,FALSE)</f>
        <v>#N/A</v>
      </c>
      <c r="K951" s="29"/>
      <c r="P951" s="22"/>
      <c r="X951" s="22"/>
    </row>
    <row r="952" spans="10:24">
      <c r="J952" s="20" t="e">
        <f>VLOOKUP(G952,MD!M$2:O$93,3,FALSE)</f>
        <v>#N/A</v>
      </c>
      <c r="K952" s="29"/>
      <c r="P952" s="22"/>
      <c r="X952" s="22"/>
    </row>
    <row r="953" spans="10:24">
      <c r="J953" s="20" t="e">
        <f>VLOOKUP(G953,MD!M$2:O$93,3,FALSE)</f>
        <v>#N/A</v>
      </c>
      <c r="K953" s="29"/>
      <c r="P953" s="22"/>
      <c r="X953" s="22"/>
    </row>
    <row r="954" spans="10:24">
      <c r="J954" s="20" t="e">
        <f>VLOOKUP(G954,MD!M$2:O$93,3,FALSE)</f>
        <v>#N/A</v>
      </c>
      <c r="K954" s="29"/>
      <c r="P954" s="22"/>
      <c r="X954" s="22"/>
    </row>
    <row r="955" spans="10:24">
      <c r="J955" s="20" t="e">
        <f>VLOOKUP(G955,MD!M$2:O$93,3,FALSE)</f>
        <v>#N/A</v>
      </c>
      <c r="K955" s="29"/>
      <c r="P955" s="22"/>
      <c r="X955" s="22"/>
    </row>
    <row r="956" spans="10:24">
      <c r="J956" s="20" t="e">
        <f>VLOOKUP(G956,MD!M$2:O$93,3,FALSE)</f>
        <v>#N/A</v>
      </c>
      <c r="K956" s="29"/>
      <c r="P956" s="22"/>
      <c r="X956" s="22"/>
    </row>
    <row r="957" spans="10:24">
      <c r="J957" s="20" t="e">
        <f>VLOOKUP(G957,MD!M$2:O$93,3,FALSE)</f>
        <v>#N/A</v>
      </c>
      <c r="K957" s="29"/>
      <c r="P957" s="22"/>
      <c r="X957" s="22"/>
    </row>
    <row r="958" spans="10:24">
      <c r="J958" s="20" t="e">
        <f>VLOOKUP(G958,MD!M$2:O$93,3,FALSE)</f>
        <v>#N/A</v>
      </c>
      <c r="K958" s="29"/>
      <c r="P958" s="22"/>
      <c r="X958" s="22"/>
    </row>
    <row r="959" spans="10:24">
      <c r="J959" s="20" t="e">
        <f>VLOOKUP(G959,MD!M$2:O$93,3,FALSE)</f>
        <v>#N/A</v>
      </c>
      <c r="K959" s="29"/>
      <c r="P959" s="22"/>
      <c r="X959" s="22"/>
    </row>
    <row r="960" spans="10:24">
      <c r="J960" s="20" t="e">
        <f>VLOOKUP(G960,MD!M$2:O$93,3,FALSE)</f>
        <v>#N/A</v>
      </c>
      <c r="K960" s="29"/>
      <c r="P960" s="22"/>
      <c r="X960" s="22"/>
    </row>
    <row r="961" spans="10:24">
      <c r="J961" s="20" t="e">
        <f>VLOOKUP(G961,MD!M$2:O$93,3,FALSE)</f>
        <v>#N/A</v>
      </c>
      <c r="K961" s="29"/>
      <c r="P961" s="22"/>
      <c r="X961" s="22"/>
    </row>
    <row r="962" spans="10:24">
      <c r="J962" s="20" t="e">
        <f>VLOOKUP(G962,MD!M$2:O$93,3,FALSE)</f>
        <v>#N/A</v>
      </c>
      <c r="K962" s="29"/>
      <c r="P962" s="22"/>
      <c r="X962" s="22"/>
    </row>
    <row r="963" spans="10:24">
      <c r="J963" s="20" t="e">
        <f>VLOOKUP(G963,MD!M$2:O$93,3,FALSE)</f>
        <v>#N/A</v>
      </c>
      <c r="K963" s="29"/>
      <c r="P963" s="22"/>
      <c r="X963" s="22"/>
    </row>
    <row r="964" spans="10:24">
      <c r="J964" s="20" t="e">
        <f>VLOOKUP(G964,MD!M$2:O$93,3,FALSE)</f>
        <v>#N/A</v>
      </c>
      <c r="K964" s="29"/>
      <c r="P964" s="22"/>
      <c r="X964" s="22"/>
    </row>
    <row r="965" spans="10:24">
      <c r="J965" s="20" t="e">
        <f>VLOOKUP(G965,MD!M$2:O$93,3,FALSE)</f>
        <v>#N/A</v>
      </c>
      <c r="K965" s="29"/>
      <c r="P965" s="22"/>
      <c r="X965" s="22"/>
    </row>
    <row r="966" spans="10:24">
      <c r="J966" s="20" t="e">
        <f>VLOOKUP(G966,MD!M$2:O$93,3,FALSE)</f>
        <v>#N/A</v>
      </c>
      <c r="K966" s="29"/>
      <c r="P966" s="22"/>
      <c r="X966" s="22"/>
    </row>
    <row r="967" spans="10:24">
      <c r="J967" s="20" t="e">
        <f>VLOOKUP(G967,MD!M$2:O$93,3,FALSE)</f>
        <v>#N/A</v>
      </c>
      <c r="K967" s="29"/>
      <c r="P967" s="22"/>
      <c r="X967" s="22"/>
    </row>
    <row r="968" spans="10:24">
      <c r="J968" s="20" t="e">
        <f>VLOOKUP(G968,MD!M$2:O$93,3,FALSE)</f>
        <v>#N/A</v>
      </c>
      <c r="K968" s="29"/>
      <c r="P968" s="22"/>
      <c r="X968" s="22"/>
    </row>
    <row r="969" spans="10:24">
      <c r="J969" s="20" t="e">
        <f>VLOOKUP(G969,MD!M$2:O$93,3,FALSE)</f>
        <v>#N/A</v>
      </c>
      <c r="K969" s="29"/>
      <c r="P969" s="22"/>
      <c r="X969" s="22"/>
    </row>
    <row r="970" spans="10:24">
      <c r="J970" s="20" t="e">
        <f>VLOOKUP(G970,MD!M$2:O$93,3,FALSE)</f>
        <v>#N/A</v>
      </c>
      <c r="K970" s="29"/>
      <c r="P970" s="22"/>
      <c r="X970" s="22"/>
    </row>
    <row r="971" spans="10:24">
      <c r="J971" s="20" t="e">
        <f>VLOOKUP(G971,MD!M$2:O$93,3,FALSE)</f>
        <v>#N/A</v>
      </c>
      <c r="K971" s="29"/>
      <c r="P971" s="22"/>
      <c r="X971" s="22"/>
    </row>
    <row r="972" spans="10:24">
      <c r="J972" s="20" t="e">
        <f>VLOOKUP(G972,MD!M$2:O$93,3,FALSE)</f>
        <v>#N/A</v>
      </c>
      <c r="K972" s="29"/>
      <c r="P972" s="22"/>
      <c r="X972" s="22"/>
    </row>
    <row r="973" spans="10:24">
      <c r="J973" s="20" t="e">
        <f>VLOOKUP(G973,MD!M$2:O$93,3,FALSE)</f>
        <v>#N/A</v>
      </c>
      <c r="K973" s="29"/>
      <c r="P973" s="22"/>
      <c r="X973" s="22"/>
    </row>
    <row r="974" spans="10:24">
      <c r="J974" s="20" t="e">
        <f>VLOOKUP(G974,MD!M$2:O$93,3,FALSE)</f>
        <v>#N/A</v>
      </c>
      <c r="K974" s="29"/>
      <c r="P974" s="22"/>
      <c r="X974" s="22"/>
    </row>
    <row r="975" spans="10:24">
      <c r="J975" s="20" t="e">
        <f>VLOOKUP(G975,MD!M$2:O$93,3,FALSE)</f>
        <v>#N/A</v>
      </c>
      <c r="K975" s="29"/>
      <c r="P975" s="22"/>
      <c r="X975" s="22"/>
    </row>
    <row r="976" spans="10:24">
      <c r="J976" s="20" t="e">
        <f>VLOOKUP(G976,MD!M$2:O$93,3,FALSE)</f>
        <v>#N/A</v>
      </c>
      <c r="K976" s="29"/>
      <c r="P976" s="22"/>
      <c r="X976" s="22"/>
    </row>
    <row r="977" spans="10:24">
      <c r="J977" s="20" t="e">
        <f>VLOOKUP(G977,MD!M$2:O$93,3,FALSE)</f>
        <v>#N/A</v>
      </c>
      <c r="K977" s="29"/>
      <c r="P977" s="22"/>
      <c r="X977" s="22"/>
    </row>
    <row r="978" spans="10:24">
      <c r="J978" s="20" t="e">
        <f>VLOOKUP(G978,MD!M$2:O$93,3,FALSE)</f>
        <v>#N/A</v>
      </c>
      <c r="K978" s="29"/>
      <c r="P978" s="22"/>
      <c r="X978" s="22"/>
    </row>
    <row r="979" spans="10:24">
      <c r="J979" s="20" t="e">
        <f>VLOOKUP(G979,MD!M$2:O$93,3,FALSE)</f>
        <v>#N/A</v>
      </c>
      <c r="K979" s="29"/>
      <c r="P979" s="22"/>
      <c r="X979" s="22"/>
    </row>
    <row r="980" spans="10:24">
      <c r="J980" s="20" t="e">
        <f>VLOOKUP(G980,MD!M$2:O$93,3,FALSE)</f>
        <v>#N/A</v>
      </c>
      <c r="K980" s="29"/>
      <c r="P980" s="22"/>
      <c r="X980" s="22"/>
    </row>
    <row r="981" spans="10:24">
      <c r="J981" s="20" t="e">
        <f>VLOOKUP(G981,MD!M$2:O$93,3,FALSE)</f>
        <v>#N/A</v>
      </c>
      <c r="K981" s="29"/>
      <c r="P981" s="22"/>
      <c r="X981" s="22"/>
    </row>
    <row r="982" spans="10:24">
      <c r="J982" s="20" t="e">
        <f>VLOOKUP(G982,MD!M$2:O$93,3,FALSE)</f>
        <v>#N/A</v>
      </c>
      <c r="K982" s="29"/>
      <c r="P982" s="22"/>
      <c r="X982" s="22"/>
    </row>
    <row r="983" spans="10:24">
      <c r="J983" s="20" t="e">
        <f>VLOOKUP(G983,MD!M$2:O$93,3,FALSE)</f>
        <v>#N/A</v>
      </c>
      <c r="K983" s="29"/>
      <c r="P983" s="22"/>
      <c r="X983" s="22"/>
    </row>
    <row r="984" spans="10:24">
      <c r="J984" s="20" t="e">
        <f>VLOOKUP(G984,MD!M$2:O$93,3,FALSE)</f>
        <v>#N/A</v>
      </c>
      <c r="K984" s="29"/>
      <c r="P984" s="22"/>
      <c r="X984" s="22"/>
    </row>
    <row r="985" spans="10:24">
      <c r="J985" s="20" t="e">
        <f>VLOOKUP(G985,MD!M$2:O$93,3,FALSE)</f>
        <v>#N/A</v>
      </c>
      <c r="K985" s="29"/>
      <c r="P985" s="22"/>
      <c r="X985" s="22"/>
    </row>
    <row r="986" spans="10:24">
      <c r="J986" s="20" t="e">
        <f>VLOOKUP(G986,MD!M$2:O$93,3,FALSE)</f>
        <v>#N/A</v>
      </c>
      <c r="K986" s="29"/>
      <c r="P986" s="22"/>
      <c r="X986" s="22"/>
    </row>
    <row r="987" spans="10:24">
      <c r="J987" s="20" t="e">
        <f>VLOOKUP(G987,MD!M$2:O$93,3,FALSE)</f>
        <v>#N/A</v>
      </c>
      <c r="K987" s="29"/>
      <c r="P987" s="22"/>
      <c r="X987" s="22"/>
    </row>
    <row r="988" spans="10:24">
      <c r="J988" s="20" t="e">
        <f>VLOOKUP(G988,MD!M$2:O$93,3,FALSE)</f>
        <v>#N/A</v>
      </c>
      <c r="K988" s="29"/>
      <c r="P988" s="22"/>
      <c r="X988" s="22"/>
    </row>
    <row r="989" spans="10:24">
      <c r="J989" s="20" t="e">
        <f>VLOOKUP(G989,MD!M$2:O$93,3,FALSE)</f>
        <v>#N/A</v>
      </c>
      <c r="K989" s="29"/>
      <c r="P989" s="22"/>
      <c r="X989" s="22"/>
    </row>
    <row r="990" spans="10:24">
      <c r="J990" s="20" t="e">
        <f>VLOOKUP(G990,MD!M$2:O$93,3,FALSE)</f>
        <v>#N/A</v>
      </c>
      <c r="K990" s="29"/>
      <c r="P990" s="22"/>
      <c r="X990" s="22"/>
    </row>
    <row r="991" spans="10:24">
      <c r="J991" s="20" t="e">
        <f>VLOOKUP(G991,MD!M$2:O$93,3,FALSE)</f>
        <v>#N/A</v>
      </c>
      <c r="K991" s="29"/>
      <c r="P991" s="22"/>
      <c r="X991" s="22"/>
    </row>
    <row r="992" spans="10:24">
      <c r="J992" s="20" t="e">
        <f>VLOOKUP(G992,MD!M$2:O$93,3,FALSE)</f>
        <v>#N/A</v>
      </c>
      <c r="K992" s="29"/>
      <c r="P992" s="22"/>
      <c r="X992" s="22"/>
    </row>
    <row r="993" spans="10:24">
      <c r="J993" s="20" t="e">
        <f>VLOOKUP(G993,MD!M$2:O$93,3,FALSE)</f>
        <v>#N/A</v>
      </c>
      <c r="K993" s="29"/>
      <c r="P993" s="22"/>
      <c r="X993" s="22"/>
    </row>
    <row r="994" spans="10:24">
      <c r="J994" s="20" t="e">
        <f>VLOOKUP(G994,MD!M$2:O$93,3,FALSE)</f>
        <v>#N/A</v>
      </c>
      <c r="K994" s="29"/>
      <c r="P994" s="22"/>
      <c r="X994" s="22"/>
    </row>
    <row r="995" spans="10:24">
      <c r="J995" s="20" t="e">
        <f>VLOOKUP(G995,MD!M$2:O$93,3,FALSE)</f>
        <v>#N/A</v>
      </c>
      <c r="K995" s="29"/>
      <c r="P995" s="22"/>
      <c r="X995" s="22"/>
    </row>
    <row r="996" spans="10:24">
      <c r="J996" s="20" t="e">
        <f>VLOOKUP(G996,MD!M$2:O$93,3,FALSE)</f>
        <v>#N/A</v>
      </c>
      <c r="K996" s="29"/>
      <c r="P996" s="22"/>
      <c r="X996" s="22"/>
    </row>
    <row r="997" spans="10:24">
      <c r="J997" s="20" t="e">
        <f>VLOOKUP(G997,MD!M$2:O$93,3,FALSE)</f>
        <v>#N/A</v>
      </c>
      <c r="K997" s="29"/>
      <c r="P997" s="22"/>
      <c r="X997" s="22"/>
    </row>
    <row r="998" spans="10:24">
      <c r="J998" s="20" t="e">
        <f>VLOOKUP(G998,MD!M$2:O$93,3,FALSE)</f>
        <v>#N/A</v>
      </c>
      <c r="K998" s="29"/>
      <c r="P998" s="22"/>
      <c r="X998" s="22"/>
    </row>
    <row r="999" spans="10:24">
      <c r="J999" s="20" t="e">
        <f>VLOOKUP(G999,MD!M$2:O$93,3,FALSE)</f>
        <v>#N/A</v>
      </c>
      <c r="K999" s="29"/>
      <c r="P999" s="22"/>
      <c r="X999" s="22"/>
    </row>
    <row r="1000" spans="10:24">
      <c r="J1000" s="20" t="e">
        <f>VLOOKUP(G1000,MD!M$2:O$93,3,FALSE)</f>
        <v>#N/A</v>
      </c>
      <c r="K1000" s="29"/>
      <c r="P1000" s="22"/>
      <c r="X1000" s="22"/>
    </row>
    <row r="1001" spans="10:24">
      <c r="J1001" s="20" t="e">
        <f>VLOOKUP(G1001,MD!M$2:O$93,3,FALSE)</f>
        <v>#N/A</v>
      </c>
      <c r="K1001" s="29"/>
      <c r="P1001" s="22"/>
      <c r="X1001" s="22"/>
    </row>
    <row r="1002" spans="10:24">
      <c r="J1002" s="20" t="e">
        <f>VLOOKUP(G1002,MD!M$2:O$93,3,FALSE)</f>
        <v>#N/A</v>
      </c>
      <c r="K1002" s="29"/>
      <c r="P1002" s="22"/>
      <c r="X1002" s="22"/>
    </row>
    <row r="1003" spans="10:24">
      <c r="J1003" s="20" t="e">
        <f>VLOOKUP(G1003,MD!M$2:O$93,3,FALSE)</f>
        <v>#N/A</v>
      </c>
      <c r="K1003" s="29"/>
      <c r="P1003" s="22"/>
      <c r="X1003" s="22"/>
    </row>
    <row r="1004" spans="10:24">
      <c r="J1004" s="20" t="e">
        <f>VLOOKUP(G1004,MD!M$2:O$93,3,FALSE)</f>
        <v>#N/A</v>
      </c>
      <c r="K1004" s="29"/>
      <c r="P1004" s="22"/>
      <c r="X1004" s="22"/>
    </row>
    <row r="1005" spans="10:24">
      <c r="J1005" s="20" t="e">
        <f>VLOOKUP(G1005,MD!M$2:O$93,3,FALSE)</f>
        <v>#N/A</v>
      </c>
      <c r="K1005" s="29"/>
      <c r="P1005" s="22"/>
      <c r="X1005" s="22"/>
    </row>
    <row r="1006" spans="10:24">
      <c r="J1006" s="20" t="e">
        <f>VLOOKUP(G1006,MD!M$2:O$93,3,FALSE)</f>
        <v>#N/A</v>
      </c>
      <c r="K1006" s="29"/>
      <c r="P1006" s="22"/>
      <c r="X1006" s="22"/>
    </row>
    <row r="1007" spans="10:24">
      <c r="J1007" s="20" t="e">
        <f>VLOOKUP(G1007,MD!M$2:O$93,3,FALSE)</f>
        <v>#N/A</v>
      </c>
      <c r="K1007" s="29"/>
      <c r="P1007" s="22"/>
      <c r="X1007" s="22"/>
    </row>
    <row r="1008" spans="10:24">
      <c r="J1008" s="20" t="e">
        <f>VLOOKUP(G1008,MD!M$2:O$93,3,FALSE)</f>
        <v>#N/A</v>
      </c>
      <c r="K1008" s="29"/>
      <c r="P1008" s="22"/>
      <c r="X1008" s="22"/>
    </row>
    <row r="1009" spans="1:31">
      <c r="J1009" s="20" t="e">
        <f>VLOOKUP(G1009,MD!M$2:O$93,3,FALSE)</f>
        <v>#N/A</v>
      </c>
      <c r="K1009" s="29"/>
      <c r="P1009" s="22"/>
      <c r="X1009" s="22"/>
    </row>
    <row r="1010" spans="1:31">
      <c r="J1010" s="20" t="e">
        <f>VLOOKUP(G1010,MD!M$2:O$93,3,FALSE)</f>
        <v>#N/A</v>
      </c>
      <c r="K1010" s="29"/>
      <c r="P1010" s="22"/>
      <c r="X1010" s="22"/>
    </row>
    <row r="1011" spans="1:31" s="59" customFormat="1">
      <c r="A1011" s="47" t="s">
        <v>553</v>
      </c>
      <c r="B1011" s="47" t="s">
        <v>554</v>
      </c>
      <c r="C1011" s="48">
        <v>44033</v>
      </c>
      <c r="D1011" s="64">
        <f t="shared" ref="D1011:D1012" si="5">WEEKNUM(C1011)</f>
        <v>30</v>
      </c>
      <c r="E1011" s="47" t="s">
        <v>553</v>
      </c>
      <c r="F1011" s="18" t="s">
        <v>86</v>
      </c>
      <c r="G1011" s="18" t="s">
        <v>55</v>
      </c>
      <c r="H1011" s="27"/>
      <c r="I1011" s="24">
        <v>1</v>
      </c>
      <c r="J1011" s="20"/>
      <c r="K1011" s="29">
        <v>1</v>
      </c>
      <c r="L1011" s="27"/>
      <c r="M1011" s="25"/>
      <c r="N1011" s="25"/>
      <c r="O1011" s="25"/>
      <c r="P1011" s="22"/>
      <c r="Q1011" s="44"/>
      <c r="R1011" s="44"/>
      <c r="S1011" s="44"/>
      <c r="T1011" s="25"/>
      <c r="U1011" s="25"/>
      <c r="V1011" s="25"/>
      <c r="W1011" s="25"/>
      <c r="X1011" s="22"/>
      <c r="Y1011" s="44"/>
      <c r="Z1011" s="44"/>
      <c r="AA1011" s="44"/>
      <c r="AB1011" s="25"/>
      <c r="AC1011" s="25"/>
      <c r="AD1011" s="25"/>
      <c r="AE1011" s="25"/>
    </row>
    <row r="1012" spans="1:31" s="59" customFormat="1">
      <c r="A1012" s="47" t="s">
        <v>553</v>
      </c>
      <c r="B1012" s="47" t="s">
        <v>554</v>
      </c>
      <c r="C1012" s="48">
        <v>44033</v>
      </c>
      <c r="D1012" s="64">
        <f t="shared" si="5"/>
        <v>30</v>
      </c>
      <c r="E1012" s="47" t="s">
        <v>553</v>
      </c>
      <c r="F1012" s="18" t="s">
        <v>2</v>
      </c>
      <c r="G1012" s="18" t="s">
        <v>115</v>
      </c>
      <c r="H1012" s="27" t="s">
        <v>827</v>
      </c>
      <c r="I1012" s="24">
        <v>51</v>
      </c>
      <c r="J1012" s="20" t="str">
        <f>VLOOKUP(G1012,MD!M$2:O$93,3,FALSE)</f>
        <v>Qtx/ha</v>
      </c>
      <c r="K1012" s="29">
        <v>1</v>
      </c>
      <c r="L1012" s="27" t="s">
        <v>830</v>
      </c>
      <c r="M1012" s="25"/>
      <c r="N1012" s="25"/>
      <c r="O1012" s="25"/>
      <c r="P1012" s="22"/>
      <c r="Q1012" s="44"/>
      <c r="R1012" s="44"/>
      <c r="S1012" s="44"/>
      <c r="T1012" s="25"/>
      <c r="U1012" s="25"/>
      <c r="V1012" s="25"/>
      <c r="W1012" s="25"/>
      <c r="X1012" s="22"/>
      <c r="Y1012" s="44"/>
      <c r="Z1012" s="44"/>
      <c r="AA1012" s="44"/>
      <c r="AB1012" s="25"/>
      <c r="AC1012" s="25"/>
      <c r="AD1012" s="25"/>
      <c r="AE1012" s="25"/>
    </row>
  </sheetData>
  <autoFilter ref="A1:G1012"/>
  <dataValidations count="2">
    <dataValidation type="list" allowBlank="1" showInputMessage="1" showErrorMessage="1" sqref="G2:G1012">
      <formula1>INDIRECT($F2)</formula1>
    </dataValidation>
    <dataValidation type="list" allowBlank="1" showInputMessage="1" showErrorMessage="1" sqref="F2:F1012">
      <formula1>Listes_des_grandes_opérations</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sheetPr codeName="Feuil5"/>
  <dimension ref="A1:AE1008"/>
  <sheetViews>
    <sheetView zoomScale="85" zoomScaleNormal="85" workbookViewId="0">
      <pane xSplit="5" ySplit="1" topLeftCell="G99" activePane="bottomRight" state="frozenSplit"/>
      <selection pane="topRight" activeCell="E1" sqref="E1"/>
      <selection pane="bottomLeft"/>
      <selection pane="bottomRight" activeCell="G108" sqref="G108"/>
    </sheetView>
  </sheetViews>
  <sheetFormatPr baseColWidth="10" defaultRowHeight="15"/>
  <cols>
    <col min="1" max="1" width="12.7109375" style="50" bestFit="1" customWidth="1"/>
    <col min="2" max="2" width="8.42578125" style="50" bestFit="1" customWidth="1"/>
    <col min="3" max="3" width="7.42578125" style="48" bestFit="1" customWidth="1"/>
    <col min="4" max="4" width="7.42578125" style="64" customWidth="1"/>
    <col min="5" max="5" width="17.42578125" style="47" bestFit="1" customWidth="1"/>
    <col min="6" max="6" width="16.42578125" style="18" bestFit="1" customWidth="1"/>
    <col min="7" max="7" width="46" style="18" customWidth="1"/>
    <col min="8" max="8" width="33.7109375" style="27" bestFit="1" customWidth="1"/>
    <col min="9" max="9" width="11.42578125" style="24"/>
    <col min="10" max="10" width="11.42578125" style="21"/>
    <col min="11" max="11" width="13.28515625" style="30" bestFit="1" customWidth="1"/>
    <col min="12" max="12" width="125.28515625" style="27" bestFit="1" customWidth="1"/>
    <col min="13" max="13" width="21.42578125" style="25" customWidth="1"/>
    <col min="14" max="15" width="13.42578125" style="25" customWidth="1"/>
    <col min="16" max="18" width="11.42578125" style="44"/>
    <col min="19" max="19" width="13.28515625" style="44" bestFit="1" customWidth="1"/>
    <col min="20" max="23" width="11.42578125" style="25"/>
    <col min="24" max="26" width="11.42578125" style="44"/>
    <col min="27" max="27" width="13.28515625" style="44" bestFit="1" customWidth="1"/>
    <col min="28" max="31" width="11.42578125" style="25"/>
  </cols>
  <sheetData>
    <row r="1" spans="1:31" s="1" customFormat="1">
      <c r="A1" s="45" t="s">
        <v>126</v>
      </c>
      <c r="B1" s="45" t="s">
        <v>0</v>
      </c>
      <c r="C1" s="46" t="s">
        <v>3</v>
      </c>
      <c r="D1" s="69" t="s">
        <v>198</v>
      </c>
      <c r="E1" s="45" t="s">
        <v>125</v>
      </c>
      <c r="F1" s="17" t="s">
        <v>1</v>
      </c>
      <c r="G1" s="17" t="s">
        <v>4</v>
      </c>
      <c r="H1" s="26" t="s">
        <v>96</v>
      </c>
      <c r="I1" s="23" t="s">
        <v>5</v>
      </c>
      <c r="J1" s="19" t="s">
        <v>6</v>
      </c>
      <c r="K1" s="28" t="s">
        <v>7</v>
      </c>
      <c r="L1" s="26" t="s">
        <v>127</v>
      </c>
      <c r="M1" s="79" t="s">
        <v>260</v>
      </c>
      <c r="N1" s="79" t="s">
        <v>381</v>
      </c>
      <c r="O1" s="79" t="s">
        <v>365</v>
      </c>
      <c r="P1" s="16" t="s">
        <v>9</v>
      </c>
      <c r="Q1" s="16" t="s">
        <v>10</v>
      </c>
      <c r="R1" s="16" t="s">
        <v>11</v>
      </c>
      <c r="S1" s="16" t="s">
        <v>8</v>
      </c>
      <c r="T1" s="23" t="s">
        <v>14</v>
      </c>
      <c r="U1" s="23" t="s">
        <v>15</v>
      </c>
      <c r="V1" s="23" t="s">
        <v>16</v>
      </c>
      <c r="W1" s="23" t="s">
        <v>12</v>
      </c>
      <c r="X1" s="16" t="s">
        <v>18</v>
      </c>
      <c r="Y1" s="16" t="s">
        <v>19</v>
      </c>
      <c r="Z1" s="16" t="s">
        <v>20</v>
      </c>
      <c r="AA1" s="16" t="s">
        <v>13</v>
      </c>
      <c r="AB1" s="23" t="s">
        <v>21</v>
      </c>
      <c r="AC1" s="23" t="s">
        <v>22</v>
      </c>
      <c r="AD1" s="23" t="s">
        <v>23</v>
      </c>
      <c r="AE1" s="23" t="s">
        <v>17</v>
      </c>
    </row>
    <row r="2" spans="1:31" s="5" customFormat="1">
      <c r="A2" s="47" t="s">
        <v>121</v>
      </c>
      <c r="B2" s="47" t="s">
        <v>122</v>
      </c>
      <c r="C2" s="48">
        <v>43027</v>
      </c>
      <c r="D2" s="64">
        <v>42</v>
      </c>
      <c r="E2" s="47" t="s">
        <v>123</v>
      </c>
      <c r="F2" s="18" t="s">
        <v>83</v>
      </c>
      <c r="G2" s="18" t="s">
        <v>26</v>
      </c>
      <c r="H2" s="27" t="s">
        <v>134</v>
      </c>
      <c r="I2" s="24">
        <v>1</v>
      </c>
      <c r="J2" s="20" t="str">
        <f>VLOOKUP(G2,MD!M$2:O$93,3,FALSE)</f>
        <v>ha</v>
      </c>
      <c r="K2" s="29">
        <v>1</v>
      </c>
      <c r="L2" s="27"/>
      <c r="M2" s="25"/>
      <c r="N2" s="25"/>
      <c r="O2" s="25"/>
      <c r="P2" s="22"/>
      <c r="Q2" s="22"/>
      <c r="R2" s="22"/>
      <c r="S2" s="22"/>
      <c r="T2" s="24"/>
      <c r="U2" s="24"/>
      <c r="V2" s="24"/>
      <c r="W2" s="24"/>
      <c r="X2" s="22"/>
      <c r="Y2" s="22"/>
      <c r="Z2" s="22"/>
      <c r="AA2" s="22"/>
      <c r="AB2" s="24"/>
      <c r="AC2" s="24"/>
      <c r="AD2" s="24"/>
      <c r="AE2" s="24"/>
    </row>
    <row r="3" spans="1:31">
      <c r="A3" s="47" t="s">
        <v>121</v>
      </c>
      <c r="B3" s="47" t="s">
        <v>122</v>
      </c>
      <c r="C3" s="48">
        <v>43027</v>
      </c>
      <c r="D3" s="64">
        <v>42</v>
      </c>
      <c r="E3" s="47" t="s">
        <v>123</v>
      </c>
      <c r="F3" s="18" t="s">
        <v>84</v>
      </c>
      <c r="G3" s="18" t="s">
        <v>76</v>
      </c>
      <c r="I3" s="24">
        <v>1</v>
      </c>
      <c r="J3" s="20" t="str">
        <f>VLOOKUP(G3,MD!M$2:O$93,3,FALSE)</f>
        <v>ha</v>
      </c>
      <c r="K3" s="29">
        <v>1</v>
      </c>
      <c r="P3" s="22"/>
      <c r="X3" s="22"/>
    </row>
    <row r="4" spans="1:31">
      <c r="A4" s="47" t="s">
        <v>121</v>
      </c>
      <c r="B4" s="47" t="s">
        <v>122</v>
      </c>
      <c r="C4" s="48">
        <v>43027</v>
      </c>
      <c r="D4" s="64">
        <v>42</v>
      </c>
      <c r="E4" s="47" t="s">
        <v>123</v>
      </c>
      <c r="F4" s="18" t="s">
        <v>87</v>
      </c>
      <c r="G4" s="18" t="s">
        <v>93</v>
      </c>
      <c r="H4" s="27" t="s">
        <v>132</v>
      </c>
      <c r="I4" s="24">
        <v>250</v>
      </c>
      <c r="J4" s="20" t="str">
        <f>VLOOKUP(G4,MD!M$2:O$93,3,FALSE)</f>
        <v>gr./m2</v>
      </c>
      <c r="K4" s="29">
        <v>1</v>
      </c>
      <c r="P4" s="22"/>
      <c r="X4" s="22"/>
    </row>
    <row r="5" spans="1:31">
      <c r="A5" s="47" t="s">
        <v>121</v>
      </c>
      <c r="B5" s="47" t="s">
        <v>122</v>
      </c>
      <c r="C5" s="48">
        <v>43027</v>
      </c>
      <c r="D5" s="64">
        <v>42</v>
      </c>
      <c r="E5" s="47" t="s">
        <v>123</v>
      </c>
      <c r="F5" s="18" t="s">
        <v>89</v>
      </c>
      <c r="G5" s="18" t="s">
        <v>133</v>
      </c>
      <c r="H5" s="27" t="s">
        <v>97</v>
      </c>
      <c r="J5" s="20" t="str">
        <f>VLOOKUP(G5,MD!M$2:O$93,3,FALSE)</f>
        <v>Dose hom.</v>
      </c>
      <c r="K5" s="29">
        <v>1</v>
      </c>
      <c r="L5" s="27" t="s">
        <v>749</v>
      </c>
      <c r="M5" s="25" t="s">
        <v>263</v>
      </c>
      <c r="N5" s="25">
        <f>175*0.4*250*0.056*0.00001*10000</f>
        <v>98.000000000000014</v>
      </c>
      <c r="O5" s="25" t="s">
        <v>358</v>
      </c>
      <c r="P5" s="22"/>
      <c r="X5" s="22"/>
    </row>
    <row r="6" spans="1:31">
      <c r="A6" s="47" t="s">
        <v>121</v>
      </c>
      <c r="B6" s="47" t="s">
        <v>122</v>
      </c>
      <c r="C6" s="48">
        <v>43055</v>
      </c>
      <c r="D6" s="64">
        <v>46</v>
      </c>
      <c r="E6" s="47" t="s">
        <v>121</v>
      </c>
      <c r="F6" s="18" t="s">
        <v>86</v>
      </c>
      <c r="G6" s="18" t="s">
        <v>64</v>
      </c>
      <c r="I6" s="24">
        <v>1</v>
      </c>
      <c r="J6" s="20" t="str">
        <f>VLOOKUP(G6,MD!M$2:O$93,3,FALSE)</f>
        <v>ha</v>
      </c>
      <c r="K6" s="29">
        <v>1</v>
      </c>
      <c r="P6" s="22"/>
      <c r="X6" s="22"/>
    </row>
    <row r="7" spans="1:31" s="59" customFormat="1">
      <c r="A7" s="47" t="s">
        <v>121</v>
      </c>
      <c r="B7" s="47" t="s">
        <v>122</v>
      </c>
      <c r="C7" s="48">
        <v>43055</v>
      </c>
      <c r="D7" s="64">
        <v>44</v>
      </c>
      <c r="E7" s="47" t="s">
        <v>121</v>
      </c>
      <c r="F7" s="18" t="s">
        <v>89</v>
      </c>
      <c r="G7" s="18" t="s">
        <v>113</v>
      </c>
      <c r="H7" s="27" t="s">
        <v>746</v>
      </c>
      <c r="I7" s="57">
        <f>2/4.5</f>
        <v>0.44444444444444442</v>
      </c>
      <c r="J7" s="20" t="str">
        <f>VLOOKUP(G7,MD!M$2:O$93,3,FALSE)</f>
        <v>Dose hom.</v>
      </c>
      <c r="K7" s="29">
        <v>1</v>
      </c>
      <c r="L7" s="27" t="s">
        <v>748</v>
      </c>
      <c r="M7" s="25" t="s">
        <v>402</v>
      </c>
      <c r="N7" s="25">
        <f>2*400</f>
        <v>800</v>
      </c>
      <c r="O7" s="25" t="s">
        <v>358</v>
      </c>
      <c r="P7" s="22"/>
      <c r="Q7" s="44"/>
      <c r="R7" s="44"/>
      <c r="S7" s="44"/>
      <c r="T7" s="25"/>
      <c r="U7" s="25"/>
      <c r="V7" s="25"/>
      <c r="W7" s="25"/>
      <c r="X7" s="22"/>
      <c r="Y7" s="44"/>
      <c r="Z7" s="44"/>
      <c r="AA7" s="44"/>
      <c r="AB7" s="25"/>
      <c r="AC7" s="25"/>
      <c r="AD7" s="25"/>
      <c r="AE7" s="25"/>
    </row>
    <row r="8" spans="1:31" s="59" customFormat="1">
      <c r="A8" s="47" t="s">
        <v>121</v>
      </c>
      <c r="B8" s="47" t="s">
        <v>122</v>
      </c>
      <c r="C8" s="48">
        <v>43055</v>
      </c>
      <c r="D8" s="64">
        <v>44</v>
      </c>
      <c r="E8" s="47" t="s">
        <v>121</v>
      </c>
      <c r="F8" s="18" t="s">
        <v>89</v>
      </c>
      <c r="G8" s="18" t="s">
        <v>113</v>
      </c>
      <c r="H8" s="27" t="s">
        <v>747</v>
      </c>
      <c r="I8" s="57">
        <f>2/4.5</f>
        <v>0.44444444444444442</v>
      </c>
      <c r="J8" s="20" t="str">
        <f>VLOOKUP(G8,MD!M$2:O$93,3,FALSE)</f>
        <v>Dose hom.</v>
      </c>
      <c r="K8" s="29">
        <v>1</v>
      </c>
      <c r="L8" s="27" t="s">
        <v>748</v>
      </c>
      <c r="M8" s="25" t="s">
        <v>751</v>
      </c>
      <c r="N8" s="25">
        <f>2*25</f>
        <v>50</v>
      </c>
      <c r="O8" s="25" t="s">
        <v>358</v>
      </c>
      <c r="P8" s="22"/>
      <c r="Q8" s="44"/>
      <c r="R8" s="44"/>
      <c r="S8" s="44"/>
      <c r="T8" s="25"/>
      <c r="U8" s="25"/>
      <c r="V8" s="25"/>
      <c r="W8" s="25"/>
      <c r="X8" s="22"/>
      <c r="Y8" s="44"/>
      <c r="Z8" s="44"/>
      <c r="AA8" s="44"/>
      <c r="AB8" s="25"/>
      <c r="AC8" s="25"/>
      <c r="AD8" s="25"/>
      <c r="AE8" s="25"/>
    </row>
    <row r="9" spans="1:31">
      <c r="A9" s="47" t="s">
        <v>121</v>
      </c>
      <c r="B9" s="47" t="s">
        <v>122</v>
      </c>
      <c r="C9" s="48">
        <v>43186</v>
      </c>
      <c r="D9" s="64">
        <v>13</v>
      </c>
      <c r="E9" s="47" t="s">
        <v>121</v>
      </c>
      <c r="F9" s="18" t="s">
        <v>85</v>
      </c>
      <c r="G9" s="18" t="s">
        <v>67</v>
      </c>
      <c r="I9" s="24">
        <v>1</v>
      </c>
      <c r="J9" s="20" t="str">
        <f>VLOOKUP(G9,MD!M$2:O$93,3,FALSE)</f>
        <v>ha</v>
      </c>
      <c r="K9" s="29">
        <v>0.96</v>
      </c>
      <c r="P9" s="22"/>
      <c r="X9" s="22"/>
    </row>
    <row r="10" spans="1:31">
      <c r="A10" s="47" t="s">
        <v>121</v>
      </c>
      <c r="B10" s="47" t="s">
        <v>122</v>
      </c>
      <c r="C10" s="48">
        <v>43186</v>
      </c>
      <c r="D10" s="64">
        <v>13</v>
      </c>
      <c r="E10" s="47" t="s">
        <v>121</v>
      </c>
      <c r="F10" s="18" t="s">
        <v>88</v>
      </c>
      <c r="G10" s="18" t="s">
        <v>192</v>
      </c>
      <c r="H10" s="27" t="s">
        <v>209</v>
      </c>
      <c r="I10" s="24">
        <v>150</v>
      </c>
      <c r="J10" s="20" t="str">
        <f>VLOOKUP(G10,MD!M$2:O$93,3,FALSE)</f>
        <v>l/ha</v>
      </c>
      <c r="K10" s="29">
        <v>0.96</v>
      </c>
      <c r="L10" s="27" t="s">
        <v>210</v>
      </c>
      <c r="P10" s="22"/>
      <c r="X10" s="22"/>
    </row>
    <row r="11" spans="1:31" s="59" customFormat="1">
      <c r="A11" s="47" t="s">
        <v>121</v>
      </c>
      <c r="B11" s="47" t="s">
        <v>122</v>
      </c>
      <c r="C11" s="48">
        <v>43202</v>
      </c>
      <c r="D11" s="64">
        <v>15</v>
      </c>
      <c r="E11" s="47" t="s">
        <v>121</v>
      </c>
      <c r="F11" s="18" t="s">
        <v>85</v>
      </c>
      <c r="G11" s="18" t="s">
        <v>67</v>
      </c>
      <c r="H11" s="27"/>
      <c r="I11" s="24">
        <v>1</v>
      </c>
      <c r="J11" s="20" t="str">
        <f>VLOOKUP(G11,MD!M$2:O$93,3,FALSE)</f>
        <v>ha</v>
      </c>
      <c r="K11" s="29">
        <v>0.96</v>
      </c>
      <c r="L11" s="27"/>
      <c r="M11" s="25"/>
      <c r="N11" s="25"/>
      <c r="O11" s="25"/>
      <c r="P11" s="22"/>
      <c r="Q11" s="44"/>
      <c r="R11" s="44"/>
      <c r="S11" s="44"/>
      <c r="T11" s="25"/>
      <c r="U11" s="25"/>
      <c r="V11" s="25"/>
      <c r="W11" s="25"/>
      <c r="X11" s="22"/>
      <c r="Y11" s="44"/>
      <c r="Z11" s="44"/>
      <c r="AA11" s="44"/>
      <c r="AB11" s="25"/>
      <c r="AC11" s="25"/>
      <c r="AD11" s="25"/>
      <c r="AE11" s="25"/>
    </row>
    <row r="12" spans="1:31" s="59" customFormat="1">
      <c r="A12" s="47" t="s">
        <v>121</v>
      </c>
      <c r="B12" s="47" t="s">
        <v>122</v>
      </c>
      <c r="C12" s="48">
        <v>43202</v>
      </c>
      <c r="D12" s="64">
        <v>15</v>
      </c>
      <c r="E12" s="47" t="s">
        <v>121</v>
      </c>
      <c r="F12" s="18" t="s">
        <v>88</v>
      </c>
      <c r="G12" s="18" t="s">
        <v>191</v>
      </c>
      <c r="H12" s="27" t="s">
        <v>216</v>
      </c>
      <c r="I12" s="24">
        <v>130</v>
      </c>
      <c r="J12" s="20" t="str">
        <f>VLOOKUP(G12,MD!M$2:O$93,3,FALSE)</f>
        <v>l/ha</v>
      </c>
      <c r="K12" s="29">
        <v>0.96</v>
      </c>
      <c r="L12" s="27"/>
      <c r="M12" s="25"/>
      <c r="N12" s="25"/>
      <c r="O12" s="25"/>
      <c r="P12" s="22"/>
      <c r="Q12" s="44"/>
      <c r="R12" s="44"/>
      <c r="S12" s="44"/>
      <c r="T12" s="25"/>
      <c r="U12" s="25"/>
      <c r="V12" s="25"/>
      <c r="W12" s="25"/>
      <c r="X12" s="22"/>
      <c r="Y12" s="44"/>
      <c r="Z12" s="44"/>
      <c r="AA12" s="44"/>
      <c r="AB12" s="25"/>
      <c r="AC12" s="25"/>
      <c r="AD12" s="25"/>
      <c r="AE12" s="25"/>
    </row>
    <row r="13" spans="1:31" s="59" customFormat="1">
      <c r="A13" s="47" t="s">
        <v>121</v>
      </c>
      <c r="B13" s="47" t="s">
        <v>122</v>
      </c>
      <c r="C13" s="48">
        <v>43231</v>
      </c>
      <c r="D13" s="64">
        <v>19</v>
      </c>
      <c r="E13" s="47" t="s">
        <v>121</v>
      </c>
      <c r="F13" s="18" t="s">
        <v>86</v>
      </c>
      <c r="G13" s="18" t="s">
        <v>64</v>
      </c>
      <c r="H13" s="27"/>
      <c r="I13" s="24">
        <v>1</v>
      </c>
      <c r="J13" s="20" t="str">
        <f>VLOOKUP(G13,MD!M$2:O$93,3,FALSE)</f>
        <v>ha</v>
      </c>
      <c r="K13" s="29">
        <v>1</v>
      </c>
      <c r="L13" s="27"/>
      <c r="M13" s="25"/>
      <c r="N13" s="25"/>
      <c r="O13" s="25"/>
      <c r="P13" s="22"/>
      <c r="Q13" s="44"/>
      <c r="R13" s="44"/>
      <c r="S13" s="44"/>
      <c r="T13" s="25"/>
      <c r="U13" s="25"/>
      <c r="V13" s="25"/>
      <c r="W13" s="25"/>
      <c r="X13" s="22"/>
      <c r="Y13" s="44"/>
      <c r="Z13" s="44"/>
      <c r="AA13" s="44"/>
      <c r="AB13" s="25"/>
      <c r="AC13" s="25"/>
      <c r="AD13" s="25"/>
      <c r="AE13" s="25"/>
    </row>
    <row r="14" spans="1:31" s="59" customFormat="1">
      <c r="A14" s="47" t="s">
        <v>121</v>
      </c>
      <c r="B14" s="47" t="s">
        <v>122</v>
      </c>
      <c r="C14" s="48">
        <v>43231</v>
      </c>
      <c r="D14" s="64">
        <v>19</v>
      </c>
      <c r="E14" s="47" t="s">
        <v>121</v>
      </c>
      <c r="F14" s="18" t="s">
        <v>89</v>
      </c>
      <c r="G14" s="18" t="s">
        <v>112</v>
      </c>
      <c r="H14" s="27" t="s">
        <v>762</v>
      </c>
      <c r="I14" s="24"/>
      <c r="J14" s="20" t="str">
        <f>VLOOKUP(G14,MD!M$2:O$93,3,FALSE)</f>
        <v>Dose hom.</v>
      </c>
      <c r="K14" s="29">
        <v>1</v>
      </c>
      <c r="L14" s="27" t="s">
        <v>764</v>
      </c>
      <c r="M14" s="25" t="s">
        <v>471</v>
      </c>
      <c r="N14" s="103">
        <f>0.5*75</f>
        <v>37.5</v>
      </c>
      <c r="O14" s="25" t="s">
        <v>358</v>
      </c>
      <c r="P14" s="22"/>
      <c r="Q14" s="44"/>
      <c r="R14" s="44"/>
      <c r="S14" s="44"/>
      <c r="T14" s="25"/>
      <c r="U14" s="25"/>
      <c r="V14" s="25"/>
      <c r="W14" s="25"/>
      <c r="X14" s="22"/>
      <c r="Y14" s="44"/>
      <c r="Z14" s="44"/>
      <c r="AA14" s="44"/>
      <c r="AB14" s="25"/>
      <c r="AC14" s="25"/>
      <c r="AD14" s="25"/>
      <c r="AE14" s="25"/>
    </row>
    <row r="15" spans="1:31" s="59" customFormat="1">
      <c r="A15" s="47" t="s">
        <v>121</v>
      </c>
      <c r="B15" s="47" t="s">
        <v>122</v>
      </c>
      <c r="C15" s="48">
        <v>43231</v>
      </c>
      <c r="D15" s="64">
        <v>19</v>
      </c>
      <c r="E15" s="47" t="s">
        <v>121</v>
      </c>
      <c r="F15" s="18" t="s">
        <v>89</v>
      </c>
      <c r="G15" s="18" t="s">
        <v>112</v>
      </c>
      <c r="H15" s="27" t="s">
        <v>763</v>
      </c>
      <c r="I15" s="24"/>
      <c r="J15" s="20" t="str">
        <f>VLOOKUP(G15,MD!M$2:O$93,3,FALSE)</f>
        <v>Dose hom.</v>
      </c>
      <c r="K15" s="29">
        <v>1</v>
      </c>
      <c r="L15" s="27" t="s">
        <v>765</v>
      </c>
      <c r="M15" s="25" t="s">
        <v>754</v>
      </c>
      <c r="N15" s="25">
        <f>0.5*150</f>
        <v>75</v>
      </c>
      <c r="O15" s="25" t="s">
        <v>358</v>
      </c>
      <c r="P15" s="22"/>
      <c r="Q15" s="44"/>
      <c r="R15" s="44"/>
      <c r="S15" s="44"/>
      <c r="T15" s="25"/>
      <c r="U15" s="25"/>
      <c r="V15" s="25"/>
      <c r="W15" s="25"/>
      <c r="X15" s="22"/>
      <c r="Y15" s="44"/>
      <c r="Z15" s="44"/>
      <c r="AA15" s="44"/>
      <c r="AB15" s="25"/>
      <c r="AC15" s="25"/>
      <c r="AD15" s="25"/>
      <c r="AE15" s="25"/>
    </row>
    <row r="16" spans="1:31" s="59" customFormat="1">
      <c r="A16" s="47" t="s">
        <v>121</v>
      </c>
      <c r="B16" s="47" t="s">
        <v>122</v>
      </c>
      <c r="C16" s="48">
        <v>43231</v>
      </c>
      <c r="D16" s="64">
        <v>19</v>
      </c>
      <c r="E16" s="47" t="s">
        <v>121</v>
      </c>
      <c r="F16" s="18" t="s">
        <v>89</v>
      </c>
      <c r="G16" s="18" t="s">
        <v>112</v>
      </c>
      <c r="H16" s="27" t="s">
        <v>766</v>
      </c>
      <c r="I16" s="24"/>
      <c r="J16" s="20" t="str">
        <f>VLOOKUP(G16,MD!M$2:O$93,3,FALSE)</f>
        <v>Dose hom.</v>
      </c>
      <c r="K16" s="29">
        <v>1</v>
      </c>
      <c r="L16" s="27" t="s">
        <v>767</v>
      </c>
      <c r="M16" s="25" t="s">
        <v>548</v>
      </c>
      <c r="N16" s="25">
        <f>0.5*90</f>
        <v>45</v>
      </c>
      <c r="O16" s="25" t="s">
        <v>358</v>
      </c>
      <c r="P16" s="22"/>
      <c r="Q16" s="44"/>
      <c r="R16" s="44"/>
      <c r="S16" s="44"/>
      <c r="T16" s="25"/>
      <c r="U16" s="25"/>
      <c r="V16" s="25"/>
      <c r="W16" s="25"/>
      <c r="X16" s="22"/>
      <c r="Y16" s="44"/>
      <c r="Z16" s="44"/>
      <c r="AA16" s="44"/>
      <c r="AB16" s="25"/>
      <c r="AC16" s="25"/>
      <c r="AD16" s="25"/>
      <c r="AE16" s="25"/>
    </row>
    <row r="17" spans="1:31" s="59" customFormat="1">
      <c r="A17" s="47" t="s">
        <v>121</v>
      </c>
      <c r="B17" s="47" t="s">
        <v>122</v>
      </c>
      <c r="C17" s="48">
        <v>43232</v>
      </c>
      <c r="D17" s="64">
        <v>19</v>
      </c>
      <c r="E17" s="47" t="s">
        <v>121</v>
      </c>
      <c r="F17" s="18" t="s">
        <v>85</v>
      </c>
      <c r="G17" s="18" t="s">
        <v>67</v>
      </c>
      <c r="H17" s="27"/>
      <c r="I17" s="24">
        <v>1</v>
      </c>
      <c r="J17" s="20" t="str">
        <f>VLOOKUP(G17,MD!M$2:O$93,3,FALSE)</f>
        <v>ha</v>
      </c>
      <c r="K17" s="29">
        <v>0.96</v>
      </c>
      <c r="L17" s="27"/>
      <c r="M17" s="25"/>
      <c r="N17" s="25"/>
      <c r="O17" s="25"/>
      <c r="P17" s="22"/>
      <c r="Q17" s="44"/>
      <c r="R17" s="44"/>
      <c r="S17" s="44"/>
      <c r="T17" s="25"/>
      <c r="U17" s="25"/>
      <c r="V17" s="25"/>
      <c r="W17" s="25"/>
      <c r="X17" s="22"/>
      <c r="Y17" s="44"/>
      <c r="Z17" s="44"/>
      <c r="AA17" s="44"/>
      <c r="AB17" s="25"/>
      <c r="AC17" s="25"/>
      <c r="AD17" s="25"/>
      <c r="AE17" s="25"/>
    </row>
    <row r="18" spans="1:31" s="59" customFormat="1">
      <c r="A18" s="47" t="s">
        <v>121</v>
      </c>
      <c r="B18" s="47" t="s">
        <v>122</v>
      </c>
      <c r="C18" s="48">
        <v>43232</v>
      </c>
      <c r="D18" s="64">
        <v>19</v>
      </c>
      <c r="E18" s="47" t="s">
        <v>121</v>
      </c>
      <c r="F18" s="18" t="s">
        <v>88</v>
      </c>
      <c r="G18" s="18" t="s">
        <v>191</v>
      </c>
      <c r="H18" s="27" t="s">
        <v>281</v>
      </c>
      <c r="I18" s="24">
        <v>95</v>
      </c>
      <c r="J18" s="20" t="str">
        <f>VLOOKUP(G18,MD!M$2:O$93,3,FALSE)</f>
        <v>l/ha</v>
      </c>
      <c r="K18" s="29">
        <v>0.96</v>
      </c>
      <c r="L18" s="27" t="s">
        <v>254</v>
      </c>
      <c r="M18" s="25"/>
      <c r="N18" s="25"/>
      <c r="O18" s="25"/>
      <c r="P18" s="22"/>
      <c r="Q18" s="44"/>
      <c r="R18" s="44"/>
      <c r="S18" s="44"/>
      <c r="T18" s="25"/>
      <c r="U18" s="25"/>
      <c r="V18" s="25"/>
      <c r="W18" s="25"/>
      <c r="X18" s="22"/>
      <c r="Y18" s="44"/>
      <c r="Z18" s="44"/>
      <c r="AA18" s="44"/>
      <c r="AB18" s="25"/>
      <c r="AC18" s="25"/>
      <c r="AD18" s="25"/>
      <c r="AE18" s="25"/>
    </row>
    <row r="19" spans="1:31" s="59" customFormat="1">
      <c r="A19" s="47" t="s">
        <v>121</v>
      </c>
      <c r="B19" s="47" t="s">
        <v>122</v>
      </c>
      <c r="C19" s="48">
        <v>43250</v>
      </c>
      <c r="D19" s="64">
        <v>21</v>
      </c>
      <c r="E19" s="47" t="s">
        <v>121</v>
      </c>
      <c r="F19" s="18" t="s">
        <v>86</v>
      </c>
      <c r="G19" s="18" t="s">
        <v>64</v>
      </c>
      <c r="H19" s="27"/>
      <c r="I19" s="24">
        <v>1</v>
      </c>
      <c r="J19" s="20" t="str">
        <f>VLOOKUP(G19,MD!M$2:O$93,3,FALSE)</f>
        <v>ha</v>
      </c>
      <c r="K19" s="29">
        <v>1</v>
      </c>
      <c r="L19" s="27" t="s">
        <v>261</v>
      </c>
      <c r="M19" s="25"/>
      <c r="N19" s="25"/>
      <c r="O19" s="25"/>
      <c r="P19" s="22"/>
      <c r="Q19" s="44"/>
      <c r="R19" s="44"/>
      <c r="S19" s="44"/>
      <c r="T19" s="25"/>
      <c r="U19" s="25"/>
      <c r="V19" s="25"/>
      <c r="W19" s="25"/>
      <c r="X19" s="22"/>
      <c r="Y19" s="44"/>
      <c r="Z19" s="44"/>
      <c r="AA19" s="44"/>
      <c r="AB19" s="25"/>
      <c r="AC19" s="25"/>
      <c r="AD19" s="25"/>
      <c r="AE19" s="25"/>
    </row>
    <row r="20" spans="1:31" s="59" customFormat="1">
      <c r="A20" s="47" t="s">
        <v>121</v>
      </c>
      <c r="B20" s="47" t="s">
        <v>122</v>
      </c>
      <c r="C20" s="48">
        <v>43250</v>
      </c>
      <c r="D20" s="64">
        <v>21</v>
      </c>
      <c r="E20" s="47" t="s">
        <v>121</v>
      </c>
      <c r="F20" s="18" t="s">
        <v>89</v>
      </c>
      <c r="G20" s="18" t="s">
        <v>112</v>
      </c>
      <c r="H20" s="27" t="s">
        <v>781</v>
      </c>
      <c r="I20" s="24">
        <v>115</v>
      </c>
      <c r="J20" s="20" t="str">
        <f>VLOOKUP(G20,MD!M$2:O$93,3,FALSE)</f>
        <v>Dose hom.</v>
      </c>
      <c r="K20" s="29">
        <v>1</v>
      </c>
      <c r="L20" s="27" t="s">
        <v>778</v>
      </c>
      <c r="M20" s="25" t="s">
        <v>367</v>
      </c>
      <c r="N20" s="25">
        <f>0.4*160</f>
        <v>64</v>
      </c>
      <c r="O20" s="25" t="s">
        <v>358</v>
      </c>
      <c r="P20" s="22"/>
      <c r="Q20" s="44"/>
      <c r="R20" s="44"/>
      <c r="S20" s="44"/>
      <c r="T20" s="25"/>
      <c r="U20" s="25"/>
      <c r="V20" s="25"/>
      <c r="W20" s="25"/>
      <c r="X20" s="22"/>
      <c r="Y20" s="44"/>
      <c r="Z20" s="44"/>
      <c r="AA20" s="44"/>
      <c r="AB20" s="25"/>
      <c r="AC20" s="25"/>
      <c r="AD20" s="25"/>
      <c r="AE20" s="25"/>
    </row>
    <row r="21" spans="1:31" s="59" customFormat="1">
      <c r="A21" s="47" t="s">
        <v>121</v>
      </c>
      <c r="B21" s="47" t="s">
        <v>122</v>
      </c>
      <c r="C21" s="48">
        <v>43250</v>
      </c>
      <c r="D21" s="64">
        <v>21</v>
      </c>
      <c r="E21" s="47" t="s">
        <v>121</v>
      </c>
      <c r="F21" s="18" t="s">
        <v>89</v>
      </c>
      <c r="G21" s="18" t="s">
        <v>112</v>
      </c>
      <c r="H21" s="27" t="s">
        <v>781</v>
      </c>
      <c r="I21" s="24">
        <v>115</v>
      </c>
      <c r="J21" s="20" t="str">
        <f>VLOOKUP(G21,MD!M$2:O$93,3,FALSE)</f>
        <v>Dose hom.</v>
      </c>
      <c r="K21" s="29">
        <v>1</v>
      </c>
      <c r="L21" s="27" t="s">
        <v>779</v>
      </c>
      <c r="M21" s="25" t="s">
        <v>371</v>
      </c>
      <c r="N21" s="25">
        <f>0.4*80</f>
        <v>32</v>
      </c>
      <c r="O21" s="25" t="s">
        <v>358</v>
      </c>
      <c r="P21" s="22"/>
      <c r="Q21" s="44"/>
      <c r="R21" s="44"/>
      <c r="S21" s="44"/>
      <c r="T21" s="25"/>
      <c r="U21" s="25"/>
      <c r="V21" s="25"/>
      <c r="W21" s="25"/>
      <c r="X21" s="22"/>
      <c r="Y21" s="44"/>
      <c r="Z21" s="44"/>
      <c r="AA21" s="44"/>
      <c r="AB21" s="25"/>
      <c r="AC21" s="25"/>
      <c r="AD21" s="25"/>
      <c r="AE21" s="25"/>
    </row>
    <row r="22" spans="1:31" s="59" customFormat="1">
      <c r="A22" s="47" t="s">
        <v>121</v>
      </c>
      <c r="B22" s="47" t="s">
        <v>122</v>
      </c>
      <c r="C22" s="48">
        <v>43250</v>
      </c>
      <c r="D22" s="64">
        <v>21</v>
      </c>
      <c r="E22" s="47" t="s">
        <v>121</v>
      </c>
      <c r="F22" s="18" t="s">
        <v>89</v>
      </c>
      <c r="G22" s="18" t="s">
        <v>112</v>
      </c>
      <c r="H22" s="27" t="s">
        <v>772</v>
      </c>
      <c r="I22" s="24">
        <v>115</v>
      </c>
      <c r="J22" s="20" t="str">
        <f>VLOOKUP(G22,MD!M$2:O$93,3,FALSE)</f>
        <v>Dose hom.</v>
      </c>
      <c r="K22" s="29">
        <v>1</v>
      </c>
      <c r="L22" s="27" t="s">
        <v>780</v>
      </c>
      <c r="M22" s="25" t="s">
        <v>776</v>
      </c>
      <c r="N22" s="103">
        <f>0.08*845</f>
        <v>67.599999999999994</v>
      </c>
      <c r="O22" s="25" t="s">
        <v>358</v>
      </c>
      <c r="P22" s="22"/>
      <c r="Q22" s="44"/>
      <c r="R22" s="44"/>
      <c r="S22" s="44"/>
      <c r="T22" s="25"/>
      <c r="U22" s="25"/>
      <c r="V22" s="25"/>
      <c r="W22" s="25"/>
      <c r="X22" s="22"/>
      <c r="Y22" s="44"/>
      <c r="Z22" s="44"/>
      <c r="AA22" s="44"/>
      <c r="AB22" s="25"/>
      <c r="AC22" s="25"/>
      <c r="AD22" s="25"/>
      <c r="AE22" s="25"/>
    </row>
    <row r="23" spans="1:31" s="59" customFormat="1">
      <c r="A23" s="47" t="s">
        <v>121</v>
      </c>
      <c r="B23" s="47" t="s">
        <v>122</v>
      </c>
      <c r="C23" s="48">
        <v>43294</v>
      </c>
      <c r="D23" s="64">
        <v>28</v>
      </c>
      <c r="E23" s="47" t="s">
        <v>121</v>
      </c>
      <c r="F23" s="18" t="s">
        <v>86</v>
      </c>
      <c r="G23" s="18" t="s">
        <v>55</v>
      </c>
      <c r="H23" s="27"/>
      <c r="I23" s="24">
        <v>1</v>
      </c>
      <c r="J23" s="20" t="str">
        <f>VLOOKUP(G23,MD!M$2:O$93,3,FALSE)</f>
        <v>ha</v>
      </c>
      <c r="K23" s="29">
        <v>1</v>
      </c>
      <c r="L23" s="27"/>
      <c r="M23" s="25"/>
      <c r="N23" s="25"/>
      <c r="O23" s="25"/>
      <c r="P23" s="22"/>
      <c r="Q23" s="44"/>
      <c r="R23" s="44"/>
      <c r="S23" s="44"/>
      <c r="T23" s="25"/>
      <c r="U23" s="25"/>
      <c r="V23" s="25"/>
      <c r="W23" s="25"/>
      <c r="X23" s="22"/>
      <c r="Y23" s="44"/>
      <c r="Z23" s="44"/>
      <c r="AA23" s="44"/>
      <c r="AB23" s="25"/>
      <c r="AC23" s="25"/>
      <c r="AD23" s="25"/>
      <c r="AE23" s="25"/>
    </row>
    <row r="24" spans="1:31" s="59" customFormat="1">
      <c r="A24" s="47" t="s">
        <v>121</v>
      </c>
      <c r="B24" s="47" t="s">
        <v>122</v>
      </c>
      <c r="C24" s="48">
        <v>43294</v>
      </c>
      <c r="D24" s="64">
        <v>28</v>
      </c>
      <c r="E24" s="47" t="s">
        <v>121</v>
      </c>
      <c r="F24" s="18" t="s">
        <v>2</v>
      </c>
      <c r="G24" s="18" t="s">
        <v>115</v>
      </c>
      <c r="H24" s="27" t="s">
        <v>285</v>
      </c>
      <c r="I24" s="24">
        <v>97</v>
      </c>
      <c r="J24" s="20" t="str">
        <f>VLOOKUP(G24,MD!M$2:O$93,3,FALSE)</f>
        <v>Qtx/ha</v>
      </c>
      <c r="K24" s="29">
        <v>1</v>
      </c>
      <c r="L24" s="27" t="s">
        <v>289</v>
      </c>
      <c r="M24" s="25"/>
      <c r="N24" s="25"/>
      <c r="O24" s="25"/>
      <c r="P24" s="22"/>
      <c r="Q24" s="44"/>
      <c r="R24" s="44"/>
      <c r="S24" s="44"/>
      <c r="T24" s="25"/>
      <c r="U24" s="25"/>
      <c r="V24" s="25"/>
      <c r="W24" s="25"/>
      <c r="X24" s="22"/>
      <c r="Y24" s="44"/>
      <c r="Z24" s="44"/>
      <c r="AA24" s="44"/>
      <c r="AB24" s="25"/>
      <c r="AC24" s="25"/>
      <c r="AD24" s="25"/>
      <c r="AE24" s="25"/>
    </row>
    <row r="25" spans="1:31" s="59" customFormat="1">
      <c r="A25" s="47" t="s">
        <v>303</v>
      </c>
      <c r="B25" s="47" t="s">
        <v>270</v>
      </c>
      <c r="C25" s="48">
        <v>43322</v>
      </c>
      <c r="D25" s="64">
        <v>32</v>
      </c>
      <c r="E25" s="47" t="s">
        <v>123</v>
      </c>
      <c r="F25" s="18" t="s">
        <v>83</v>
      </c>
      <c r="G25" s="18" t="s">
        <v>37</v>
      </c>
      <c r="H25" s="27"/>
      <c r="I25" s="24">
        <v>1</v>
      </c>
      <c r="J25" s="20" t="str">
        <f>VLOOKUP(G25,MD!M$2:O$93,3,FALSE)</f>
        <v>ha</v>
      </c>
      <c r="K25" s="29">
        <v>1</v>
      </c>
      <c r="L25" s="27"/>
      <c r="M25" s="25"/>
      <c r="N25" s="25"/>
      <c r="O25" s="25"/>
      <c r="P25" s="22"/>
      <c r="Q25" s="44"/>
      <c r="R25" s="44"/>
      <c r="S25" s="44"/>
      <c r="T25" s="25"/>
      <c r="U25" s="25"/>
      <c r="V25" s="25"/>
      <c r="W25" s="25"/>
      <c r="X25" s="22"/>
      <c r="Y25" s="44"/>
      <c r="Z25" s="44"/>
      <c r="AA25" s="44"/>
      <c r="AB25" s="25"/>
      <c r="AC25" s="25"/>
      <c r="AD25" s="25"/>
      <c r="AE25" s="25"/>
    </row>
    <row r="26" spans="1:31" s="59" customFormat="1">
      <c r="A26" s="47" t="s">
        <v>303</v>
      </c>
      <c r="B26" s="47" t="s">
        <v>270</v>
      </c>
      <c r="C26" s="48">
        <v>43343</v>
      </c>
      <c r="D26" s="64">
        <v>35</v>
      </c>
      <c r="E26" s="47" t="s">
        <v>123</v>
      </c>
      <c r="F26" s="18" t="s">
        <v>84</v>
      </c>
      <c r="G26" s="18" t="s">
        <v>76</v>
      </c>
      <c r="H26" s="27"/>
      <c r="I26" s="24">
        <v>1</v>
      </c>
      <c r="J26" s="20" t="str">
        <f>VLOOKUP(G26,MD!M$2:O$93,3,FALSE)</f>
        <v>ha</v>
      </c>
      <c r="K26" s="29">
        <v>1</v>
      </c>
      <c r="L26" s="27"/>
      <c r="M26" s="25"/>
      <c r="N26" s="25"/>
      <c r="O26" s="25"/>
      <c r="P26" s="22"/>
      <c r="Q26" s="44"/>
      <c r="R26" s="44"/>
      <c r="S26" s="44"/>
      <c r="T26" s="25"/>
      <c r="U26" s="25"/>
      <c r="V26" s="25"/>
      <c r="W26" s="25"/>
      <c r="X26" s="22"/>
      <c r="Y26" s="44"/>
      <c r="Z26" s="44"/>
      <c r="AA26" s="44"/>
      <c r="AB26" s="25"/>
      <c r="AC26" s="25"/>
      <c r="AD26" s="25"/>
      <c r="AE26" s="25"/>
    </row>
    <row r="27" spans="1:31" s="59" customFormat="1">
      <c r="A27" s="47" t="s">
        <v>303</v>
      </c>
      <c r="B27" s="47" t="s">
        <v>270</v>
      </c>
      <c r="C27" s="48">
        <v>43343</v>
      </c>
      <c r="D27" s="64">
        <v>35</v>
      </c>
      <c r="E27" s="47" t="s">
        <v>123</v>
      </c>
      <c r="F27" s="18" t="s">
        <v>87</v>
      </c>
      <c r="G27" s="18" t="s">
        <v>94</v>
      </c>
      <c r="H27" s="27" t="s">
        <v>272</v>
      </c>
      <c r="I27" s="24">
        <v>8</v>
      </c>
      <c r="J27" s="95" t="s">
        <v>106</v>
      </c>
      <c r="K27" s="29">
        <v>1</v>
      </c>
      <c r="L27" s="27"/>
      <c r="M27" s="25"/>
      <c r="N27" s="25"/>
      <c r="O27" s="25"/>
      <c r="P27" s="22"/>
      <c r="Q27" s="44"/>
      <c r="R27" s="44"/>
      <c r="S27" s="44"/>
      <c r="T27" s="25"/>
      <c r="U27" s="25"/>
      <c r="V27" s="25"/>
      <c r="W27" s="25"/>
      <c r="X27" s="22"/>
      <c r="Y27" s="44"/>
      <c r="Z27" s="44"/>
      <c r="AA27" s="44"/>
      <c r="AB27" s="25"/>
      <c r="AC27" s="25"/>
      <c r="AD27" s="25"/>
      <c r="AE27" s="25"/>
    </row>
    <row r="28" spans="1:31" s="59" customFormat="1">
      <c r="A28" s="47" t="s">
        <v>303</v>
      </c>
      <c r="B28" s="47" t="s">
        <v>270</v>
      </c>
      <c r="C28" s="48">
        <v>43343</v>
      </c>
      <c r="D28" s="64">
        <v>35</v>
      </c>
      <c r="E28" s="47" t="s">
        <v>123</v>
      </c>
      <c r="F28" s="18" t="s">
        <v>87</v>
      </c>
      <c r="G28" s="18" t="s">
        <v>94</v>
      </c>
      <c r="H28" s="27" t="s">
        <v>274</v>
      </c>
      <c r="I28" s="24">
        <v>3</v>
      </c>
      <c r="J28" s="95" t="s">
        <v>106</v>
      </c>
      <c r="K28" s="29">
        <v>1</v>
      </c>
      <c r="L28" s="27"/>
      <c r="M28" s="25"/>
      <c r="N28" s="25"/>
      <c r="O28" s="25"/>
      <c r="P28" s="22"/>
      <c r="Q28" s="44"/>
      <c r="R28" s="44"/>
      <c r="S28" s="44"/>
      <c r="T28" s="25"/>
      <c r="U28" s="25"/>
      <c r="V28" s="25"/>
      <c r="W28" s="25"/>
      <c r="X28" s="22"/>
      <c r="Y28" s="44"/>
      <c r="Z28" s="44"/>
      <c r="AA28" s="44"/>
      <c r="AB28" s="25"/>
      <c r="AC28" s="25"/>
      <c r="AD28" s="25"/>
      <c r="AE28" s="25"/>
    </row>
    <row r="29" spans="1:31" s="59" customFormat="1">
      <c r="A29" s="47" t="s">
        <v>303</v>
      </c>
      <c r="B29" s="47" t="s">
        <v>270</v>
      </c>
      <c r="C29" s="48">
        <v>43343</v>
      </c>
      <c r="D29" s="64">
        <f t="shared" ref="D29:D49" si="0">WEEKNUM(C29)</f>
        <v>35</v>
      </c>
      <c r="E29" s="47" t="s">
        <v>123</v>
      </c>
      <c r="F29" s="18" t="s">
        <v>83</v>
      </c>
      <c r="G29" s="18" t="s">
        <v>60</v>
      </c>
      <c r="H29" s="27"/>
      <c r="I29" s="24">
        <v>1</v>
      </c>
      <c r="J29" s="20" t="str">
        <f>VLOOKUP(G29,MD!M$2:O$93,3,FALSE)</f>
        <v>ha</v>
      </c>
      <c r="K29" s="29">
        <v>1</v>
      </c>
      <c r="L29" s="27"/>
      <c r="M29" s="25"/>
      <c r="N29" s="25"/>
      <c r="O29" s="25"/>
      <c r="P29" s="22"/>
      <c r="Q29" s="44"/>
      <c r="R29" s="44"/>
      <c r="S29" s="44"/>
      <c r="T29" s="25"/>
      <c r="U29" s="25"/>
      <c r="V29" s="25"/>
      <c r="W29" s="25"/>
      <c r="X29" s="22"/>
      <c r="Y29" s="44"/>
      <c r="Z29" s="44"/>
      <c r="AA29" s="44"/>
      <c r="AB29" s="25"/>
      <c r="AC29" s="25"/>
      <c r="AD29" s="25"/>
      <c r="AE29" s="25"/>
    </row>
    <row r="30" spans="1:31" s="59" customFormat="1">
      <c r="A30" s="47" t="s">
        <v>303</v>
      </c>
      <c r="B30" s="47" t="s">
        <v>270</v>
      </c>
      <c r="C30" s="48">
        <v>43515</v>
      </c>
      <c r="D30" s="64">
        <f t="shared" si="0"/>
        <v>8</v>
      </c>
      <c r="E30" s="47" t="s">
        <v>317</v>
      </c>
      <c r="F30" s="18" t="s">
        <v>83</v>
      </c>
      <c r="G30" s="18" t="s">
        <v>26</v>
      </c>
      <c r="H30" s="27"/>
      <c r="I30" s="24">
        <v>1</v>
      </c>
      <c r="J30" s="20" t="str">
        <f>VLOOKUP(G30,MD!M$2:O$93,3,FALSE)</f>
        <v>ha</v>
      </c>
      <c r="K30" s="29">
        <v>1</v>
      </c>
      <c r="L30" s="27" t="s">
        <v>407</v>
      </c>
      <c r="M30" s="25"/>
      <c r="N30" s="25"/>
      <c r="O30" s="25"/>
      <c r="P30" s="22"/>
      <c r="Q30" s="44"/>
      <c r="R30" s="44"/>
      <c r="S30" s="44"/>
      <c r="T30" s="25"/>
      <c r="U30" s="25"/>
      <c r="V30" s="25"/>
      <c r="W30" s="25"/>
      <c r="X30" s="22"/>
      <c r="Y30" s="44"/>
      <c r="Z30" s="44"/>
      <c r="AA30" s="44"/>
      <c r="AB30" s="25"/>
      <c r="AC30" s="25"/>
      <c r="AD30" s="25"/>
      <c r="AE30" s="25"/>
    </row>
    <row r="31" spans="1:31" s="59" customFormat="1">
      <c r="A31" s="47" t="s">
        <v>303</v>
      </c>
      <c r="B31" s="47" t="s">
        <v>270</v>
      </c>
      <c r="C31" s="48">
        <v>43516</v>
      </c>
      <c r="D31" s="64">
        <f t="shared" si="0"/>
        <v>8</v>
      </c>
      <c r="E31" s="47" t="s">
        <v>123</v>
      </c>
      <c r="F31" s="18" t="s">
        <v>84</v>
      </c>
      <c r="G31" s="18" t="s">
        <v>76</v>
      </c>
      <c r="H31" s="27"/>
      <c r="I31" s="24">
        <v>1</v>
      </c>
      <c r="J31" s="20" t="str">
        <f>VLOOKUP(G31,MD!M$2:O$93,3,FALSE)</f>
        <v>ha</v>
      </c>
      <c r="K31" s="29">
        <v>1</v>
      </c>
      <c r="L31" s="27"/>
      <c r="M31" s="25"/>
      <c r="N31" s="25"/>
      <c r="O31" s="25"/>
      <c r="P31" s="22"/>
      <c r="Q31" s="44"/>
      <c r="R31" s="44"/>
      <c r="S31" s="44"/>
      <c r="T31" s="25"/>
      <c r="U31" s="25"/>
      <c r="V31" s="25"/>
      <c r="W31" s="25"/>
      <c r="X31" s="22"/>
      <c r="Y31" s="44"/>
      <c r="Z31" s="44"/>
      <c r="AA31" s="44"/>
      <c r="AB31" s="25"/>
      <c r="AC31" s="25"/>
      <c r="AD31" s="25"/>
      <c r="AE31" s="25"/>
    </row>
    <row r="32" spans="1:31" s="59" customFormat="1">
      <c r="A32" s="47" t="s">
        <v>303</v>
      </c>
      <c r="B32" s="47" t="s">
        <v>270</v>
      </c>
      <c r="C32" s="48">
        <v>43516</v>
      </c>
      <c r="D32" s="64">
        <f t="shared" si="0"/>
        <v>8</v>
      </c>
      <c r="E32" s="47" t="s">
        <v>123</v>
      </c>
      <c r="F32" s="18" t="s">
        <v>87</v>
      </c>
      <c r="G32" s="18" t="s">
        <v>93</v>
      </c>
      <c r="H32" s="27" t="s">
        <v>414</v>
      </c>
      <c r="I32" s="24">
        <v>280</v>
      </c>
      <c r="J32" s="20" t="str">
        <f>VLOOKUP(G32,MD!M$2:O$93,3,FALSE)</f>
        <v>gr./m2</v>
      </c>
      <c r="K32" s="29">
        <v>1</v>
      </c>
      <c r="L32" s="27"/>
      <c r="M32" s="25"/>
      <c r="N32" s="25"/>
      <c r="O32" s="25"/>
      <c r="P32" s="22"/>
      <c r="Q32" s="44"/>
      <c r="R32" s="44"/>
      <c r="S32" s="44"/>
      <c r="T32" s="25"/>
      <c r="U32" s="25"/>
      <c r="V32" s="25"/>
      <c r="W32" s="25"/>
      <c r="X32" s="22"/>
      <c r="Y32" s="44"/>
      <c r="Z32" s="44"/>
      <c r="AA32" s="44"/>
      <c r="AB32" s="25"/>
      <c r="AC32" s="25"/>
      <c r="AD32" s="25"/>
      <c r="AE32" s="25"/>
    </row>
    <row r="33" spans="1:31" s="59" customFormat="1">
      <c r="A33" s="47" t="s">
        <v>303</v>
      </c>
      <c r="B33" s="47" t="s">
        <v>270</v>
      </c>
      <c r="C33" s="48">
        <v>43516</v>
      </c>
      <c r="D33" s="64">
        <f t="shared" si="0"/>
        <v>8</v>
      </c>
      <c r="E33" s="47" t="s">
        <v>123</v>
      </c>
      <c r="F33" s="18" t="s">
        <v>89</v>
      </c>
      <c r="G33" s="18" t="s">
        <v>133</v>
      </c>
      <c r="H33" s="27" t="s">
        <v>349</v>
      </c>
      <c r="I33" s="24"/>
      <c r="J33" s="20" t="str">
        <f>VLOOKUP(G33,MD!M$2:O$93,3,FALSE)</f>
        <v>Dose hom.</v>
      </c>
      <c r="K33" s="29">
        <v>1</v>
      </c>
      <c r="L33" s="27" t="s">
        <v>415</v>
      </c>
      <c r="M33" s="25" t="s">
        <v>348</v>
      </c>
      <c r="N33" s="104">
        <f>25*0.2*280*0.046*0.00001*10000</f>
        <v>6.4400000000000013</v>
      </c>
      <c r="O33" s="25" t="s">
        <v>358</v>
      </c>
      <c r="P33" s="22"/>
      <c r="Q33" s="44"/>
      <c r="R33" s="44"/>
      <c r="S33" s="44"/>
      <c r="T33" s="25"/>
      <c r="U33" s="25"/>
      <c r="V33" s="25"/>
      <c r="W33" s="25"/>
      <c r="X33" s="22"/>
      <c r="Y33" s="44"/>
      <c r="Z33" s="44"/>
      <c r="AA33" s="44"/>
      <c r="AB33" s="25"/>
      <c r="AC33" s="25"/>
      <c r="AD33" s="25"/>
      <c r="AE33" s="25"/>
    </row>
    <row r="34" spans="1:31" s="59" customFormat="1">
      <c r="A34" s="47" t="s">
        <v>303</v>
      </c>
      <c r="B34" s="47" t="s">
        <v>270</v>
      </c>
      <c r="C34" s="48">
        <v>43516</v>
      </c>
      <c r="D34" s="64">
        <f t="shared" si="0"/>
        <v>8</v>
      </c>
      <c r="E34" s="47" t="s">
        <v>123</v>
      </c>
      <c r="F34" s="18" t="s">
        <v>89</v>
      </c>
      <c r="G34" s="18" t="s">
        <v>133</v>
      </c>
      <c r="H34" s="27" t="s">
        <v>350</v>
      </c>
      <c r="I34" s="24"/>
      <c r="J34" s="20" t="str">
        <f>VLOOKUP(G34,MD!M$2:O$93,3,FALSE)</f>
        <v>Dose hom.</v>
      </c>
      <c r="K34" s="29">
        <v>1</v>
      </c>
      <c r="L34" s="27" t="s">
        <v>415</v>
      </c>
      <c r="M34" s="25" t="s">
        <v>351</v>
      </c>
      <c r="N34" s="104">
        <f>25*0.2*280*0.046*0.00001*10000</f>
        <v>6.4400000000000013</v>
      </c>
      <c r="O34" s="25" t="s">
        <v>358</v>
      </c>
      <c r="P34" s="22"/>
      <c r="Q34" s="44"/>
      <c r="R34" s="44"/>
      <c r="S34" s="44"/>
      <c r="T34" s="25"/>
      <c r="U34" s="25"/>
      <c r="V34" s="25"/>
      <c r="W34" s="25"/>
      <c r="X34" s="22"/>
      <c r="Y34" s="44"/>
      <c r="Z34" s="44"/>
      <c r="AA34" s="44"/>
      <c r="AB34" s="25"/>
      <c r="AC34" s="25"/>
      <c r="AD34" s="25"/>
      <c r="AE34" s="25"/>
    </row>
    <row r="35" spans="1:31" s="59" customFormat="1">
      <c r="A35" s="47" t="s">
        <v>303</v>
      </c>
      <c r="B35" s="47" t="s">
        <v>270</v>
      </c>
      <c r="C35" s="48">
        <v>43516</v>
      </c>
      <c r="D35" s="64">
        <f t="shared" si="0"/>
        <v>8</v>
      </c>
      <c r="E35" s="47" t="s">
        <v>123</v>
      </c>
      <c r="F35" s="18" t="s">
        <v>89</v>
      </c>
      <c r="G35" s="18" t="s">
        <v>133</v>
      </c>
      <c r="H35" s="27" t="s">
        <v>352</v>
      </c>
      <c r="I35" s="24"/>
      <c r="J35" s="20" t="str">
        <f>VLOOKUP(G35,MD!M$2:O$93,3,FALSE)</f>
        <v>Dose hom.</v>
      </c>
      <c r="K35" s="29">
        <v>1</v>
      </c>
      <c r="L35" s="27" t="s">
        <v>416</v>
      </c>
      <c r="M35" s="25" t="s">
        <v>353</v>
      </c>
      <c r="N35" s="104">
        <f>50*0.2*280*0.046*0.00001*10000</f>
        <v>12.880000000000003</v>
      </c>
      <c r="O35" s="25" t="s">
        <v>358</v>
      </c>
      <c r="P35" s="22"/>
      <c r="Q35" s="44"/>
      <c r="R35" s="44"/>
      <c r="S35" s="44"/>
      <c r="T35" s="25"/>
      <c r="U35" s="25"/>
      <c r="V35" s="25"/>
      <c r="W35" s="25"/>
      <c r="X35" s="22"/>
      <c r="Y35" s="44"/>
      <c r="Z35" s="44"/>
      <c r="AA35" s="44"/>
      <c r="AB35" s="25"/>
      <c r="AC35" s="25"/>
      <c r="AD35" s="25"/>
      <c r="AE35" s="25"/>
    </row>
    <row r="36" spans="1:31" s="59" customFormat="1">
      <c r="A36" s="47" t="s">
        <v>303</v>
      </c>
      <c r="B36" s="47" t="s">
        <v>270</v>
      </c>
      <c r="C36" s="48">
        <v>43541</v>
      </c>
      <c r="D36" s="64">
        <f t="shared" si="0"/>
        <v>12</v>
      </c>
      <c r="E36" s="47" t="s">
        <v>303</v>
      </c>
      <c r="F36" s="18" t="s">
        <v>85</v>
      </c>
      <c r="G36" s="18" t="s">
        <v>67</v>
      </c>
      <c r="H36" s="27"/>
      <c r="I36" s="24">
        <v>1</v>
      </c>
      <c r="J36" s="20" t="str">
        <f>VLOOKUP(G36,MD!M$2:O$93,3,FALSE)</f>
        <v>ha</v>
      </c>
      <c r="K36" s="29">
        <v>1</v>
      </c>
      <c r="L36" s="27"/>
      <c r="M36" s="25"/>
      <c r="N36" s="25"/>
      <c r="O36" s="25"/>
      <c r="P36" s="22"/>
      <c r="Q36" s="44"/>
      <c r="R36" s="44"/>
      <c r="S36" s="44"/>
      <c r="T36" s="25"/>
      <c r="U36" s="25"/>
      <c r="V36" s="25"/>
      <c r="W36" s="25"/>
      <c r="X36" s="22"/>
      <c r="Y36" s="44"/>
      <c r="Z36" s="44"/>
      <c r="AA36" s="44"/>
      <c r="AB36" s="25"/>
      <c r="AC36" s="25"/>
      <c r="AD36" s="25"/>
      <c r="AE36" s="25"/>
    </row>
    <row r="37" spans="1:31" s="59" customFormat="1">
      <c r="A37" s="47" t="s">
        <v>303</v>
      </c>
      <c r="B37" s="47" t="s">
        <v>270</v>
      </c>
      <c r="C37" s="48">
        <v>43541</v>
      </c>
      <c r="D37" s="64">
        <f t="shared" si="0"/>
        <v>12</v>
      </c>
      <c r="E37" s="47" t="s">
        <v>303</v>
      </c>
      <c r="F37" s="18" t="s">
        <v>88</v>
      </c>
      <c r="G37" s="18" t="s">
        <v>191</v>
      </c>
      <c r="H37" s="27" t="s">
        <v>209</v>
      </c>
      <c r="I37" s="24">
        <v>145</v>
      </c>
      <c r="J37" s="20" t="str">
        <f>VLOOKUP(G37,MD!M$2:O$93,3,FALSE)</f>
        <v>l/ha</v>
      </c>
      <c r="K37" s="29">
        <v>1</v>
      </c>
      <c r="L37" s="27"/>
      <c r="M37" s="25"/>
      <c r="N37" s="25"/>
      <c r="O37" s="25"/>
      <c r="P37" s="22"/>
      <c r="Q37" s="44"/>
      <c r="R37" s="44"/>
      <c r="S37" s="44"/>
      <c r="T37" s="25"/>
      <c r="U37" s="25"/>
      <c r="V37" s="25"/>
      <c r="W37" s="25"/>
      <c r="X37" s="22"/>
      <c r="Y37" s="44"/>
      <c r="Z37" s="44"/>
      <c r="AA37" s="44"/>
      <c r="AB37" s="25"/>
      <c r="AC37" s="25"/>
      <c r="AD37" s="25"/>
      <c r="AE37" s="25"/>
    </row>
    <row r="38" spans="1:31" s="59" customFormat="1">
      <c r="A38" s="47" t="s">
        <v>303</v>
      </c>
      <c r="B38" s="47" t="s">
        <v>270</v>
      </c>
      <c r="C38" s="48">
        <v>43559</v>
      </c>
      <c r="D38" s="64">
        <f t="shared" si="0"/>
        <v>14</v>
      </c>
      <c r="E38" s="47" t="s">
        <v>303</v>
      </c>
      <c r="F38" s="18" t="s">
        <v>83</v>
      </c>
      <c r="G38" s="18" t="s">
        <v>60</v>
      </c>
      <c r="H38" s="27"/>
      <c r="I38" s="24">
        <v>1</v>
      </c>
      <c r="J38" s="20" t="str">
        <f>VLOOKUP(G38,MD!M$2:O$93,3,FALSE)</f>
        <v>ha</v>
      </c>
      <c r="K38" s="29">
        <v>1</v>
      </c>
      <c r="L38" s="27"/>
      <c r="M38" s="25"/>
      <c r="N38" s="25"/>
      <c r="O38" s="25"/>
      <c r="P38" s="22"/>
      <c r="Q38" s="44"/>
      <c r="R38" s="44"/>
      <c r="S38" s="44"/>
      <c r="T38" s="25"/>
      <c r="U38" s="25"/>
      <c r="V38" s="25"/>
      <c r="W38" s="25"/>
      <c r="X38" s="22"/>
      <c r="Y38" s="44"/>
      <c r="Z38" s="44"/>
      <c r="AA38" s="44"/>
      <c r="AB38" s="25"/>
      <c r="AC38" s="25"/>
      <c r="AD38" s="25"/>
      <c r="AE38" s="25"/>
    </row>
    <row r="39" spans="1:31" s="59" customFormat="1">
      <c r="A39" s="47" t="s">
        <v>303</v>
      </c>
      <c r="B39" s="47" t="s">
        <v>270</v>
      </c>
      <c r="C39" s="48">
        <v>43581</v>
      </c>
      <c r="D39" s="64">
        <f t="shared" si="0"/>
        <v>17</v>
      </c>
      <c r="E39" s="47" t="s">
        <v>303</v>
      </c>
      <c r="F39" s="18" t="s">
        <v>85</v>
      </c>
      <c r="G39" s="18" t="s">
        <v>67</v>
      </c>
      <c r="H39" s="27"/>
      <c r="I39" s="24">
        <v>1</v>
      </c>
      <c r="J39" s="20" t="str">
        <f>VLOOKUP(G39,MD!M$2:O$93,3,FALSE)</f>
        <v>ha</v>
      </c>
      <c r="K39" s="29">
        <v>1</v>
      </c>
      <c r="L39" s="27"/>
      <c r="M39" s="25"/>
      <c r="N39" s="25"/>
      <c r="O39" s="25"/>
      <c r="P39" s="22"/>
      <c r="Q39" s="44"/>
      <c r="R39" s="44"/>
      <c r="S39" s="44"/>
      <c r="T39" s="25"/>
      <c r="U39" s="25"/>
      <c r="V39" s="25"/>
      <c r="W39" s="25"/>
      <c r="X39" s="22"/>
      <c r="Y39" s="44"/>
      <c r="Z39" s="44"/>
      <c r="AA39" s="44"/>
      <c r="AB39" s="25"/>
      <c r="AC39" s="25"/>
      <c r="AD39" s="25"/>
      <c r="AE39" s="25"/>
    </row>
    <row r="40" spans="1:31" s="59" customFormat="1">
      <c r="A40" s="47" t="s">
        <v>303</v>
      </c>
      <c r="B40" s="47" t="s">
        <v>270</v>
      </c>
      <c r="C40" s="48">
        <v>43581</v>
      </c>
      <c r="D40" s="64">
        <f t="shared" si="0"/>
        <v>17</v>
      </c>
      <c r="E40" s="47" t="s">
        <v>303</v>
      </c>
      <c r="F40" s="18" t="s">
        <v>88</v>
      </c>
      <c r="G40" s="18" t="s">
        <v>191</v>
      </c>
      <c r="H40" s="27" t="s">
        <v>405</v>
      </c>
      <c r="I40" s="24">
        <v>100</v>
      </c>
      <c r="J40" s="20" t="str">
        <f>VLOOKUP(G40,MD!M$2:O$93,3,FALSE)</f>
        <v>l/ha</v>
      </c>
      <c r="K40" s="29">
        <v>1</v>
      </c>
      <c r="L40" s="27"/>
      <c r="M40" s="25"/>
      <c r="N40" s="25"/>
      <c r="O40" s="25"/>
      <c r="P40" s="22"/>
      <c r="Q40" s="44"/>
      <c r="R40" s="44"/>
      <c r="S40" s="44"/>
      <c r="T40" s="25"/>
      <c r="U40" s="25"/>
      <c r="V40" s="25"/>
      <c r="W40" s="25"/>
      <c r="X40" s="22"/>
      <c r="Y40" s="44"/>
      <c r="Z40" s="44"/>
      <c r="AA40" s="44"/>
      <c r="AB40" s="25"/>
      <c r="AC40" s="25"/>
      <c r="AD40" s="25"/>
      <c r="AE40" s="25"/>
    </row>
    <row r="41" spans="1:31" s="59" customFormat="1">
      <c r="A41" s="47" t="s">
        <v>303</v>
      </c>
      <c r="B41" s="47" t="s">
        <v>270</v>
      </c>
      <c r="C41" s="48">
        <v>43595</v>
      </c>
      <c r="D41" s="64">
        <f t="shared" si="0"/>
        <v>19</v>
      </c>
      <c r="E41" s="47" t="s">
        <v>303</v>
      </c>
      <c r="F41" s="18" t="s">
        <v>86</v>
      </c>
      <c r="G41" s="18" t="s">
        <v>64</v>
      </c>
      <c r="H41" s="27"/>
      <c r="I41" s="24">
        <v>1</v>
      </c>
      <c r="J41" s="20" t="str">
        <f>VLOOKUP(G41,MD!M$2:O$93,3,FALSE)</f>
        <v>ha</v>
      </c>
      <c r="K41" s="29">
        <v>1</v>
      </c>
      <c r="L41" s="27"/>
      <c r="M41" s="25"/>
      <c r="N41" s="25"/>
      <c r="O41" s="25"/>
      <c r="P41" s="22"/>
      <c r="Q41" s="44"/>
      <c r="R41" s="44"/>
      <c r="S41" s="44"/>
      <c r="T41" s="25"/>
      <c r="U41" s="25"/>
      <c r="V41" s="25"/>
      <c r="W41" s="25"/>
      <c r="X41" s="22"/>
      <c r="Y41" s="44"/>
      <c r="Z41" s="44"/>
      <c r="AA41" s="44"/>
      <c r="AB41" s="25"/>
      <c r="AC41" s="25"/>
      <c r="AD41" s="25"/>
      <c r="AE41" s="25"/>
    </row>
    <row r="42" spans="1:31" s="59" customFormat="1">
      <c r="A42" s="47" t="s">
        <v>303</v>
      </c>
      <c r="B42" s="47" t="s">
        <v>270</v>
      </c>
      <c r="C42" s="48">
        <v>43595</v>
      </c>
      <c r="D42" s="64">
        <f t="shared" si="0"/>
        <v>19</v>
      </c>
      <c r="E42" s="47" t="s">
        <v>303</v>
      </c>
      <c r="F42" s="18" t="s">
        <v>89</v>
      </c>
      <c r="G42" s="18" t="s">
        <v>113</v>
      </c>
      <c r="H42" s="27" t="s">
        <v>498</v>
      </c>
      <c r="I42" s="102">
        <f>0.8/1.8</f>
        <v>0.44444444444444448</v>
      </c>
      <c r="J42" s="20" t="str">
        <f>VLOOKUP(G42,MD!M$2:O$93,3,FALSE)</f>
        <v>Dose hom.</v>
      </c>
      <c r="K42" s="29">
        <v>1</v>
      </c>
      <c r="L42" s="27" t="s">
        <v>499</v>
      </c>
      <c r="M42" s="25" t="s">
        <v>484</v>
      </c>
      <c r="N42" s="25">
        <v>0.8</v>
      </c>
      <c r="O42" s="25" t="s">
        <v>358</v>
      </c>
      <c r="P42" s="22"/>
      <c r="Q42" s="44"/>
      <c r="R42" s="44"/>
      <c r="S42" s="44"/>
      <c r="T42" s="25"/>
      <c r="U42" s="25"/>
      <c r="V42" s="25"/>
      <c r="W42" s="25"/>
      <c r="X42" s="22"/>
      <c r="Y42" s="44"/>
      <c r="Z42" s="44"/>
      <c r="AA42" s="44"/>
      <c r="AB42" s="25"/>
      <c r="AC42" s="25"/>
      <c r="AD42" s="25"/>
      <c r="AE42" s="25"/>
    </row>
    <row r="43" spans="1:31" s="59" customFormat="1">
      <c r="A43" s="47" t="s">
        <v>303</v>
      </c>
      <c r="B43" s="47" t="s">
        <v>270</v>
      </c>
      <c r="C43" s="48">
        <v>43595</v>
      </c>
      <c r="D43" s="64">
        <f t="shared" si="0"/>
        <v>19</v>
      </c>
      <c r="E43" s="47" t="s">
        <v>303</v>
      </c>
      <c r="F43" s="18" t="s">
        <v>89</v>
      </c>
      <c r="G43" s="18" t="s">
        <v>113</v>
      </c>
      <c r="H43" s="27" t="s">
        <v>500</v>
      </c>
      <c r="I43" s="102">
        <f>0.8/1.8</f>
        <v>0.44444444444444448</v>
      </c>
      <c r="J43" s="20" t="str">
        <f>VLOOKUP(G43,MD!M$2:O$93,3,FALSE)</f>
        <v>Dose hom.</v>
      </c>
      <c r="K43" s="29">
        <v>1</v>
      </c>
      <c r="L43" s="27" t="s">
        <v>502</v>
      </c>
      <c r="M43" s="25" t="s">
        <v>501</v>
      </c>
      <c r="N43" s="104">
        <v>80</v>
      </c>
      <c r="O43" s="25" t="s">
        <v>358</v>
      </c>
      <c r="P43" s="22"/>
      <c r="Q43" s="44"/>
      <c r="R43" s="44"/>
      <c r="S43" s="44"/>
      <c r="T43" s="25"/>
      <c r="U43" s="25"/>
      <c r="V43" s="25"/>
      <c r="W43" s="25"/>
      <c r="X43" s="22"/>
      <c r="Y43" s="44"/>
      <c r="Z43" s="44"/>
      <c r="AA43" s="44"/>
      <c r="AB43" s="25"/>
      <c r="AC43" s="25"/>
      <c r="AD43" s="25"/>
      <c r="AE43" s="25"/>
    </row>
    <row r="44" spans="1:31" s="59" customFormat="1">
      <c r="A44" s="47" t="s">
        <v>303</v>
      </c>
      <c r="B44" s="47" t="s">
        <v>270</v>
      </c>
      <c r="C44" s="48">
        <v>43607</v>
      </c>
      <c r="D44" s="64">
        <f t="shared" si="0"/>
        <v>21</v>
      </c>
      <c r="E44" s="47" t="s">
        <v>303</v>
      </c>
      <c r="F44" s="18" t="s">
        <v>86</v>
      </c>
      <c r="G44" s="18" t="s">
        <v>64</v>
      </c>
      <c r="H44" s="27"/>
      <c r="I44" s="24">
        <v>1</v>
      </c>
      <c r="J44" s="20" t="str">
        <f>VLOOKUP(G44,MD!M$2:O$93,3,FALSE)</f>
        <v>ha</v>
      </c>
      <c r="K44" s="29">
        <v>1</v>
      </c>
      <c r="L44" s="27"/>
      <c r="M44" s="25"/>
      <c r="N44" s="104"/>
      <c r="O44" s="25"/>
      <c r="P44" s="22"/>
      <c r="Q44" s="44"/>
      <c r="R44" s="44"/>
      <c r="S44" s="44"/>
      <c r="T44" s="25"/>
      <c r="U44" s="25"/>
      <c r="V44" s="25"/>
      <c r="W44" s="25"/>
      <c r="X44" s="22"/>
      <c r="Y44" s="44"/>
      <c r="Z44" s="44"/>
      <c r="AA44" s="44"/>
      <c r="AB44" s="25"/>
      <c r="AC44" s="25"/>
      <c r="AD44" s="25"/>
      <c r="AE44" s="25"/>
    </row>
    <row r="45" spans="1:31" s="59" customFormat="1">
      <c r="A45" s="47" t="s">
        <v>303</v>
      </c>
      <c r="B45" s="47" t="s">
        <v>270</v>
      </c>
      <c r="C45" s="48">
        <v>43607</v>
      </c>
      <c r="D45" s="64">
        <f t="shared" si="0"/>
        <v>21</v>
      </c>
      <c r="E45" s="47" t="s">
        <v>303</v>
      </c>
      <c r="F45" s="18" t="s">
        <v>89</v>
      </c>
      <c r="G45" s="18" t="s">
        <v>112</v>
      </c>
      <c r="H45" s="27" t="s">
        <v>529</v>
      </c>
      <c r="I45" s="102">
        <f>0.6/1.2</f>
        <v>0.5</v>
      </c>
      <c r="J45" s="20" t="str">
        <f>VLOOKUP(G45,MD!M$2:O$93,3,FALSE)</f>
        <v>Dose hom.</v>
      </c>
      <c r="K45" s="29">
        <v>1</v>
      </c>
      <c r="L45" s="27" t="s">
        <v>532</v>
      </c>
      <c r="M45" s="25" t="s">
        <v>369</v>
      </c>
      <c r="N45" s="104">
        <v>39</v>
      </c>
      <c r="O45" s="25" t="s">
        <v>358</v>
      </c>
      <c r="P45" s="22"/>
      <c r="Q45" s="44"/>
      <c r="R45" s="44"/>
      <c r="S45" s="44"/>
      <c r="T45" s="25"/>
      <c r="U45" s="25"/>
      <c r="V45" s="25"/>
      <c r="W45" s="25"/>
      <c r="X45" s="22"/>
      <c r="Y45" s="44"/>
      <c r="Z45" s="44"/>
      <c r="AA45" s="44"/>
      <c r="AB45" s="25"/>
      <c r="AC45" s="25"/>
      <c r="AD45" s="25"/>
      <c r="AE45" s="25"/>
    </row>
    <row r="46" spans="1:31" s="59" customFormat="1">
      <c r="A46" s="47" t="s">
        <v>303</v>
      </c>
      <c r="B46" s="47" t="s">
        <v>270</v>
      </c>
      <c r="C46" s="48">
        <v>43607</v>
      </c>
      <c r="D46" s="64">
        <f t="shared" si="0"/>
        <v>21</v>
      </c>
      <c r="E46" s="47" t="s">
        <v>303</v>
      </c>
      <c r="F46" s="18" t="s">
        <v>89</v>
      </c>
      <c r="G46" s="18" t="s">
        <v>112</v>
      </c>
      <c r="H46" s="27" t="s">
        <v>530</v>
      </c>
      <c r="I46" s="102">
        <f>0.6/1.2</f>
        <v>0.5</v>
      </c>
      <c r="J46" s="20" t="str">
        <f>VLOOKUP(G46,MD!M$2:O$93,3,FALSE)</f>
        <v>Dose hom.</v>
      </c>
      <c r="K46" s="29">
        <v>1</v>
      </c>
      <c r="L46" s="27" t="s">
        <v>532</v>
      </c>
      <c r="M46" s="25" t="s">
        <v>533</v>
      </c>
      <c r="N46" s="104">
        <v>39</v>
      </c>
      <c r="O46" s="25" t="s">
        <v>358</v>
      </c>
      <c r="P46" s="22"/>
      <c r="Q46" s="44"/>
      <c r="R46" s="44"/>
      <c r="S46" s="44"/>
      <c r="T46" s="25"/>
      <c r="U46" s="25"/>
      <c r="V46" s="25"/>
      <c r="W46" s="25"/>
      <c r="X46" s="22"/>
      <c r="Y46" s="44"/>
      <c r="Z46" s="44"/>
      <c r="AA46" s="44"/>
      <c r="AB46" s="25"/>
      <c r="AC46" s="25"/>
      <c r="AD46" s="25"/>
      <c r="AE46" s="25"/>
    </row>
    <row r="47" spans="1:31" s="59" customFormat="1">
      <c r="A47" s="47" t="s">
        <v>303</v>
      </c>
      <c r="B47" s="47" t="s">
        <v>270</v>
      </c>
      <c r="C47" s="48">
        <v>43607</v>
      </c>
      <c r="D47" s="64">
        <f t="shared" si="0"/>
        <v>21</v>
      </c>
      <c r="E47" s="47" t="s">
        <v>303</v>
      </c>
      <c r="F47" s="18" t="s">
        <v>89</v>
      </c>
      <c r="G47" s="18" t="s">
        <v>112</v>
      </c>
      <c r="H47" s="27" t="s">
        <v>531</v>
      </c>
      <c r="I47" s="102">
        <f>0.6/1.2</f>
        <v>0.5</v>
      </c>
      <c r="J47" s="20" t="str">
        <f>VLOOKUP(G47,MD!M$2:O$93,3,FALSE)</f>
        <v>Dose hom.</v>
      </c>
      <c r="K47" s="29">
        <v>1</v>
      </c>
      <c r="L47" s="27" t="s">
        <v>534</v>
      </c>
      <c r="M47" s="25" t="s">
        <v>367</v>
      </c>
      <c r="N47" s="104">
        <v>78</v>
      </c>
      <c r="O47" s="25" t="s">
        <v>358</v>
      </c>
      <c r="P47" s="22"/>
      <c r="Q47" s="44"/>
      <c r="R47" s="44"/>
      <c r="S47" s="44"/>
      <c r="T47" s="25"/>
      <c r="U47" s="25"/>
      <c r="V47" s="25"/>
      <c r="W47" s="25"/>
      <c r="X47" s="22"/>
      <c r="Y47" s="44"/>
      <c r="Z47" s="44"/>
      <c r="AA47" s="44"/>
      <c r="AB47" s="25"/>
      <c r="AC47" s="25"/>
      <c r="AD47" s="25"/>
      <c r="AE47" s="25"/>
    </row>
    <row r="48" spans="1:31" s="59" customFormat="1">
      <c r="A48" s="47" t="s">
        <v>303</v>
      </c>
      <c r="B48" s="47" t="s">
        <v>270</v>
      </c>
      <c r="C48" s="48">
        <v>43607</v>
      </c>
      <c r="D48" s="64">
        <f t="shared" si="0"/>
        <v>21</v>
      </c>
      <c r="E48" s="47" t="s">
        <v>303</v>
      </c>
      <c r="F48" s="18" t="s">
        <v>89</v>
      </c>
      <c r="G48" s="18" t="s">
        <v>112</v>
      </c>
      <c r="H48" s="27" t="s">
        <v>535</v>
      </c>
      <c r="I48" s="24">
        <f>0.12/0.5</f>
        <v>0.24</v>
      </c>
      <c r="J48" s="20" t="str">
        <f>VLOOKUP(G48,MD!M$2:O$93,3,FALSE)</f>
        <v>Dose hom.</v>
      </c>
      <c r="K48" s="29">
        <v>1</v>
      </c>
      <c r="L48" s="27" t="s">
        <v>537</v>
      </c>
      <c r="M48" s="25" t="s">
        <v>536</v>
      </c>
      <c r="N48" s="104">
        <v>60</v>
      </c>
      <c r="O48" s="25" t="s">
        <v>358</v>
      </c>
      <c r="P48" s="22"/>
      <c r="Q48" s="44"/>
      <c r="R48" s="44"/>
      <c r="S48" s="44"/>
      <c r="T48" s="25"/>
      <c r="U48" s="25"/>
      <c r="V48" s="25"/>
      <c r="W48" s="25"/>
      <c r="X48" s="22"/>
      <c r="Y48" s="44"/>
      <c r="Z48" s="44"/>
      <c r="AA48" s="44"/>
      <c r="AB48" s="25"/>
      <c r="AC48" s="25"/>
      <c r="AD48" s="25"/>
      <c r="AE48" s="25"/>
    </row>
    <row r="49" spans="1:31" s="59" customFormat="1">
      <c r="A49" s="47" t="s">
        <v>303</v>
      </c>
      <c r="B49" s="47" t="s">
        <v>270</v>
      </c>
      <c r="C49" s="48">
        <v>43607</v>
      </c>
      <c r="D49" s="64">
        <f t="shared" si="0"/>
        <v>21</v>
      </c>
      <c r="E49" s="47" t="s">
        <v>303</v>
      </c>
      <c r="F49" s="18" t="s">
        <v>89</v>
      </c>
      <c r="G49" s="18" t="s">
        <v>110</v>
      </c>
      <c r="H49" s="27" t="s">
        <v>538</v>
      </c>
      <c r="I49" s="57">
        <f>0.25/0.75</f>
        <v>0.33333333333333331</v>
      </c>
      <c r="J49" s="20" t="str">
        <f>VLOOKUP(G49,MD!M$2:O$93,3,FALSE)</f>
        <v>Dose hom.</v>
      </c>
      <c r="K49" s="29">
        <v>1</v>
      </c>
      <c r="L49" s="27" t="s">
        <v>539</v>
      </c>
      <c r="M49" s="25" t="s">
        <v>481</v>
      </c>
      <c r="N49" s="104">
        <v>120</v>
      </c>
      <c r="O49" s="25" t="s">
        <v>358</v>
      </c>
      <c r="P49" s="22"/>
      <c r="Q49" s="44"/>
      <c r="R49" s="44"/>
      <c r="S49" s="44"/>
      <c r="T49" s="25"/>
      <c r="U49" s="25"/>
      <c r="V49" s="25"/>
      <c r="W49" s="25"/>
      <c r="X49" s="22"/>
      <c r="Y49" s="44"/>
      <c r="Z49" s="44"/>
      <c r="AA49" s="44"/>
      <c r="AB49" s="25"/>
      <c r="AC49" s="25"/>
      <c r="AD49" s="25"/>
      <c r="AE49" s="25"/>
    </row>
    <row r="50" spans="1:31" s="59" customFormat="1">
      <c r="A50" s="47" t="s">
        <v>303</v>
      </c>
      <c r="B50" s="47" t="s">
        <v>270</v>
      </c>
      <c r="C50" s="48">
        <v>43670</v>
      </c>
      <c r="D50" s="64">
        <f t="shared" ref="D50:D84" si="1">WEEKNUM(C50)</f>
        <v>30</v>
      </c>
      <c r="E50" s="47" t="s">
        <v>303</v>
      </c>
      <c r="F50" s="18" t="s">
        <v>86</v>
      </c>
      <c r="G50" s="18" t="s">
        <v>55</v>
      </c>
      <c r="H50" s="27"/>
      <c r="I50" s="24">
        <v>1</v>
      </c>
      <c r="J50" s="20" t="str">
        <f>VLOOKUP(G50,MD!M$2:O$93,3,FALSE)</f>
        <v>ha</v>
      </c>
      <c r="K50" s="29">
        <v>1</v>
      </c>
      <c r="L50" s="27"/>
      <c r="M50" s="25"/>
      <c r="N50" s="25"/>
      <c r="O50" s="25"/>
      <c r="P50" s="22"/>
      <c r="Q50" s="44"/>
      <c r="R50" s="44"/>
      <c r="S50" s="44"/>
      <c r="T50" s="25"/>
      <c r="U50" s="25"/>
      <c r="V50" s="25"/>
      <c r="W50" s="25"/>
      <c r="X50" s="22"/>
      <c r="Y50" s="44"/>
      <c r="Z50" s="44"/>
      <c r="AA50" s="44"/>
      <c r="AB50" s="25"/>
      <c r="AC50" s="25"/>
      <c r="AD50" s="25"/>
      <c r="AE50" s="25"/>
    </row>
    <row r="51" spans="1:31" s="59" customFormat="1">
      <c r="A51" s="47" t="s">
        <v>303</v>
      </c>
      <c r="B51" s="47" t="s">
        <v>270</v>
      </c>
      <c r="C51" s="48">
        <v>43670</v>
      </c>
      <c r="D51" s="64">
        <f t="shared" si="1"/>
        <v>30</v>
      </c>
      <c r="E51" s="47" t="s">
        <v>303</v>
      </c>
      <c r="F51" s="18" t="s">
        <v>2</v>
      </c>
      <c r="G51" s="18" t="s">
        <v>115</v>
      </c>
      <c r="H51" s="27" t="s">
        <v>285</v>
      </c>
      <c r="I51" s="24">
        <v>96</v>
      </c>
      <c r="J51" s="20" t="str">
        <f>VLOOKUP(G51,MD!M$2:O$93,3,FALSE)</f>
        <v>Qtx/ha</v>
      </c>
      <c r="K51" s="29">
        <v>1</v>
      </c>
      <c r="L51" s="27" t="s">
        <v>564</v>
      </c>
      <c r="M51" s="25"/>
      <c r="N51" s="25"/>
      <c r="O51" s="25"/>
      <c r="P51" s="22"/>
      <c r="Q51" s="44"/>
      <c r="R51" s="44"/>
      <c r="S51" s="44"/>
      <c r="T51" s="25"/>
      <c r="U51" s="25"/>
      <c r="V51" s="25"/>
      <c r="W51" s="25"/>
      <c r="X51" s="22"/>
      <c r="Y51" s="44"/>
      <c r="Z51" s="44"/>
      <c r="AA51" s="44"/>
      <c r="AB51" s="25"/>
      <c r="AC51" s="25"/>
      <c r="AD51" s="25"/>
      <c r="AE51" s="25"/>
    </row>
    <row r="52" spans="1:31" s="59" customFormat="1">
      <c r="A52" s="47" t="s">
        <v>553</v>
      </c>
      <c r="B52" s="47" t="s">
        <v>554</v>
      </c>
      <c r="C52" s="48">
        <v>43672</v>
      </c>
      <c r="D52" s="64">
        <f t="shared" si="1"/>
        <v>30</v>
      </c>
      <c r="E52" s="47" t="s">
        <v>123</v>
      </c>
      <c r="F52" s="18" t="s">
        <v>83</v>
      </c>
      <c r="G52" s="18" t="s">
        <v>77</v>
      </c>
      <c r="H52" s="27"/>
      <c r="I52" s="24">
        <v>1</v>
      </c>
      <c r="J52" s="20" t="str">
        <f>VLOOKUP(G52,MD!M$2:O$93,3,FALSE)</f>
        <v>ha</v>
      </c>
      <c r="K52" s="29">
        <v>1</v>
      </c>
      <c r="L52" s="27"/>
      <c r="M52" s="25"/>
      <c r="N52" s="104"/>
      <c r="O52" s="25"/>
      <c r="P52" s="22"/>
      <c r="Q52" s="44"/>
      <c r="R52" s="44"/>
      <c r="S52" s="44"/>
      <c r="T52" s="25"/>
      <c r="U52" s="25"/>
      <c r="V52" s="25"/>
      <c r="W52" s="25"/>
      <c r="X52" s="22"/>
      <c r="Y52" s="44"/>
      <c r="Z52" s="44"/>
      <c r="AA52" s="44"/>
      <c r="AB52" s="25"/>
      <c r="AC52" s="25"/>
      <c r="AD52" s="25"/>
      <c r="AE52" s="25"/>
    </row>
    <row r="53" spans="1:31" s="59" customFormat="1">
      <c r="A53" s="47" t="s">
        <v>553</v>
      </c>
      <c r="B53" s="47" t="s">
        <v>554</v>
      </c>
      <c r="C53" s="48">
        <v>43696</v>
      </c>
      <c r="D53" s="64">
        <f t="shared" si="1"/>
        <v>34</v>
      </c>
      <c r="E53" s="47" t="s">
        <v>123</v>
      </c>
      <c r="F53" s="18" t="s">
        <v>83</v>
      </c>
      <c r="G53" s="18" t="s">
        <v>26</v>
      </c>
      <c r="H53" s="27"/>
      <c r="I53" s="24">
        <v>1</v>
      </c>
      <c r="J53" s="20" t="str">
        <f>VLOOKUP(G53,MD!M$2:O$93,3,FALSE)</f>
        <v>ha</v>
      </c>
      <c r="K53" s="29">
        <v>1</v>
      </c>
      <c r="L53" s="27"/>
      <c r="M53" s="25"/>
      <c r="N53" s="104"/>
      <c r="O53" s="25"/>
      <c r="P53" s="22"/>
      <c r="Q53" s="44"/>
      <c r="R53" s="44"/>
      <c r="S53" s="44"/>
      <c r="T53" s="25"/>
      <c r="U53" s="25"/>
      <c r="V53" s="25"/>
      <c r="W53" s="25"/>
      <c r="X53" s="22"/>
      <c r="Y53" s="44"/>
      <c r="Z53" s="44"/>
      <c r="AA53" s="44"/>
      <c r="AB53" s="25"/>
      <c r="AC53" s="25"/>
      <c r="AD53" s="25"/>
      <c r="AE53" s="25"/>
    </row>
    <row r="54" spans="1:31" s="59" customFormat="1">
      <c r="A54" s="47" t="s">
        <v>553</v>
      </c>
      <c r="B54" s="47" t="s">
        <v>554</v>
      </c>
      <c r="C54" s="48">
        <v>43696</v>
      </c>
      <c r="D54" s="64">
        <f t="shared" si="1"/>
        <v>34</v>
      </c>
      <c r="E54" s="47" t="s">
        <v>634</v>
      </c>
      <c r="F54" s="18" t="s">
        <v>84</v>
      </c>
      <c r="G54" s="18" t="s">
        <v>76</v>
      </c>
      <c r="H54" s="27"/>
      <c r="I54" s="24">
        <v>1</v>
      </c>
      <c r="J54" s="20" t="str">
        <f>VLOOKUP(G54,MD!M$2:O$93,3,FALSE)</f>
        <v>ha</v>
      </c>
      <c r="K54" s="29">
        <v>1</v>
      </c>
      <c r="L54" s="27"/>
      <c r="M54" s="25"/>
      <c r="N54" s="104"/>
      <c r="O54" s="25"/>
      <c r="P54" s="22"/>
      <c r="Q54" s="44"/>
      <c r="R54" s="44"/>
      <c r="S54" s="44"/>
      <c r="T54" s="25"/>
      <c r="U54" s="25"/>
      <c r="V54" s="25"/>
      <c r="W54" s="25"/>
      <c r="X54" s="22"/>
      <c r="Y54" s="44"/>
      <c r="Z54" s="44"/>
      <c r="AA54" s="44"/>
      <c r="AB54" s="25"/>
      <c r="AC54" s="25"/>
      <c r="AD54" s="25"/>
      <c r="AE54" s="25"/>
    </row>
    <row r="55" spans="1:31" s="59" customFormat="1">
      <c r="A55" s="47" t="s">
        <v>553</v>
      </c>
      <c r="B55" s="47" t="s">
        <v>554</v>
      </c>
      <c r="C55" s="48">
        <v>43696</v>
      </c>
      <c r="D55" s="64">
        <f t="shared" si="1"/>
        <v>34</v>
      </c>
      <c r="E55" s="47" t="s">
        <v>634</v>
      </c>
      <c r="F55" s="18" t="s">
        <v>87</v>
      </c>
      <c r="G55" s="18" t="s">
        <v>93</v>
      </c>
      <c r="H55" s="27" t="s">
        <v>603</v>
      </c>
      <c r="I55" s="24">
        <v>35</v>
      </c>
      <c r="J55" s="20" t="str">
        <f>VLOOKUP(G55,MD!M$2:O$93,3,FALSE)</f>
        <v>gr./m2</v>
      </c>
      <c r="K55" s="29">
        <v>1</v>
      </c>
      <c r="L55" s="27">
        <f>35/1000*0.00465*10000</f>
        <v>1.6274999999999999</v>
      </c>
      <c r="M55" s="25"/>
      <c r="N55" s="104"/>
      <c r="O55" s="25"/>
      <c r="P55" s="22"/>
      <c r="Q55" s="44"/>
      <c r="R55" s="44"/>
      <c r="S55" s="44"/>
      <c r="T55" s="25"/>
      <c r="U55" s="25"/>
      <c r="V55" s="25"/>
      <c r="W55" s="25"/>
      <c r="X55" s="22"/>
      <c r="Y55" s="44"/>
      <c r="Z55" s="44"/>
      <c r="AA55" s="44"/>
      <c r="AB55" s="25"/>
      <c r="AC55" s="25"/>
      <c r="AD55" s="25"/>
      <c r="AE55" s="25"/>
    </row>
    <row r="56" spans="1:31" s="59" customFormat="1">
      <c r="A56" s="47" t="s">
        <v>553</v>
      </c>
      <c r="B56" s="47" t="s">
        <v>554</v>
      </c>
      <c r="C56" s="48">
        <v>43696</v>
      </c>
      <c r="D56" s="64">
        <f t="shared" si="1"/>
        <v>34</v>
      </c>
      <c r="E56" s="47" t="s">
        <v>634</v>
      </c>
      <c r="F56" s="18" t="s">
        <v>89</v>
      </c>
      <c r="G56" s="18" t="s">
        <v>133</v>
      </c>
      <c r="H56" s="27" t="s">
        <v>606</v>
      </c>
      <c r="I56" s="57"/>
      <c r="J56" s="20" t="str">
        <f>VLOOKUP(G56,MD!M$2:O$93,3,FALSE)</f>
        <v>Dose hom.</v>
      </c>
      <c r="K56" s="29">
        <v>1</v>
      </c>
      <c r="L56" s="27" t="s">
        <v>649</v>
      </c>
      <c r="M56" s="25" t="s">
        <v>607</v>
      </c>
      <c r="N56" s="103">
        <f>22000000000*160*0.00465*35*0.00001*10000/1000000000</f>
        <v>57.28799999999999</v>
      </c>
      <c r="O56" s="25" t="s">
        <v>608</v>
      </c>
      <c r="P56" s="22"/>
      <c r="Q56" s="44"/>
      <c r="R56" s="44"/>
      <c r="S56" s="44"/>
      <c r="T56" s="25"/>
      <c r="U56" s="25"/>
      <c r="V56" s="25"/>
      <c r="W56" s="25"/>
      <c r="X56" s="22"/>
      <c r="Y56" s="44"/>
      <c r="Z56" s="44"/>
      <c r="AA56" s="44"/>
      <c r="AB56" s="25"/>
      <c r="AC56" s="25"/>
      <c r="AD56" s="25"/>
      <c r="AE56" s="25"/>
    </row>
    <row r="57" spans="1:31" s="59" customFormat="1">
      <c r="A57" s="47" t="s">
        <v>553</v>
      </c>
      <c r="B57" s="47" t="s">
        <v>554</v>
      </c>
      <c r="C57" s="48">
        <v>43696</v>
      </c>
      <c r="D57" s="64">
        <f t="shared" si="1"/>
        <v>34</v>
      </c>
      <c r="E57" s="47" t="s">
        <v>634</v>
      </c>
      <c r="F57" s="18" t="s">
        <v>87</v>
      </c>
      <c r="G57" s="18" t="s">
        <v>93</v>
      </c>
      <c r="H57" s="27" t="s">
        <v>604</v>
      </c>
      <c r="I57" s="57">
        <f>0.01/0.00465</f>
        <v>2.1505376344086025</v>
      </c>
      <c r="J57" s="20" t="str">
        <f>VLOOKUP(G57,MD!M$2:O$93,3,FALSE)</f>
        <v>gr./m2</v>
      </c>
      <c r="K57" s="29">
        <v>1</v>
      </c>
      <c r="L57" s="27" t="s">
        <v>635</v>
      </c>
      <c r="M57" s="25"/>
      <c r="N57" s="104"/>
      <c r="O57" s="25"/>
      <c r="P57" s="22"/>
      <c r="Q57" s="44"/>
      <c r="R57" s="44"/>
      <c r="S57" s="44"/>
      <c r="T57" s="25"/>
      <c r="U57" s="25"/>
      <c r="V57" s="25"/>
      <c r="W57" s="25"/>
      <c r="X57" s="22"/>
      <c r="Y57" s="44"/>
      <c r="Z57" s="44"/>
      <c r="AA57" s="44"/>
      <c r="AB57" s="25"/>
      <c r="AC57" s="25"/>
      <c r="AD57" s="25"/>
      <c r="AE57" s="25"/>
    </row>
    <row r="58" spans="1:31" s="59" customFormat="1">
      <c r="A58" s="47" t="s">
        <v>553</v>
      </c>
      <c r="B58" s="47" t="s">
        <v>554</v>
      </c>
      <c r="C58" s="48">
        <v>43696</v>
      </c>
      <c r="D58" s="64">
        <f t="shared" si="1"/>
        <v>34</v>
      </c>
      <c r="E58" s="47" t="s">
        <v>634</v>
      </c>
      <c r="F58" s="18" t="s">
        <v>89</v>
      </c>
      <c r="G58" s="18" t="s">
        <v>133</v>
      </c>
      <c r="H58" s="27" t="s">
        <v>606</v>
      </c>
      <c r="I58" s="24"/>
      <c r="J58" s="20" t="str">
        <f>VLOOKUP(G58,MD!M$2:O$93,3,FALSE)</f>
        <v>Dose hom.</v>
      </c>
      <c r="K58" s="29">
        <v>1</v>
      </c>
      <c r="L58" s="27" t="s">
        <v>636</v>
      </c>
      <c r="M58" s="25" t="s">
        <v>607</v>
      </c>
      <c r="N58" s="103">
        <f>22000000000*160*0.00465*2.15*0.00001*10000/1000000000</f>
        <v>3.5191199999999996</v>
      </c>
      <c r="O58" s="25" t="s">
        <v>608</v>
      </c>
      <c r="P58" s="22"/>
      <c r="Q58" s="44"/>
      <c r="R58" s="44"/>
      <c r="S58" s="44"/>
      <c r="T58" s="25"/>
      <c r="U58" s="25"/>
      <c r="V58" s="25"/>
      <c r="W58" s="25"/>
      <c r="X58" s="22"/>
      <c r="Y58" s="44"/>
      <c r="Z58" s="44"/>
      <c r="AA58" s="44"/>
      <c r="AB58" s="25"/>
      <c r="AC58" s="25"/>
      <c r="AD58" s="25"/>
      <c r="AE58" s="25"/>
    </row>
    <row r="59" spans="1:31" s="59" customFormat="1">
      <c r="A59" s="47" t="s">
        <v>553</v>
      </c>
      <c r="B59" s="47" t="s">
        <v>554</v>
      </c>
      <c r="C59" s="48">
        <v>43696</v>
      </c>
      <c r="D59" s="64">
        <f t="shared" si="1"/>
        <v>34</v>
      </c>
      <c r="E59" s="47" t="s">
        <v>634</v>
      </c>
      <c r="F59" s="18" t="s">
        <v>87</v>
      </c>
      <c r="G59" s="18" t="s">
        <v>94</v>
      </c>
      <c r="H59" s="27" t="s">
        <v>637</v>
      </c>
      <c r="I59" s="58">
        <f>(20/4/10)/53 *1000</f>
        <v>9.4339622641509422</v>
      </c>
      <c r="J59" s="20" t="str">
        <f>VLOOKUP(G59,MD!M$2:O$93,3,FALSE)</f>
        <v>gr./m2</v>
      </c>
      <c r="K59" s="29">
        <v>1</v>
      </c>
      <c r="L59" s="27" t="s">
        <v>650</v>
      </c>
      <c r="M59" s="25"/>
      <c r="N59" s="104"/>
      <c r="O59" s="25"/>
      <c r="P59" s="22"/>
      <c r="Q59" s="44"/>
      <c r="R59" s="44"/>
      <c r="S59" s="44"/>
      <c r="T59" s="25"/>
      <c r="U59" s="25"/>
      <c r="V59" s="25"/>
      <c r="W59" s="25"/>
      <c r="X59" s="22"/>
      <c r="Y59" s="44"/>
      <c r="Z59" s="44"/>
      <c r="AA59" s="44"/>
      <c r="AB59" s="25"/>
      <c r="AC59" s="25"/>
      <c r="AD59" s="25"/>
      <c r="AE59" s="25"/>
    </row>
    <row r="60" spans="1:31" s="59" customFormat="1">
      <c r="A60" s="47" t="s">
        <v>553</v>
      </c>
      <c r="B60" s="47" t="s">
        <v>554</v>
      </c>
      <c r="C60" s="48">
        <v>43696</v>
      </c>
      <c r="D60" s="64">
        <f t="shared" si="1"/>
        <v>34</v>
      </c>
      <c r="E60" s="47" t="s">
        <v>634</v>
      </c>
      <c r="F60" s="18" t="s">
        <v>87</v>
      </c>
      <c r="G60" s="18" t="s">
        <v>94</v>
      </c>
      <c r="H60" s="27" t="s">
        <v>638</v>
      </c>
      <c r="I60" s="58">
        <f>(20/4/10)/170 *1000</f>
        <v>2.9411764705882351</v>
      </c>
      <c r="J60" s="20" t="str">
        <f>VLOOKUP(G60,MD!M$2:O$93,3,FALSE)</f>
        <v>gr./m2</v>
      </c>
      <c r="K60" s="29">
        <v>1</v>
      </c>
      <c r="L60" s="27" t="s">
        <v>651</v>
      </c>
      <c r="M60" s="25"/>
      <c r="N60" s="104"/>
      <c r="O60" s="25"/>
      <c r="P60" s="22"/>
      <c r="Q60" s="44"/>
      <c r="R60" s="44"/>
      <c r="S60" s="44"/>
      <c r="T60" s="25"/>
      <c r="U60" s="25"/>
      <c r="V60" s="25"/>
      <c r="W60" s="25"/>
      <c r="X60" s="22"/>
      <c r="Y60" s="44"/>
      <c r="Z60" s="44"/>
      <c r="AA60" s="44"/>
      <c r="AB60" s="25"/>
      <c r="AC60" s="25"/>
      <c r="AD60" s="25"/>
      <c r="AE60" s="25"/>
    </row>
    <row r="61" spans="1:31" s="59" customFormat="1">
      <c r="A61" s="47" t="s">
        <v>553</v>
      </c>
      <c r="B61" s="47" t="s">
        <v>554</v>
      </c>
      <c r="C61" s="48">
        <v>43696</v>
      </c>
      <c r="D61" s="64">
        <f t="shared" si="1"/>
        <v>34</v>
      </c>
      <c r="E61" s="47" t="s">
        <v>634</v>
      </c>
      <c r="F61" s="18" t="s">
        <v>87</v>
      </c>
      <c r="G61" s="18" t="s">
        <v>94</v>
      </c>
      <c r="H61" s="27" t="s">
        <v>639</v>
      </c>
      <c r="I61" s="58">
        <f>(20/4/10)/16 *1000</f>
        <v>31.25</v>
      </c>
      <c r="J61" s="20" t="str">
        <f>VLOOKUP(G61,MD!M$2:O$93,3,FALSE)</f>
        <v>gr./m2</v>
      </c>
      <c r="K61" s="29">
        <v>1</v>
      </c>
      <c r="L61" s="27" t="s">
        <v>652</v>
      </c>
      <c r="M61" s="25"/>
      <c r="N61" s="104"/>
      <c r="O61" s="25"/>
      <c r="P61" s="22"/>
      <c r="Q61" s="44"/>
      <c r="R61" s="44"/>
      <c r="S61" s="44"/>
      <c r="T61" s="25"/>
      <c r="U61" s="25"/>
      <c r="V61" s="25"/>
      <c r="W61" s="25"/>
      <c r="X61" s="22"/>
      <c r="Y61" s="44"/>
      <c r="Z61" s="44"/>
      <c r="AA61" s="44"/>
      <c r="AB61" s="25"/>
      <c r="AC61" s="25"/>
      <c r="AD61" s="25"/>
      <c r="AE61" s="25"/>
    </row>
    <row r="62" spans="1:31" s="59" customFormat="1">
      <c r="A62" s="47" t="s">
        <v>553</v>
      </c>
      <c r="B62" s="47" t="s">
        <v>554</v>
      </c>
      <c r="C62" s="48">
        <v>43696</v>
      </c>
      <c r="D62" s="64">
        <f t="shared" si="1"/>
        <v>34</v>
      </c>
      <c r="E62" s="47" t="s">
        <v>634</v>
      </c>
      <c r="F62" s="18" t="s">
        <v>87</v>
      </c>
      <c r="G62" s="18" t="s">
        <v>94</v>
      </c>
      <c r="H62" s="27" t="s">
        <v>640</v>
      </c>
      <c r="I62" s="58">
        <f>(20/4/10)/20 *1000</f>
        <v>25</v>
      </c>
      <c r="J62" s="20" t="str">
        <f>VLOOKUP(G62,MD!M$2:O$93,3,FALSE)</f>
        <v>gr./m2</v>
      </c>
      <c r="K62" s="29">
        <v>1</v>
      </c>
      <c r="L62" s="27" t="s">
        <v>653</v>
      </c>
      <c r="M62" s="25"/>
      <c r="N62" s="104"/>
      <c r="O62" s="25"/>
      <c r="P62" s="22"/>
      <c r="Q62" s="44"/>
      <c r="R62" s="44"/>
      <c r="S62" s="44"/>
      <c r="T62" s="25"/>
      <c r="U62" s="25"/>
      <c r="V62" s="25"/>
      <c r="W62" s="25"/>
      <c r="X62" s="22"/>
      <c r="Y62" s="44"/>
      <c r="Z62" s="44"/>
      <c r="AA62" s="44"/>
      <c r="AB62" s="25"/>
      <c r="AC62" s="25"/>
      <c r="AD62" s="25"/>
      <c r="AE62" s="25"/>
    </row>
    <row r="63" spans="1:31" s="59" customFormat="1">
      <c r="A63" s="47" t="s">
        <v>553</v>
      </c>
      <c r="B63" s="47" t="s">
        <v>554</v>
      </c>
      <c r="C63" s="48">
        <v>43698</v>
      </c>
      <c r="D63" s="64">
        <f t="shared" si="1"/>
        <v>34</v>
      </c>
      <c r="E63" s="47" t="s">
        <v>641</v>
      </c>
      <c r="F63" s="18" t="s">
        <v>84</v>
      </c>
      <c r="G63" s="18" t="s">
        <v>221</v>
      </c>
      <c r="H63" s="27"/>
      <c r="I63" s="24">
        <v>1</v>
      </c>
      <c r="J63" s="20" t="str">
        <f>VLOOKUP(G63,MD!M$2:O$93,3,FALSE)</f>
        <v>ha</v>
      </c>
      <c r="K63" s="29">
        <v>1</v>
      </c>
      <c r="L63" s="27"/>
      <c r="M63" s="25"/>
      <c r="N63" s="104"/>
      <c r="O63" s="25"/>
      <c r="P63" s="22"/>
      <c r="Q63" s="44"/>
      <c r="R63" s="44"/>
      <c r="S63" s="44"/>
      <c r="T63" s="25"/>
      <c r="U63" s="25"/>
      <c r="V63" s="25"/>
      <c r="W63" s="25"/>
      <c r="X63" s="22"/>
      <c r="Y63" s="44"/>
      <c r="Z63" s="44"/>
      <c r="AA63" s="44"/>
      <c r="AB63" s="25"/>
      <c r="AC63" s="25"/>
      <c r="AD63" s="25"/>
      <c r="AE63" s="25"/>
    </row>
    <row r="64" spans="1:31" s="59" customFormat="1">
      <c r="A64" s="47" t="s">
        <v>553</v>
      </c>
      <c r="B64" s="47" t="s">
        <v>554</v>
      </c>
      <c r="C64" s="48">
        <v>43698</v>
      </c>
      <c r="D64" s="64">
        <f t="shared" si="1"/>
        <v>34</v>
      </c>
      <c r="E64" s="47" t="s">
        <v>641</v>
      </c>
      <c r="F64" s="18" t="s">
        <v>87</v>
      </c>
      <c r="G64" s="18" t="s">
        <v>94</v>
      </c>
      <c r="H64" s="27" t="s">
        <v>658</v>
      </c>
      <c r="I64" s="58">
        <f>(3/10)/3.1 *1000</f>
        <v>96.774193548387089</v>
      </c>
      <c r="J64" s="20" t="str">
        <f>VLOOKUP(G64,MD!M$2:O$93,3,FALSE)</f>
        <v>gr./m2</v>
      </c>
      <c r="K64" s="29">
        <v>1</v>
      </c>
      <c r="L64" s="27" t="s">
        <v>654</v>
      </c>
      <c r="M64" s="25"/>
      <c r="N64" s="104"/>
      <c r="O64" s="25"/>
      <c r="P64" s="22"/>
      <c r="Q64" s="44"/>
      <c r="R64" s="44"/>
      <c r="S64" s="44"/>
      <c r="T64" s="25"/>
      <c r="U64" s="25"/>
      <c r="V64" s="25"/>
      <c r="W64" s="25"/>
      <c r="X64" s="22"/>
      <c r="Y64" s="44"/>
      <c r="Z64" s="44"/>
      <c r="AA64" s="44"/>
      <c r="AB64" s="25"/>
      <c r="AC64" s="25"/>
      <c r="AD64" s="25"/>
      <c r="AE64" s="25"/>
    </row>
    <row r="65" spans="1:31" s="59" customFormat="1">
      <c r="A65" s="47" t="s">
        <v>553</v>
      </c>
      <c r="B65" s="47" t="s">
        <v>554</v>
      </c>
      <c r="C65" s="48">
        <v>43698</v>
      </c>
      <c r="D65" s="64">
        <f t="shared" si="1"/>
        <v>34</v>
      </c>
      <c r="E65" s="47" t="s">
        <v>641</v>
      </c>
      <c r="F65" s="18" t="s">
        <v>83</v>
      </c>
      <c r="G65" s="18" t="s">
        <v>60</v>
      </c>
      <c r="H65" s="27"/>
      <c r="I65" s="24">
        <v>1</v>
      </c>
      <c r="J65" s="20" t="str">
        <f>VLOOKUP(G65,MD!M$2:O$93,3,FALSE)</f>
        <v>ha</v>
      </c>
      <c r="K65" s="29">
        <v>1</v>
      </c>
      <c r="L65" s="27"/>
      <c r="M65" s="25"/>
      <c r="N65" s="104"/>
      <c r="O65" s="25"/>
      <c r="P65" s="22"/>
      <c r="Q65" s="44"/>
      <c r="R65" s="44"/>
      <c r="S65" s="44"/>
      <c r="T65" s="25"/>
      <c r="U65" s="25"/>
      <c r="V65" s="25"/>
      <c r="W65" s="25"/>
      <c r="X65" s="22"/>
      <c r="Y65" s="44"/>
      <c r="Z65" s="44"/>
      <c r="AA65" s="44"/>
      <c r="AB65" s="25"/>
      <c r="AC65" s="25"/>
      <c r="AD65" s="25"/>
      <c r="AE65" s="25"/>
    </row>
    <row r="66" spans="1:31" s="59" customFormat="1">
      <c r="A66" s="47" t="s">
        <v>553</v>
      </c>
      <c r="B66" s="47" t="s">
        <v>554</v>
      </c>
      <c r="C66" s="48">
        <v>43879</v>
      </c>
      <c r="D66" s="64">
        <f t="shared" si="1"/>
        <v>8</v>
      </c>
      <c r="E66" s="47" t="s">
        <v>641</v>
      </c>
      <c r="F66" s="18" t="s">
        <v>85</v>
      </c>
      <c r="G66" s="18" t="s">
        <v>67</v>
      </c>
      <c r="H66" s="27"/>
      <c r="I66" s="24">
        <v>1</v>
      </c>
      <c r="J66" s="20" t="str">
        <f>VLOOKUP(G66,MD!M$2:O$93,3,FALSE)</f>
        <v>ha</v>
      </c>
      <c r="K66" s="29">
        <v>1</v>
      </c>
      <c r="L66" s="27"/>
      <c r="M66" s="25"/>
      <c r="N66" s="25"/>
      <c r="O66" s="25"/>
      <c r="P66" s="22"/>
      <c r="Q66" s="44"/>
      <c r="R66" s="44"/>
      <c r="S66" s="44"/>
      <c r="T66" s="25"/>
      <c r="U66" s="25"/>
      <c r="V66" s="25"/>
      <c r="W66" s="25"/>
      <c r="X66" s="22"/>
      <c r="Y66" s="44"/>
      <c r="Z66" s="44"/>
      <c r="AA66" s="44"/>
      <c r="AB66" s="25"/>
      <c r="AC66" s="25"/>
      <c r="AD66" s="25"/>
      <c r="AE66" s="25"/>
    </row>
    <row r="67" spans="1:31" s="59" customFormat="1">
      <c r="A67" s="47" t="s">
        <v>553</v>
      </c>
      <c r="B67" s="47" t="s">
        <v>554</v>
      </c>
      <c r="C67" s="48">
        <v>43879</v>
      </c>
      <c r="D67" s="64">
        <f t="shared" si="1"/>
        <v>8</v>
      </c>
      <c r="E67" s="47" t="s">
        <v>641</v>
      </c>
      <c r="F67" s="18" t="s">
        <v>88</v>
      </c>
      <c r="G67" s="18" t="s">
        <v>718</v>
      </c>
      <c r="H67" s="27" t="s">
        <v>717</v>
      </c>
      <c r="I67" s="24">
        <v>330</v>
      </c>
      <c r="J67" s="20" t="str">
        <f>VLOOKUP(G67,MD!M$2:O$93,3,FALSE)</f>
        <v>l/ha</v>
      </c>
      <c r="K67" s="29">
        <v>1</v>
      </c>
      <c r="L67" s="27">
        <f>30/34*330</f>
        <v>291.1764705882353</v>
      </c>
      <c r="M67" s="25"/>
      <c r="N67" s="25"/>
      <c r="O67" s="25"/>
      <c r="P67" s="22"/>
      <c r="Q67" s="44"/>
      <c r="R67" s="44"/>
      <c r="S67" s="44"/>
      <c r="T67" s="25"/>
      <c r="U67" s="25"/>
      <c r="V67" s="25"/>
      <c r="W67" s="25"/>
      <c r="X67" s="22"/>
      <c r="Y67" s="44"/>
      <c r="Z67" s="44"/>
      <c r="AA67" s="44"/>
      <c r="AB67" s="25"/>
      <c r="AC67" s="25"/>
      <c r="AD67" s="25"/>
      <c r="AE67" s="25"/>
    </row>
    <row r="68" spans="1:31" s="59" customFormat="1">
      <c r="A68" s="47" t="s">
        <v>553</v>
      </c>
      <c r="B68" s="47" t="s">
        <v>554</v>
      </c>
      <c r="C68" s="48">
        <v>43898</v>
      </c>
      <c r="D68" s="64">
        <f t="shared" si="1"/>
        <v>11</v>
      </c>
      <c r="E68" s="47" t="s">
        <v>553</v>
      </c>
      <c r="F68" s="18" t="s">
        <v>86</v>
      </c>
      <c r="G68" s="18" t="s">
        <v>64</v>
      </c>
      <c r="H68" s="27"/>
      <c r="I68" s="24">
        <v>1</v>
      </c>
      <c r="J68" s="20" t="str">
        <f>VLOOKUP(G68,MD!M$2:O$93,3,FALSE)</f>
        <v>ha</v>
      </c>
      <c r="K68" s="29">
        <v>1</v>
      </c>
      <c r="L68" s="27" t="s">
        <v>729</v>
      </c>
      <c r="M68" s="25"/>
      <c r="N68" s="25"/>
      <c r="O68" s="25"/>
      <c r="P68" s="22"/>
      <c r="Q68" s="44"/>
      <c r="R68" s="44"/>
      <c r="S68" s="44"/>
      <c r="T68" s="25"/>
      <c r="U68" s="25"/>
      <c r="V68" s="25"/>
      <c r="W68" s="25"/>
      <c r="X68" s="22"/>
      <c r="Y68" s="44"/>
      <c r="Z68" s="44"/>
      <c r="AA68" s="44"/>
      <c r="AB68" s="25"/>
      <c r="AC68" s="25"/>
      <c r="AD68" s="25"/>
      <c r="AE68" s="25"/>
    </row>
    <row r="69" spans="1:31" s="59" customFormat="1">
      <c r="A69" s="47" t="s">
        <v>553</v>
      </c>
      <c r="B69" s="47" t="s">
        <v>554</v>
      </c>
      <c r="C69" s="48">
        <v>43898</v>
      </c>
      <c r="D69" s="64">
        <f t="shared" si="1"/>
        <v>11</v>
      </c>
      <c r="E69" s="47" t="s">
        <v>553</v>
      </c>
      <c r="F69" s="18" t="s">
        <v>89</v>
      </c>
      <c r="G69" s="18" t="s">
        <v>113</v>
      </c>
      <c r="H69" s="27" t="s">
        <v>726</v>
      </c>
      <c r="I69" s="102">
        <f>120/174</f>
        <v>0.68965517241379315</v>
      </c>
      <c r="J69" s="20" t="str">
        <f>VLOOKUP(G69,MD!M$2:O$93,3,FALSE)</f>
        <v>Dose hom.</v>
      </c>
      <c r="K69" s="29">
        <v>1</v>
      </c>
      <c r="L69" s="27" t="s">
        <v>728</v>
      </c>
      <c r="M69" s="25" t="s">
        <v>727</v>
      </c>
      <c r="N69" s="103">
        <f>120*0.949</f>
        <v>113.88</v>
      </c>
      <c r="O69" s="25" t="s">
        <v>358</v>
      </c>
      <c r="P69" s="22"/>
      <c r="Q69" s="44"/>
      <c r="R69" s="44"/>
      <c r="S69" s="44"/>
      <c r="T69" s="25"/>
      <c r="U69" s="25"/>
      <c r="V69" s="25"/>
      <c r="W69" s="25"/>
      <c r="X69" s="22"/>
      <c r="Y69" s="44"/>
      <c r="Z69" s="44"/>
      <c r="AA69" s="44"/>
      <c r="AB69" s="25"/>
      <c r="AC69" s="25"/>
      <c r="AD69" s="25"/>
      <c r="AE69" s="25"/>
    </row>
    <row r="70" spans="1:31" s="59" customFormat="1">
      <c r="A70" s="47" t="s">
        <v>553</v>
      </c>
      <c r="B70" s="47" t="s">
        <v>554</v>
      </c>
      <c r="C70" s="48">
        <v>43898</v>
      </c>
      <c r="D70" s="64">
        <f t="shared" si="1"/>
        <v>11</v>
      </c>
      <c r="E70" s="47" t="s">
        <v>553</v>
      </c>
      <c r="F70" s="18" t="s">
        <v>89</v>
      </c>
      <c r="G70" s="18" t="s">
        <v>108</v>
      </c>
      <c r="H70" s="27" t="s">
        <v>629</v>
      </c>
      <c r="I70" s="102" t="s">
        <v>602</v>
      </c>
      <c r="J70" s="20" t="str">
        <f>VLOOKUP(G70,MD!M$2:O$93,3,FALSE)</f>
        <v>Dose hom.</v>
      </c>
      <c r="K70" s="29">
        <v>1</v>
      </c>
      <c r="L70" s="27"/>
      <c r="M70" s="25"/>
      <c r="N70" s="103"/>
      <c r="O70" s="25"/>
      <c r="P70" s="22"/>
      <c r="Q70" s="44"/>
      <c r="R70" s="44"/>
      <c r="S70" s="44"/>
      <c r="T70" s="25"/>
      <c r="U70" s="25"/>
      <c r="V70" s="25"/>
      <c r="W70" s="25"/>
      <c r="X70" s="22"/>
      <c r="Y70" s="44"/>
      <c r="Z70" s="44"/>
      <c r="AA70" s="44"/>
      <c r="AB70" s="25"/>
      <c r="AC70" s="25"/>
      <c r="AD70" s="25"/>
      <c r="AE70" s="25"/>
    </row>
    <row r="71" spans="1:31" s="59" customFormat="1">
      <c r="A71" s="47" t="s">
        <v>553</v>
      </c>
      <c r="B71" s="47" t="s">
        <v>554</v>
      </c>
      <c r="C71" s="48">
        <v>43898</v>
      </c>
      <c r="D71" s="64">
        <f t="shared" si="1"/>
        <v>11</v>
      </c>
      <c r="E71" s="47" t="s">
        <v>553</v>
      </c>
      <c r="F71" s="18" t="s">
        <v>85</v>
      </c>
      <c r="G71" s="18" t="s">
        <v>67</v>
      </c>
      <c r="H71" s="27"/>
      <c r="I71" s="24">
        <v>1</v>
      </c>
      <c r="J71" s="20" t="str">
        <f>VLOOKUP(G71,MD!M$2:O$93,3,FALSE)</f>
        <v>ha</v>
      </c>
      <c r="K71" s="29">
        <v>1</v>
      </c>
      <c r="L71" s="27"/>
      <c r="M71" s="25"/>
      <c r="N71" s="25"/>
      <c r="O71" s="25"/>
      <c r="P71" s="22"/>
      <c r="Q71" s="44"/>
      <c r="R71" s="44"/>
      <c r="S71" s="44"/>
      <c r="T71" s="25"/>
      <c r="U71" s="25"/>
      <c r="V71" s="25"/>
      <c r="W71" s="25"/>
      <c r="X71" s="22"/>
      <c r="Y71" s="44"/>
      <c r="Z71" s="44"/>
      <c r="AA71" s="44"/>
      <c r="AB71" s="25"/>
      <c r="AC71" s="25"/>
      <c r="AD71" s="25"/>
      <c r="AE71" s="25"/>
    </row>
    <row r="72" spans="1:31" s="59" customFormat="1">
      <c r="A72" s="47" t="s">
        <v>553</v>
      </c>
      <c r="B72" s="47" t="s">
        <v>554</v>
      </c>
      <c r="C72" s="48">
        <v>43898</v>
      </c>
      <c r="D72" s="64">
        <f t="shared" si="1"/>
        <v>11</v>
      </c>
      <c r="E72" s="47" t="s">
        <v>553</v>
      </c>
      <c r="F72" s="18" t="s">
        <v>88</v>
      </c>
      <c r="G72" s="18" t="s">
        <v>720</v>
      </c>
      <c r="H72" s="27"/>
      <c r="I72" s="24">
        <v>3</v>
      </c>
      <c r="J72" s="20" t="str">
        <f>VLOOKUP(G72,MD!M$2:O$93,3,FALSE)</f>
        <v>l/ha</v>
      </c>
      <c r="K72" s="29">
        <v>1</v>
      </c>
      <c r="L72" s="27"/>
      <c r="M72" s="25"/>
      <c r="N72" s="25"/>
      <c r="O72" s="25"/>
      <c r="P72" s="22"/>
      <c r="Q72" s="44"/>
      <c r="R72" s="44"/>
      <c r="S72" s="44"/>
      <c r="T72" s="25"/>
      <c r="U72" s="25"/>
      <c r="V72" s="25"/>
      <c r="W72" s="25"/>
      <c r="X72" s="22"/>
      <c r="Y72" s="44"/>
      <c r="Z72" s="44"/>
      <c r="AA72" s="44"/>
      <c r="AB72" s="25"/>
      <c r="AC72" s="25"/>
      <c r="AD72" s="25"/>
      <c r="AE72" s="25"/>
    </row>
    <row r="73" spans="1:31" s="59" customFormat="1">
      <c r="A73" s="47" t="s">
        <v>553</v>
      </c>
      <c r="B73" s="47" t="s">
        <v>554</v>
      </c>
      <c r="C73" s="48">
        <v>43899</v>
      </c>
      <c r="D73" s="64">
        <f t="shared" si="1"/>
        <v>11</v>
      </c>
      <c r="E73" s="47" t="s">
        <v>553</v>
      </c>
      <c r="F73" s="18" t="s">
        <v>85</v>
      </c>
      <c r="G73" s="18" t="s">
        <v>67</v>
      </c>
      <c r="H73" s="27"/>
      <c r="I73" s="24">
        <v>1</v>
      </c>
      <c r="J73" s="20" t="str">
        <f>VLOOKUP(G73,MD!M$2:O$93,3,FALSE)</f>
        <v>ha</v>
      </c>
      <c r="K73" s="29">
        <v>1</v>
      </c>
      <c r="L73" s="27"/>
      <c r="M73" s="25"/>
      <c r="N73" s="25"/>
      <c r="O73" s="25"/>
      <c r="P73" s="22"/>
      <c r="Q73" s="44"/>
      <c r="R73" s="44"/>
      <c r="S73" s="44"/>
      <c r="T73" s="25"/>
      <c r="U73" s="25"/>
      <c r="V73" s="25"/>
      <c r="W73" s="25"/>
      <c r="X73" s="22"/>
      <c r="Y73" s="44"/>
      <c r="Z73" s="44"/>
      <c r="AA73" s="44"/>
      <c r="AB73" s="25"/>
      <c r="AC73" s="25"/>
      <c r="AD73" s="25"/>
      <c r="AE73" s="25"/>
    </row>
    <row r="74" spans="1:31" s="59" customFormat="1">
      <c r="A74" s="47" t="s">
        <v>553</v>
      </c>
      <c r="B74" s="47" t="s">
        <v>554</v>
      </c>
      <c r="C74" s="48">
        <v>43899</v>
      </c>
      <c r="D74" s="64">
        <f t="shared" si="1"/>
        <v>11</v>
      </c>
      <c r="E74" s="47" t="s">
        <v>553</v>
      </c>
      <c r="F74" s="18" t="s">
        <v>88</v>
      </c>
      <c r="G74" s="18" t="s">
        <v>715</v>
      </c>
      <c r="H74" s="27" t="s">
        <v>730</v>
      </c>
      <c r="I74" s="24">
        <v>165</v>
      </c>
      <c r="J74" s="20" t="str">
        <f>VLOOKUP(G74,MD!M$2:O$93,3,FALSE)</f>
        <v>l/ha</v>
      </c>
      <c r="K74" s="29">
        <v>1</v>
      </c>
      <c r="L74" s="27"/>
      <c r="M74" s="25"/>
      <c r="N74" s="25"/>
      <c r="O74" s="25"/>
      <c r="P74" s="22"/>
      <c r="Q74" s="44"/>
      <c r="R74" s="44"/>
      <c r="S74" s="44"/>
      <c r="T74" s="25"/>
      <c r="U74" s="25"/>
      <c r="V74" s="25"/>
      <c r="W74" s="25"/>
      <c r="X74" s="22"/>
      <c r="Y74" s="44"/>
      <c r="Z74" s="44"/>
      <c r="AA74" s="44"/>
      <c r="AB74" s="25"/>
      <c r="AC74" s="25"/>
      <c r="AD74" s="25"/>
      <c r="AE74" s="25"/>
    </row>
    <row r="75" spans="1:31" s="59" customFormat="1">
      <c r="A75" s="47" t="s">
        <v>553</v>
      </c>
      <c r="B75" s="47" t="s">
        <v>554</v>
      </c>
      <c r="C75" s="48">
        <v>43909</v>
      </c>
      <c r="D75" s="64">
        <f t="shared" si="1"/>
        <v>12</v>
      </c>
      <c r="E75" s="47" t="s">
        <v>553</v>
      </c>
      <c r="F75" s="18" t="s">
        <v>86</v>
      </c>
      <c r="G75" s="18" t="s">
        <v>64</v>
      </c>
      <c r="H75" s="27"/>
      <c r="I75" s="24">
        <v>1</v>
      </c>
      <c r="J75" s="20" t="str">
        <f>VLOOKUP(G75,MD!M$2:O$93,3,FALSE)</f>
        <v>ha</v>
      </c>
      <c r="K75" s="29">
        <v>1</v>
      </c>
      <c r="L75" s="27"/>
      <c r="M75" s="25"/>
      <c r="N75" s="25"/>
      <c r="O75" s="25"/>
      <c r="P75" s="22"/>
      <c r="Q75" s="44"/>
      <c r="R75" s="44"/>
      <c r="S75" s="44"/>
      <c r="T75" s="25"/>
      <c r="U75" s="25"/>
      <c r="V75" s="25"/>
      <c r="W75" s="25"/>
      <c r="X75" s="22"/>
      <c r="Y75" s="44"/>
      <c r="Z75" s="44"/>
      <c r="AA75" s="44"/>
      <c r="AB75" s="25"/>
      <c r="AC75" s="25"/>
      <c r="AD75" s="25"/>
      <c r="AE75" s="25"/>
    </row>
    <row r="76" spans="1:31" s="59" customFormat="1">
      <c r="A76" s="47" t="s">
        <v>553</v>
      </c>
      <c r="B76" s="47" t="s">
        <v>554</v>
      </c>
      <c r="C76" s="48">
        <v>43909</v>
      </c>
      <c r="D76" s="64">
        <f t="shared" si="1"/>
        <v>12</v>
      </c>
      <c r="E76" s="47" t="s">
        <v>553</v>
      </c>
      <c r="F76" s="18" t="s">
        <v>89</v>
      </c>
      <c r="G76" s="18" t="s">
        <v>111</v>
      </c>
      <c r="H76" s="27" t="s">
        <v>797</v>
      </c>
      <c r="I76" s="24">
        <f>0.2/0.2</f>
        <v>1</v>
      </c>
      <c r="J76" s="20" t="str">
        <f>VLOOKUP(G76,MD!M$2:O$93,3,FALSE)</f>
        <v>Dose hom.</v>
      </c>
      <c r="K76" s="29">
        <v>1</v>
      </c>
      <c r="L76" s="27" t="s">
        <v>799</v>
      </c>
      <c r="M76" s="25" t="s">
        <v>798</v>
      </c>
      <c r="N76" s="25">
        <f>0.2*240</f>
        <v>48</v>
      </c>
      <c r="O76" s="25" t="s">
        <v>358</v>
      </c>
      <c r="P76" s="22"/>
      <c r="Q76" s="44"/>
      <c r="R76" s="44"/>
      <c r="S76" s="44"/>
      <c r="T76" s="25"/>
      <c r="U76" s="25"/>
      <c r="V76" s="25"/>
      <c r="W76" s="25"/>
      <c r="X76" s="22"/>
      <c r="Y76" s="44"/>
      <c r="Z76" s="44"/>
      <c r="AA76" s="44"/>
      <c r="AB76" s="25"/>
      <c r="AC76" s="25"/>
      <c r="AD76" s="25"/>
      <c r="AE76" s="25"/>
    </row>
    <row r="77" spans="1:31" s="59" customFormat="1">
      <c r="A77" s="47" t="s">
        <v>553</v>
      </c>
      <c r="B77" s="47" t="s">
        <v>554</v>
      </c>
      <c r="C77" s="48">
        <v>43929</v>
      </c>
      <c r="D77" s="64">
        <f t="shared" si="1"/>
        <v>15</v>
      </c>
      <c r="E77" s="47" t="s">
        <v>553</v>
      </c>
      <c r="F77" s="18" t="s">
        <v>86</v>
      </c>
      <c r="G77" s="18" t="s">
        <v>64</v>
      </c>
      <c r="H77" s="27"/>
      <c r="I77" s="24">
        <v>1</v>
      </c>
      <c r="J77" s="20" t="str">
        <f>VLOOKUP(G77,MD!M$2:O$93,3,FALSE)</f>
        <v>ha</v>
      </c>
      <c r="K77" s="29">
        <v>1</v>
      </c>
      <c r="L77" s="27"/>
      <c r="M77" s="25"/>
      <c r="N77" s="25"/>
      <c r="O77" s="25"/>
      <c r="P77" s="22"/>
      <c r="Q77" s="44"/>
      <c r="R77" s="44"/>
      <c r="S77" s="44"/>
      <c r="T77" s="25"/>
      <c r="U77" s="25"/>
      <c r="V77" s="25"/>
      <c r="W77" s="25"/>
      <c r="X77" s="22"/>
      <c r="Y77" s="44"/>
      <c r="Z77" s="44"/>
      <c r="AA77" s="44"/>
      <c r="AB77" s="25"/>
      <c r="AC77" s="25"/>
      <c r="AD77" s="25"/>
      <c r="AE77" s="25"/>
    </row>
    <row r="78" spans="1:31" s="59" customFormat="1">
      <c r="A78" s="47" t="s">
        <v>553</v>
      </c>
      <c r="B78" s="47" t="s">
        <v>554</v>
      </c>
      <c r="C78" s="48">
        <v>43929</v>
      </c>
      <c r="D78" s="64">
        <f t="shared" si="1"/>
        <v>15</v>
      </c>
      <c r="E78" s="47" t="s">
        <v>553</v>
      </c>
      <c r="F78" s="18" t="s">
        <v>89</v>
      </c>
      <c r="G78" s="18" t="s">
        <v>112</v>
      </c>
      <c r="H78" s="27" t="s">
        <v>800</v>
      </c>
      <c r="I78" s="24">
        <f>0.6/1</f>
        <v>0.6</v>
      </c>
      <c r="J78" s="20" t="str">
        <f>VLOOKUP(G78,MD!M$2:O$93,3,FALSE)</f>
        <v>Dose hom.</v>
      </c>
      <c r="K78" s="29">
        <v>1</v>
      </c>
      <c r="L78" s="27" t="s">
        <v>816</v>
      </c>
      <c r="M78" s="25" t="s">
        <v>369</v>
      </c>
      <c r="N78" s="25">
        <f>0.6*125</f>
        <v>75</v>
      </c>
      <c r="O78" s="25" t="s">
        <v>358</v>
      </c>
      <c r="P78" s="22"/>
      <c r="Q78" s="44"/>
      <c r="R78" s="44"/>
      <c r="S78" s="44"/>
      <c r="T78" s="25"/>
      <c r="U78" s="25"/>
      <c r="V78" s="25"/>
      <c r="W78" s="25"/>
      <c r="X78" s="22"/>
      <c r="Y78" s="44"/>
      <c r="Z78" s="44"/>
      <c r="AA78" s="44"/>
      <c r="AB78" s="25"/>
      <c r="AC78" s="25"/>
      <c r="AD78" s="25"/>
      <c r="AE78" s="25"/>
    </row>
    <row r="79" spans="1:31" s="59" customFormat="1">
      <c r="A79" s="47" t="s">
        <v>553</v>
      </c>
      <c r="B79" s="47" t="s">
        <v>554</v>
      </c>
      <c r="C79" s="48">
        <v>43929</v>
      </c>
      <c r="D79" s="64">
        <f t="shared" si="1"/>
        <v>15</v>
      </c>
      <c r="E79" s="47" t="s">
        <v>553</v>
      </c>
      <c r="F79" s="18" t="s">
        <v>89</v>
      </c>
      <c r="G79" s="18" t="s">
        <v>112</v>
      </c>
      <c r="H79" s="27" t="s">
        <v>802</v>
      </c>
      <c r="I79" s="24">
        <f>0.6/1</f>
        <v>0.6</v>
      </c>
      <c r="J79" s="20" t="str">
        <f>VLOOKUP(G79,MD!M$2:O$93,3,FALSE)</f>
        <v>Dose hom.</v>
      </c>
      <c r="K79" s="29">
        <v>1</v>
      </c>
      <c r="L79" s="27" t="s">
        <v>816</v>
      </c>
      <c r="M79" s="25" t="s">
        <v>367</v>
      </c>
      <c r="N79" s="25">
        <f>0.6*125</f>
        <v>75</v>
      </c>
      <c r="O79" s="25" t="s">
        <v>358</v>
      </c>
      <c r="P79" s="22"/>
      <c r="Q79" s="44"/>
      <c r="R79" s="44"/>
      <c r="S79" s="44"/>
      <c r="T79" s="25"/>
      <c r="U79" s="25"/>
      <c r="V79" s="25"/>
      <c r="W79" s="25"/>
      <c r="X79" s="22"/>
      <c r="Y79" s="44"/>
      <c r="Z79" s="44"/>
      <c r="AA79" s="44"/>
      <c r="AB79" s="25"/>
      <c r="AC79" s="25"/>
      <c r="AD79" s="25"/>
      <c r="AE79" s="25"/>
    </row>
    <row r="80" spans="1:31" s="59" customFormat="1">
      <c r="A80" s="47" t="s">
        <v>553</v>
      </c>
      <c r="B80" s="47" t="s">
        <v>554</v>
      </c>
      <c r="C80" s="48">
        <v>43944</v>
      </c>
      <c r="D80" s="64">
        <f t="shared" si="1"/>
        <v>17</v>
      </c>
      <c r="E80" s="47" t="s">
        <v>553</v>
      </c>
      <c r="F80" s="18" t="s">
        <v>89</v>
      </c>
      <c r="G80" s="18" t="s">
        <v>111</v>
      </c>
      <c r="H80" s="27" t="s">
        <v>803</v>
      </c>
      <c r="I80" s="24">
        <f>2/2</f>
        <v>1</v>
      </c>
      <c r="J80" s="20" t="str">
        <f>VLOOKUP(G80,MD!M$2:O$93,3,FALSE)</f>
        <v>Dose hom.</v>
      </c>
      <c r="K80" s="29">
        <v>1</v>
      </c>
      <c r="L80" s="27" t="s">
        <v>804</v>
      </c>
      <c r="M80" s="25" t="s">
        <v>798</v>
      </c>
      <c r="N80" s="25">
        <f>2*18</f>
        <v>36</v>
      </c>
      <c r="O80" s="25" t="s">
        <v>358</v>
      </c>
      <c r="P80" s="22"/>
      <c r="Q80" s="44"/>
      <c r="R80" s="44"/>
      <c r="S80" s="44"/>
      <c r="T80" s="25"/>
      <c r="U80" s="25"/>
      <c r="V80" s="25"/>
      <c r="W80" s="25"/>
      <c r="X80" s="22"/>
      <c r="Y80" s="44"/>
      <c r="Z80" s="44"/>
      <c r="AA80" s="44"/>
      <c r="AB80" s="25"/>
      <c r="AC80" s="25"/>
      <c r="AD80" s="25"/>
      <c r="AE80" s="25"/>
    </row>
    <row r="81" spans="1:31" s="59" customFormat="1">
      <c r="A81" s="47" t="s">
        <v>553</v>
      </c>
      <c r="B81" s="47" t="s">
        <v>554</v>
      </c>
      <c r="C81" s="48">
        <v>43944</v>
      </c>
      <c r="D81" s="64">
        <f t="shared" si="1"/>
        <v>17</v>
      </c>
      <c r="E81" s="47" t="s">
        <v>553</v>
      </c>
      <c r="F81" s="18" t="s">
        <v>89</v>
      </c>
      <c r="G81" s="18" t="s">
        <v>111</v>
      </c>
      <c r="H81" s="27" t="s">
        <v>806</v>
      </c>
      <c r="I81" s="24">
        <f>2/2</f>
        <v>1</v>
      </c>
      <c r="J81" s="20" t="str">
        <f>VLOOKUP(G81,MD!M$2:O$93,3,FALSE)</f>
        <v>Dose hom.</v>
      </c>
      <c r="K81" s="29">
        <v>1</v>
      </c>
      <c r="L81" s="27" t="s">
        <v>807</v>
      </c>
      <c r="M81" s="25" t="s">
        <v>805</v>
      </c>
      <c r="N81" s="25">
        <f>2*50</f>
        <v>100</v>
      </c>
      <c r="O81" s="25" t="s">
        <v>358</v>
      </c>
      <c r="P81" s="22"/>
      <c r="Q81" s="44"/>
      <c r="R81" s="44"/>
      <c r="S81" s="44"/>
      <c r="T81" s="25"/>
      <c r="U81" s="25"/>
      <c r="V81" s="25"/>
      <c r="W81" s="25"/>
      <c r="X81" s="22"/>
      <c r="Y81" s="44"/>
      <c r="Z81" s="44"/>
      <c r="AA81" s="44"/>
      <c r="AB81" s="25"/>
      <c r="AC81" s="25"/>
      <c r="AD81" s="25"/>
      <c r="AE81" s="25"/>
    </row>
    <row r="82" spans="1:31" s="59" customFormat="1">
      <c r="A82" s="47" t="s">
        <v>553</v>
      </c>
      <c r="B82" s="47" t="s">
        <v>554</v>
      </c>
      <c r="C82" s="48">
        <v>44033</v>
      </c>
      <c r="D82" s="64">
        <f t="shared" si="1"/>
        <v>30</v>
      </c>
      <c r="E82" s="47" t="s">
        <v>553</v>
      </c>
      <c r="F82" s="18" t="s">
        <v>86</v>
      </c>
      <c r="G82" s="18" t="s">
        <v>55</v>
      </c>
      <c r="H82" s="27"/>
      <c r="I82" s="24">
        <v>1</v>
      </c>
      <c r="J82" s="20" t="str">
        <f>VLOOKUP(G82,MD!M$2:O$93,3,FALSE)</f>
        <v>ha</v>
      </c>
      <c r="K82" s="29">
        <v>1</v>
      </c>
      <c r="L82" s="27"/>
      <c r="M82" s="25"/>
      <c r="N82" s="25"/>
      <c r="O82" s="25"/>
      <c r="P82" s="22"/>
      <c r="Q82" s="44"/>
      <c r="R82" s="44"/>
      <c r="S82" s="44"/>
      <c r="T82" s="25"/>
      <c r="U82" s="25"/>
      <c r="V82" s="25"/>
      <c r="W82" s="25"/>
      <c r="X82" s="22"/>
      <c r="Y82" s="44"/>
      <c r="Z82" s="44"/>
      <c r="AA82" s="44"/>
      <c r="AB82" s="25"/>
      <c r="AC82" s="25"/>
      <c r="AD82" s="25"/>
      <c r="AE82" s="25"/>
    </row>
    <row r="83" spans="1:31" s="59" customFormat="1">
      <c r="A83" s="47" t="s">
        <v>553</v>
      </c>
      <c r="B83" s="47" t="s">
        <v>554</v>
      </c>
      <c r="C83" s="48">
        <v>44033</v>
      </c>
      <c r="D83" s="64">
        <f t="shared" si="1"/>
        <v>30</v>
      </c>
      <c r="E83" s="47" t="s">
        <v>553</v>
      </c>
      <c r="F83" s="18" t="s">
        <v>2</v>
      </c>
      <c r="G83" s="18" t="s">
        <v>115</v>
      </c>
      <c r="H83" s="27" t="s">
        <v>827</v>
      </c>
      <c r="I83" s="24">
        <v>45</v>
      </c>
      <c r="J83" s="20" t="str">
        <f>VLOOKUP(G83,MD!M$2:O$93,3,FALSE)</f>
        <v>Qtx/ha</v>
      </c>
      <c r="K83" s="29">
        <v>1</v>
      </c>
      <c r="L83" s="27" t="s">
        <v>831</v>
      </c>
      <c r="M83" s="25"/>
      <c r="N83" s="25"/>
      <c r="O83" s="25"/>
      <c r="P83" s="22"/>
      <c r="Q83" s="44"/>
      <c r="R83" s="44"/>
      <c r="S83" s="44"/>
      <c r="T83" s="25"/>
      <c r="U83" s="25"/>
      <c r="V83" s="25"/>
      <c r="W83" s="25"/>
      <c r="X83" s="22"/>
      <c r="Y83" s="44"/>
      <c r="Z83" s="44"/>
      <c r="AA83" s="44"/>
      <c r="AB83" s="25"/>
      <c r="AC83" s="25"/>
      <c r="AD83" s="25"/>
      <c r="AE83" s="25"/>
    </row>
    <row r="84" spans="1:31">
      <c r="A84" s="47" t="s">
        <v>847</v>
      </c>
      <c r="B84" s="47" t="s">
        <v>836</v>
      </c>
      <c r="C84" s="48">
        <v>44139</v>
      </c>
      <c r="D84" s="64">
        <f t="shared" si="1"/>
        <v>45</v>
      </c>
      <c r="E84" s="47" t="s">
        <v>121</v>
      </c>
      <c r="F84" s="18" t="s">
        <v>83</v>
      </c>
      <c r="G84" s="18" t="s">
        <v>63</v>
      </c>
      <c r="I84" s="24">
        <v>1</v>
      </c>
      <c r="J84" s="20" t="str">
        <f>VLOOKUP(G84,MD!M$2:O$93,3,FALSE)</f>
        <v>ha</v>
      </c>
      <c r="K84" s="29">
        <v>1</v>
      </c>
      <c r="P84" s="22"/>
      <c r="X84" s="22"/>
    </row>
    <row r="85" spans="1:31">
      <c r="A85" s="47" t="s">
        <v>847</v>
      </c>
      <c r="B85" s="47" t="s">
        <v>836</v>
      </c>
      <c r="C85" s="48">
        <v>44139</v>
      </c>
      <c r="D85" s="64">
        <f t="shared" ref="D85:D90" si="2">WEEKNUM(C85)</f>
        <v>45</v>
      </c>
      <c r="E85" s="47" t="s">
        <v>121</v>
      </c>
      <c r="F85" s="18" t="s">
        <v>84</v>
      </c>
      <c r="G85" s="18" t="s">
        <v>76</v>
      </c>
      <c r="I85" s="24">
        <v>1</v>
      </c>
      <c r="J85" s="20" t="str">
        <f>VLOOKUP(G85,MD!M$2:O$93,3,FALSE)</f>
        <v>ha</v>
      </c>
      <c r="K85" s="29">
        <v>1</v>
      </c>
      <c r="P85" s="22"/>
      <c r="X85" s="22"/>
    </row>
    <row r="86" spans="1:31">
      <c r="A86" s="47" t="s">
        <v>847</v>
      </c>
      <c r="B86" s="47" t="s">
        <v>836</v>
      </c>
      <c r="C86" s="48">
        <v>44139</v>
      </c>
      <c r="D86" s="64">
        <f t="shared" si="2"/>
        <v>45</v>
      </c>
      <c r="E86" s="47" t="s">
        <v>121</v>
      </c>
      <c r="F86" s="18" t="s">
        <v>87</v>
      </c>
      <c r="G86" s="18" t="s">
        <v>93</v>
      </c>
      <c r="H86" s="27" t="s">
        <v>877</v>
      </c>
      <c r="I86" s="24">
        <v>300</v>
      </c>
      <c r="J86" s="20" t="str">
        <f>VLOOKUP(G86,MD!M$2:O$93,3,FALSE)</f>
        <v>gr./m2</v>
      </c>
      <c r="K86" s="29">
        <v>1</v>
      </c>
      <c r="L86" s="27" t="s">
        <v>889</v>
      </c>
      <c r="P86" s="22"/>
      <c r="X86" s="22"/>
    </row>
    <row r="87" spans="1:31" s="59" customFormat="1">
      <c r="A87" s="47" t="s">
        <v>121</v>
      </c>
      <c r="B87" s="47" t="s">
        <v>836</v>
      </c>
      <c r="C87" s="48">
        <v>44139</v>
      </c>
      <c r="D87" s="47">
        <f t="shared" ref="D87:D89" si="3">WEEKNUM(C87)</f>
        <v>45</v>
      </c>
      <c r="E87" s="47" t="s">
        <v>121</v>
      </c>
      <c r="F87" s="18" t="s">
        <v>89</v>
      </c>
      <c r="G87" s="18" t="s">
        <v>133</v>
      </c>
      <c r="H87" s="27" t="s">
        <v>846</v>
      </c>
      <c r="I87" s="24">
        <v>1</v>
      </c>
      <c r="J87" s="20" t="str">
        <f>VLOOKUP(G87,MD!M$2:O$93,3,FALSE)</f>
        <v>Dose hom.</v>
      </c>
      <c r="K87" s="29">
        <v>1</v>
      </c>
      <c r="L87" s="27" t="s">
        <v>965</v>
      </c>
      <c r="M87" s="25" t="s">
        <v>850</v>
      </c>
      <c r="N87" s="107">
        <f>50*0.2*300*0.05*0.00001*10000</f>
        <v>15</v>
      </c>
      <c r="O87" s="25" t="s">
        <v>358</v>
      </c>
      <c r="P87" s="22"/>
      <c r="Q87" s="44"/>
      <c r="R87" s="44"/>
      <c r="S87" s="44"/>
      <c r="T87" s="25"/>
      <c r="U87" s="25"/>
      <c r="V87" s="25"/>
      <c r="W87" s="25"/>
      <c r="X87" s="22"/>
      <c r="Y87" s="44"/>
      <c r="Z87" s="44"/>
      <c r="AA87" s="44"/>
      <c r="AB87" s="25"/>
      <c r="AC87" s="25"/>
      <c r="AD87" s="25"/>
      <c r="AE87" s="25"/>
    </row>
    <row r="88" spans="1:31" s="59" customFormat="1">
      <c r="A88" s="47" t="s">
        <v>121</v>
      </c>
      <c r="B88" s="47" t="s">
        <v>836</v>
      </c>
      <c r="C88" s="48">
        <v>44139</v>
      </c>
      <c r="D88" s="47">
        <f t="shared" si="3"/>
        <v>45</v>
      </c>
      <c r="E88" s="47" t="s">
        <v>121</v>
      </c>
      <c r="F88" s="18" t="s">
        <v>89</v>
      </c>
      <c r="G88" s="18" t="s">
        <v>133</v>
      </c>
      <c r="H88" s="27" t="s">
        <v>846</v>
      </c>
      <c r="I88" s="24">
        <v>1</v>
      </c>
      <c r="J88" s="20" t="str">
        <f>VLOOKUP(G88,MD!M$2:O$93,3,FALSE)</f>
        <v>Dose hom.</v>
      </c>
      <c r="K88" s="29">
        <v>1</v>
      </c>
      <c r="L88" s="27" t="s">
        <v>966</v>
      </c>
      <c r="M88" s="25" t="s">
        <v>351</v>
      </c>
      <c r="N88" s="107">
        <f>25*0.2*300*0.05*0.00001*10000</f>
        <v>7.5</v>
      </c>
      <c r="O88" s="25" t="s">
        <v>358</v>
      </c>
      <c r="P88" s="22"/>
      <c r="Q88" s="44"/>
      <c r="R88" s="44"/>
      <c r="S88" s="44"/>
      <c r="T88" s="25"/>
      <c r="U88" s="25"/>
      <c r="V88" s="25"/>
      <c r="W88" s="25"/>
      <c r="X88" s="22"/>
      <c r="Y88" s="44"/>
      <c r="Z88" s="44"/>
      <c r="AA88" s="44"/>
      <c r="AB88" s="25"/>
      <c r="AC88" s="25"/>
      <c r="AD88" s="25"/>
      <c r="AE88" s="25"/>
    </row>
    <row r="89" spans="1:31" s="59" customFormat="1">
      <c r="A89" s="47" t="s">
        <v>121</v>
      </c>
      <c r="B89" s="47" t="s">
        <v>836</v>
      </c>
      <c r="C89" s="48">
        <v>44139</v>
      </c>
      <c r="D89" s="47">
        <f t="shared" si="3"/>
        <v>45</v>
      </c>
      <c r="E89" s="47" t="s">
        <v>121</v>
      </c>
      <c r="F89" s="18" t="s">
        <v>89</v>
      </c>
      <c r="G89" s="18" t="s">
        <v>133</v>
      </c>
      <c r="H89" s="27" t="s">
        <v>846</v>
      </c>
      <c r="I89" s="24">
        <v>1</v>
      </c>
      <c r="J89" s="20" t="str">
        <f>VLOOKUP(G89,MD!M$2:O$93,3,FALSE)</f>
        <v>Dose hom.</v>
      </c>
      <c r="K89" s="29">
        <v>1</v>
      </c>
      <c r="L89" s="27" t="s">
        <v>966</v>
      </c>
      <c r="M89" s="25" t="s">
        <v>348</v>
      </c>
      <c r="N89" s="107">
        <f>25*0.2*300*0.05*0.00001*10000</f>
        <v>7.5</v>
      </c>
      <c r="O89" s="25" t="s">
        <v>358</v>
      </c>
      <c r="P89" s="22"/>
      <c r="Q89" s="44"/>
      <c r="R89" s="44"/>
      <c r="S89" s="44"/>
      <c r="T89" s="25"/>
      <c r="U89" s="25"/>
      <c r="V89" s="25"/>
      <c r="W89" s="25"/>
      <c r="X89" s="22"/>
      <c r="Y89" s="44"/>
      <c r="Z89" s="44"/>
      <c r="AA89" s="44"/>
      <c r="AB89" s="25"/>
      <c r="AC89" s="25"/>
      <c r="AD89" s="25"/>
      <c r="AE89" s="25"/>
    </row>
    <row r="90" spans="1:31">
      <c r="A90" s="47" t="s">
        <v>847</v>
      </c>
      <c r="B90" s="47" t="s">
        <v>836</v>
      </c>
      <c r="C90" s="48">
        <v>44141</v>
      </c>
      <c r="D90" s="64">
        <f t="shared" si="2"/>
        <v>45</v>
      </c>
      <c r="E90" s="47" t="s">
        <v>121</v>
      </c>
      <c r="F90" s="18" t="s">
        <v>83</v>
      </c>
      <c r="G90" s="18" t="s">
        <v>56</v>
      </c>
      <c r="I90" s="24">
        <v>1</v>
      </c>
      <c r="J90" s="20" t="str">
        <f>VLOOKUP(G90,MD!M$2:O$93,3,FALSE)</f>
        <v>ha</v>
      </c>
      <c r="K90" s="29">
        <v>1</v>
      </c>
      <c r="P90" s="22"/>
      <c r="X90" s="22"/>
    </row>
    <row r="91" spans="1:31">
      <c r="A91" s="47" t="s">
        <v>847</v>
      </c>
      <c r="B91" s="47" t="s">
        <v>836</v>
      </c>
      <c r="C91" s="48">
        <v>44265</v>
      </c>
      <c r="D91" s="64">
        <f t="shared" ref="D91:D119" si="4">WEEKNUM(C91)</f>
        <v>11</v>
      </c>
      <c r="E91" s="47" t="s">
        <v>121</v>
      </c>
      <c r="F91" s="18" t="s">
        <v>85</v>
      </c>
      <c r="G91" s="18" t="s">
        <v>67</v>
      </c>
      <c r="I91" s="24">
        <v>1</v>
      </c>
      <c r="J91" s="20" t="str">
        <f>VLOOKUP(G91,MD!M$2:O$93,3,FALSE)</f>
        <v>ha</v>
      </c>
      <c r="K91" s="29">
        <v>1</v>
      </c>
      <c r="P91" s="22"/>
      <c r="X91" s="22"/>
    </row>
    <row r="92" spans="1:31">
      <c r="A92" s="47" t="s">
        <v>847</v>
      </c>
      <c r="B92" s="47" t="s">
        <v>836</v>
      </c>
      <c r="C92" s="48">
        <v>44265</v>
      </c>
      <c r="D92" s="64">
        <f t="shared" si="4"/>
        <v>11</v>
      </c>
      <c r="E92" s="47" t="s">
        <v>121</v>
      </c>
      <c r="F92" s="18" t="s">
        <v>88</v>
      </c>
      <c r="G92" s="18" t="s">
        <v>908</v>
      </c>
      <c r="H92" s="27" t="s">
        <v>907</v>
      </c>
      <c r="I92" s="24">
        <v>260</v>
      </c>
      <c r="J92" s="20" t="str">
        <f>VLOOKUP(G92,MD!M$2:O$93,3,FALSE)</f>
        <v>l/ha</v>
      </c>
      <c r="K92" s="29">
        <v>1</v>
      </c>
      <c r="L92" s="27" t="s">
        <v>880</v>
      </c>
      <c r="P92" s="22"/>
      <c r="X92" s="22"/>
    </row>
    <row r="93" spans="1:31" s="59" customFormat="1">
      <c r="A93" s="47" t="s">
        <v>847</v>
      </c>
      <c r="B93" s="47" t="s">
        <v>836</v>
      </c>
      <c r="C93" s="48">
        <v>44319</v>
      </c>
      <c r="D93" s="64">
        <f t="shared" si="4"/>
        <v>19</v>
      </c>
      <c r="E93" s="47" t="s">
        <v>121</v>
      </c>
      <c r="F93" s="18" t="s">
        <v>86</v>
      </c>
      <c r="G93" s="18" t="s">
        <v>64</v>
      </c>
      <c r="H93" s="27"/>
      <c r="I93" s="24">
        <v>1</v>
      </c>
      <c r="J93" s="20" t="str">
        <f>VLOOKUP(G93,MD!M$2:O$93,3,FALSE)</f>
        <v>ha</v>
      </c>
      <c r="K93" s="29">
        <v>1</v>
      </c>
      <c r="L93" s="27"/>
      <c r="M93" s="25"/>
      <c r="N93" s="25"/>
      <c r="O93" s="25"/>
      <c r="P93" s="22"/>
      <c r="Q93" s="44"/>
      <c r="R93" s="44"/>
      <c r="S93" s="44"/>
      <c r="T93" s="25"/>
      <c r="U93" s="25"/>
      <c r="V93" s="25"/>
      <c r="W93" s="25"/>
      <c r="X93" s="22"/>
      <c r="Y93" s="44"/>
      <c r="Z93" s="44"/>
      <c r="AA93" s="44"/>
      <c r="AB93" s="25"/>
      <c r="AC93" s="25"/>
      <c r="AD93" s="25"/>
      <c r="AE93" s="25"/>
    </row>
    <row r="94" spans="1:31" s="59" customFormat="1">
      <c r="A94" s="47" t="s">
        <v>847</v>
      </c>
      <c r="B94" s="47" t="s">
        <v>836</v>
      </c>
      <c r="C94" s="48">
        <v>44319</v>
      </c>
      <c r="D94" s="64">
        <f t="shared" si="4"/>
        <v>19</v>
      </c>
      <c r="E94" s="47" t="s">
        <v>121</v>
      </c>
      <c r="F94" s="18" t="s">
        <v>89</v>
      </c>
      <c r="G94" s="18" t="s">
        <v>113</v>
      </c>
      <c r="H94" s="27" t="s">
        <v>498</v>
      </c>
      <c r="I94" s="24">
        <f>1/1.8</f>
        <v>0.55555555555555558</v>
      </c>
      <c r="J94" s="20" t="str">
        <f>VLOOKUP(G94,MD!M$2:O$93,3,FALSE)</f>
        <v>Dose hom.</v>
      </c>
      <c r="K94" s="29">
        <v>1</v>
      </c>
      <c r="L94" s="27" t="s">
        <v>967</v>
      </c>
      <c r="M94" s="25" t="s">
        <v>484</v>
      </c>
      <c r="N94" s="25">
        <v>1</v>
      </c>
      <c r="O94" s="25" t="s">
        <v>358</v>
      </c>
      <c r="P94" s="22"/>
      <c r="Q94" s="44"/>
      <c r="R94" s="44"/>
      <c r="S94" s="44"/>
      <c r="T94" s="25"/>
      <c r="U94" s="25"/>
      <c r="V94" s="25"/>
      <c r="W94" s="25"/>
      <c r="X94" s="22"/>
      <c r="Y94" s="44"/>
      <c r="Z94" s="44"/>
      <c r="AA94" s="44"/>
      <c r="AB94" s="25"/>
      <c r="AC94" s="25"/>
      <c r="AD94" s="25"/>
      <c r="AE94" s="25"/>
    </row>
    <row r="95" spans="1:31" s="59" customFormat="1">
      <c r="A95" s="47" t="s">
        <v>847</v>
      </c>
      <c r="B95" s="47" t="s">
        <v>836</v>
      </c>
      <c r="C95" s="48">
        <v>44319</v>
      </c>
      <c r="D95" s="64">
        <f t="shared" si="4"/>
        <v>19</v>
      </c>
      <c r="E95" s="47" t="s">
        <v>121</v>
      </c>
      <c r="F95" s="18" t="s">
        <v>89</v>
      </c>
      <c r="G95" s="18" t="s">
        <v>113</v>
      </c>
      <c r="H95" s="27" t="s">
        <v>500</v>
      </c>
      <c r="I95" s="24">
        <f>1/1.8</f>
        <v>0.55555555555555558</v>
      </c>
      <c r="J95" s="20" t="str">
        <f>VLOOKUP(G95,MD!M$2:O$93,3,FALSE)</f>
        <v>Dose hom.</v>
      </c>
      <c r="K95" s="29">
        <v>1</v>
      </c>
      <c r="L95" s="27" t="s">
        <v>968</v>
      </c>
      <c r="M95" s="25" t="s">
        <v>501</v>
      </c>
      <c r="N95" s="25">
        <v>100</v>
      </c>
      <c r="O95" s="25" t="s">
        <v>358</v>
      </c>
      <c r="P95" s="22"/>
      <c r="Q95" s="44"/>
      <c r="R95" s="44"/>
      <c r="S95" s="44"/>
      <c r="T95" s="25"/>
      <c r="U95" s="25"/>
      <c r="V95" s="25"/>
      <c r="W95" s="25"/>
      <c r="X95" s="22"/>
      <c r="Y95" s="44"/>
      <c r="Z95" s="44"/>
      <c r="AA95" s="44"/>
      <c r="AB95" s="25"/>
      <c r="AC95" s="25"/>
      <c r="AD95" s="25"/>
      <c r="AE95" s="25"/>
    </row>
    <row r="96" spans="1:31" s="59" customFormat="1">
      <c r="A96" s="47" t="s">
        <v>847</v>
      </c>
      <c r="B96" s="47" t="s">
        <v>836</v>
      </c>
      <c r="C96" s="48">
        <v>44322</v>
      </c>
      <c r="D96" s="64">
        <f t="shared" si="4"/>
        <v>19</v>
      </c>
      <c r="E96" s="47" t="s">
        <v>121</v>
      </c>
      <c r="F96" s="18" t="s">
        <v>85</v>
      </c>
      <c r="G96" s="18" t="s">
        <v>67</v>
      </c>
      <c r="H96" s="27"/>
      <c r="I96" s="24">
        <v>1</v>
      </c>
      <c r="J96" s="20" t="str">
        <f>VLOOKUP(G96,MD!M$2:O$93,3,FALSE)</f>
        <v>ha</v>
      </c>
      <c r="K96" s="29">
        <v>1</v>
      </c>
      <c r="L96" s="27"/>
      <c r="M96" s="25"/>
      <c r="N96" s="25"/>
      <c r="O96" s="25"/>
      <c r="P96" s="22"/>
      <c r="Q96" s="44"/>
      <c r="R96" s="44"/>
      <c r="S96" s="44"/>
      <c r="T96" s="25"/>
      <c r="U96" s="25"/>
      <c r="V96" s="25"/>
      <c r="W96" s="25"/>
      <c r="X96" s="22"/>
      <c r="Y96" s="44"/>
      <c r="Z96" s="44"/>
      <c r="AA96" s="44"/>
      <c r="AB96" s="25"/>
      <c r="AC96" s="25"/>
      <c r="AD96" s="25"/>
      <c r="AE96" s="25"/>
    </row>
    <row r="97" spans="1:31" s="59" customFormat="1">
      <c r="A97" s="47" t="s">
        <v>847</v>
      </c>
      <c r="B97" s="47" t="s">
        <v>836</v>
      </c>
      <c r="C97" s="48">
        <v>44322</v>
      </c>
      <c r="D97" s="64">
        <f t="shared" si="4"/>
        <v>19</v>
      </c>
      <c r="E97" s="47" t="s">
        <v>121</v>
      </c>
      <c r="F97" s="18" t="s">
        <v>88</v>
      </c>
      <c r="G97" s="18" t="s">
        <v>191</v>
      </c>
      <c r="H97" s="27" t="s">
        <v>277</v>
      </c>
      <c r="I97" s="24">
        <v>150</v>
      </c>
      <c r="J97" s="20" t="str">
        <f>VLOOKUP(G97,MD!M$2:O$93,3,FALSE)</f>
        <v>l/ha</v>
      </c>
      <c r="K97" s="29">
        <v>1</v>
      </c>
      <c r="L97" s="27" t="s">
        <v>936</v>
      </c>
      <c r="M97" s="25"/>
      <c r="N97" s="25"/>
      <c r="O97" s="25"/>
      <c r="P97" s="22"/>
      <c r="Q97" s="44"/>
      <c r="R97" s="44"/>
      <c r="S97" s="44"/>
      <c r="T97" s="25"/>
      <c r="U97" s="25"/>
      <c r="V97" s="25"/>
      <c r="W97" s="25"/>
      <c r="X97" s="22"/>
      <c r="Y97" s="44"/>
      <c r="Z97" s="44"/>
      <c r="AA97" s="44"/>
      <c r="AB97" s="25"/>
      <c r="AC97" s="25"/>
      <c r="AD97" s="25"/>
      <c r="AE97" s="25"/>
    </row>
    <row r="98" spans="1:31" s="59" customFormat="1">
      <c r="A98" s="47" t="s">
        <v>847</v>
      </c>
      <c r="B98" s="47" t="s">
        <v>836</v>
      </c>
      <c r="C98" s="48">
        <v>44334</v>
      </c>
      <c r="D98" s="64">
        <f t="shared" si="4"/>
        <v>21</v>
      </c>
      <c r="E98" s="47" t="s">
        <v>121</v>
      </c>
      <c r="F98" s="18" t="s">
        <v>86</v>
      </c>
      <c r="G98" s="18" t="s">
        <v>64</v>
      </c>
      <c r="H98" s="27"/>
      <c r="I98" s="24">
        <v>1</v>
      </c>
      <c r="J98" s="20" t="str">
        <f>VLOOKUP(G98,MD!M$2:O$93,3,FALSE)</f>
        <v>ha</v>
      </c>
      <c r="K98" s="29">
        <v>1</v>
      </c>
      <c r="L98" s="27"/>
      <c r="M98" s="25"/>
      <c r="N98" s="25"/>
      <c r="O98" s="25"/>
      <c r="P98" s="22"/>
      <c r="Q98" s="44"/>
      <c r="R98" s="44"/>
      <c r="S98" s="44"/>
      <c r="T98" s="25"/>
      <c r="U98" s="25"/>
      <c r="V98" s="25"/>
      <c r="W98" s="25"/>
      <c r="X98" s="22"/>
      <c r="Y98" s="44"/>
      <c r="Z98" s="44"/>
      <c r="AA98" s="44"/>
      <c r="AB98" s="25"/>
      <c r="AC98" s="25"/>
      <c r="AD98" s="25"/>
      <c r="AE98" s="25"/>
    </row>
    <row r="99" spans="1:31" s="59" customFormat="1">
      <c r="A99" s="47" t="s">
        <v>847</v>
      </c>
      <c r="B99" s="47" t="s">
        <v>836</v>
      </c>
      <c r="C99" s="48">
        <v>44334</v>
      </c>
      <c r="D99" s="64">
        <f t="shared" si="4"/>
        <v>21</v>
      </c>
      <c r="E99" s="47" t="s">
        <v>121</v>
      </c>
      <c r="F99" s="18" t="s">
        <v>89</v>
      </c>
      <c r="G99" s="18" t="s">
        <v>112</v>
      </c>
      <c r="H99" s="27" t="s">
        <v>937</v>
      </c>
      <c r="I99" s="24">
        <f>0.75/1.5</f>
        <v>0.5</v>
      </c>
      <c r="J99" s="20" t="str">
        <f>VLOOKUP(G99,MD!M$2:O$93,3,FALSE)</f>
        <v>Dose hom.</v>
      </c>
      <c r="K99" s="29">
        <v>1</v>
      </c>
      <c r="L99" s="27" t="s">
        <v>938</v>
      </c>
      <c r="M99" s="25" t="s">
        <v>915</v>
      </c>
      <c r="N99" s="25">
        <f>0.75*100</f>
        <v>75</v>
      </c>
      <c r="O99" s="25" t="s">
        <v>358</v>
      </c>
      <c r="P99" s="22"/>
      <c r="Q99" s="44"/>
      <c r="R99" s="44"/>
      <c r="S99" s="44"/>
      <c r="T99" s="25"/>
      <c r="U99" s="25"/>
      <c r="V99" s="25"/>
      <c r="W99" s="25"/>
      <c r="X99" s="22"/>
      <c r="Y99" s="44"/>
      <c r="Z99" s="44"/>
      <c r="AA99" s="44"/>
      <c r="AB99" s="25"/>
      <c r="AC99" s="25"/>
      <c r="AD99" s="25"/>
      <c r="AE99" s="25"/>
    </row>
    <row r="100" spans="1:31" s="59" customFormat="1">
      <c r="A100" s="47" t="s">
        <v>847</v>
      </c>
      <c r="B100" s="47" t="s">
        <v>836</v>
      </c>
      <c r="C100" s="48">
        <v>44334</v>
      </c>
      <c r="D100" s="64">
        <f t="shared" si="4"/>
        <v>21</v>
      </c>
      <c r="E100" s="47" t="s">
        <v>121</v>
      </c>
      <c r="F100" s="18" t="s">
        <v>89</v>
      </c>
      <c r="G100" s="18" t="s">
        <v>112</v>
      </c>
      <c r="H100" s="27" t="s">
        <v>939</v>
      </c>
      <c r="I100" s="24">
        <f>0.75/1.5</f>
        <v>0.5</v>
      </c>
      <c r="J100" s="20" t="str">
        <f>VLOOKUP(G100,MD!M$2:O$93,3,FALSE)</f>
        <v>Dose hom.</v>
      </c>
      <c r="K100" s="29">
        <v>1</v>
      </c>
      <c r="L100" s="27" t="s">
        <v>941</v>
      </c>
      <c r="M100" s="25" t="s">
        <v>940</v>
      </c>
      <c r="N100" s="25">
        <f>0.75*50</f>
        <v>37.5</v>
      </c>
      <c r="O100" s="25" t="s">
        <v>358</v>
      </c>
      <c r="P100" s="22"/>
      <c r="Q100" s="44"/>
      <c r="R100" s="44"/>
      <c r="S100" s="44"/>
      <c r="T100" s="25"/>
      <c r="U100" s="25"/>
      <c r="V100" s="25"/>
      <c r="W100" s="25"/>
      <c r="X100" s="22"/>
      <c r="Y100" s="44"/>
      <c r="Z100" s="44"/>
      <c r="AA100" s="44"/>
      <c r="AB100" s="25"/>
      <c r="AC100" s="25"/>
      <c r="AD100" s="25"/>
      <c r="AE100" s="25"/>
    </row>
    <row r="101" spans="1:31" s="59" customFormat="1">
      <c r="A101" s="47" t="s">
        <v>121</v>
      </c>
      <c r="B101" s="47" t="s">
        <v>836</v>
      </c>
      <c r="C101" s="48">
        <v>44408</v>
      </c>
      <c r="D101" s="64">
        <f t="shared" si="4"/>
        <v>31</v>
      </c>
      <c r="E101" s="47" t="s">
        <v>121</v>
      </c>
      <c r="F101" s="18" t="s">
        <v>86</v>
      </c>
      <c r="G101" s="18" t="s">
        <v>55</v>
      </c>
      <c r="H101" s="27"/>
      <c r="I101" s="24">
        <v>1</v>
      </c>
      <c r="J101" s="20" t="str">
        <f>VLOOKUP(G101,MD!M$2:O$93,3,FALSE)</f>
        <v>ha</v>
      </c>
      <c r="K101" s="29">
        <v>1</v>
      </c>
      <c r="L101" s="27"/>
      <c r="M101" s="25"/>
      <c r="N101" s="25"/>
      <c r="O101" s="25"/>
      <c r="P101" s="22"/>
      <c r="Q101" s="44"/>
      <c r="R101" s="44"/>
      <c r="S101" s="44"/>
      <c r="T101" s="25"/>
      <c r="U101" s="25"/>
      <c r="V101" s="25"/>
      <c r="W101" s="25"/>
      <c r="X101" s="22"/>
      <c r="Y101" s="44"/>
      <c r="Z101" s="44"/>
      <c r="AA101" s="44"/>
      <c r="AB101" s="25"/>
      <c r="AC101" s="25"/>
      <c r="AD101" s="25"/>
      <c r="AE101" s="25"/>
    </row>
    <row r="102" spans="1:31" s="59" customFormat="1">
      <c r="A102" s="47" t="s">
        <v>121</v>
      </c>
      <c r="B102" s="47" t="s">
        <v>836</v>
      </c>
      <c r="C102" s="48">
        <v>44408</v>
      </c>
      <c r="D102" s="64">
        <f t="shared" si="4"/>
        <v>31</v>
      </c>
      <c r="E102" s="47" t="s">
        <v>121</v>
      </c>
      <c r="F102" s="18" t="s">
        <v>2</v>
      </c>
      <c r="G102" s="18" t="s">
        <v>115</v>
      </c>
      <c r="H102" s="27" t="s">
        <v>285</v>
      </c>
      <c r="I102" s="24">
        <v>105</v>
      </c>
      <c r="J102" s="20" t="str">
        <f>VLOOKUP(G102,MD!M$2:O$93,3,FALSE)</f>
        <v>Qtx/ha</v>
      </c>
      <c r="K102" s="29">
        <v>1</v>
      </c>
      <c r="L102" s="27" t="s">
        <v>979</v>
      </c>
      <c r="M102" s="25"/>
      <c r="N102" s="25"/>
      <c r="O102" s="25"/>
      <c r="P102" s="22"/>
      <c r="Q102" s="44"/>
      <c r="R102" s="44"/>
      <c r="S102" s="44"/>
      <c r="T102" s="25"/>
      <c r="U102" s="25"/>
      <c r="V102" s="25"/>
      <c r="W102" s="25"/>
      <c r="X102" s="22"/>
      <c r="Y102" s="44"/>
      <c r="Z102" s="44"/>
      <c r="AA102" s="44"/>
      <c r="AB102" s="25"/>
      <c r="AC102" s="25"/>
      <c r="AD102" s="25"/>
      <c r="AE102" s="25"/>
    </row>
    <row r="103" spans="1:31" s="59" customFormat="1">
      <c r="A103" s="47" t="s">
        <v>835</v>
      </c>
      <c r="B103" s="47" t="s">
        <v>986</v>
      </c>
      <c r="C103" s="48">
        <v>44414</v>
      </c>
      <c r="D103" s="64">
        <f t="shared" si="4"/>
        <v>32</v>
      </c>
      <c r="E103" s="47" t="s">
        <v>123</v>
      </c>
      <c r="F103" s="18" t="s">
        <v>84</v>
      </c>
      <c r="G103" s="18" t="s">
        <v>76</v>
      </c>
      <c r="H103" s="27"/>
      <c r="I103" s="24">
        <v>1</v>
      </c>
      <c r="J103" s="20" t="str">
        <f>VLOOKUP(G103,MD!M$2:O$93,3,FALSE)</f>
        <v>ha</v>
      </c>
      <c r="K103" s="29">
        <v>1</v>
      </c>
      <c r="L103" s="27" t="s">
        <v>987</v>
      </c>
      <c r="M103" s="25"/>
      <c r="N103" s="25"/>
      <c r="O103" s="25"/>
      <c r="P103" s="22"/>
      <c r="Q103" s="44"/>
      <c r="R103" s="44"/>
      <c r="S103" s="44"/>
      <c r="T103" s="25"/>
      <c r="U103" s="25"/>
      <c r="V103" s="25"/>
      <c r="W103" s="25"/>
      <c r="X103" s="22"/>
      <c r="Y103" s="44"/>
      <c r="Z103" s="44"/>
      <c r="AA103" s="44"/>
      <c r="AB103" s="25"/>
      <c r="AC103" s="25"/>
      <c r="AD103" s="25"/>
      <c r="AE103" s="25"/>
    </row>
    <row r="104" spans="1:31" s="59" customFormat="1">
      <c r="A104" s="47" t="s">
        <v>835</v>
      </c>
      <c r="B104" s="47" t="s">
        <v>986</v>
      </c>
      <c r="C104" s="48">
        <v>44414</v>
      </c>
      <c r="D104" s="64">
        <f t="shared" si="4"/>
        <v>32</v>
      </c>
      <c r="E104" s="47" t="s">
        <v>123</v>
      </c>
      <c r="F104" s="18" t="s">
        <v>87</v>
      </c>
      <c r="G104" s="18" t="s">
        <v>94</v>
      </c>
      <c r="H104" s="27" t="s">
        <v>274</v>
      </c>
      <c r="I104" s="24">
        <v>6</v>
      </c>
      <c r="J104" s="95" t="s">
        <v>106</v>
      </c>
      <c r="K104" s="29">
        <v>1</v>
      </c>
      <c r="L104" s="27"/>
      <c r="M104" s="25"/>
      <c r="N104" s="25"/>
      <c r="O104" s="25"/>
      <c r="P104" s="22"/>
      <c r="Q104" s="44"/>
      <c r="R104" s="44"/>
      <c r="S104" s="44"/>
      <c r="T104" s="25"/>
      <c r="U104" s="25"/>
      <c r="V104" s="25"/>
      <c r="W104" s="25"/>
      <c r="X104" s="22"/>
      <c r="Y104" s="44"/>
      <c r="Z104" s="44"/>
      <c r="AA104" s="44"/>
      <c r="AB104" s="25"/>
      <c r="AC104" s="25"/>
      <c r="AD104" s="25"/>
      <c r="AE104" s="25"/>
    </row>
    <row r="105" spans="1:31" s="59" customFormat="1">
      <c r="A105" s="47" t="s">
        <v>835</v>
      </c>
      <c r="B105" s="47" t="s">
        <v>986</v>
      </c>
      <c r="C105" s="48">
        <v>44414</v>
      </c>
      <c r="D105" s="64">
        <f t="shared" si="4"/>
        <v>32</v>
      </c>
      <c r="E105" s="47" t="s">
        <v>123</v>
      </c>
      <c r="F105" s="18" t="s">
        <v>87</v>
      </c>
      <c r="G105" s="18" t="s">
        <v>94</v>
      </c>
      <c r="H105" s="27" t="s">
        <v>992</v>
      </c>
      <c r="I105" s="24">
        <v>11.5</v>
      </c>
      <c r="J105" s="95" t="s">
        <v>106</v>
      </c>
      <c r="K105" s="29">
        <v>1</v>
      </c>
      <c r="L105" s="27"/>
      <c r="M105" s="25"/>
      <c r="N105" s="25"/>
      <c r="O105" s="25"/>
      <c r="P105" s="22"/>
      <c r="Q105" s="44"/>
      <c r="R105" s="44"/>
      <c r="S105" s="44"/>
      <c r="T105" s="25"/>
      <c r="U105" s="25"/>
      <c r="V105" s="25"/>
      <c r="W105" s="25"/>
      <c r="X105" s="22"/>
      <c r="Y105" s="44"/>
      <c r="Z105" s="44"/>
      <c r="AA105" s="44"/>
      <c r="AB105" s="25"/>
      <c r="AC105" s="25"/>
      <c r="AD105" s="25"/>
      <c r="AE105" s="25"/>
    </row>
    <row r="106" spans="1:31" s="59" customFormat="1">
      <c r="A106" s="47" t="s">
        <v>835</v>
      </c>
      <c r="B106" s="47" t="s">
        <v>986</v>
      </c>
      <c r="C106" s="48">
        <v>44416</v>
      </c>
      <c r="D106" s="64">
        <f t="shared" si="4"/>
        <v>33</v>
      </c>
      <c r="E106" s="47" t="s">
        <v>993</v>
      </c>
      <c r="F106" s="18" t="s">
        <v>83</v>
      </c>
      <c r="G106" s="18" t="s">
        <v>60</v>
      </c>
      <c r="H106" s="27"/>
      <c r="I106" s="24">
        <v>1</v>
      </c>
      <c r="J106" s="20" t="str">
        <f>VLOOKUP(G106,MD!M$2:O$93,3,FALSE)</f>
        <v>ha</v>
      </c>
      <c r="K106" s="29">
        <v>1</v>
      </c>
      <c r="L106" s="27"/>
      <c r="M106" s="25"/>
      <c r="N106" s="25"/>
      <c r="O106" s="25"/>
      <c r="P106" s="22"/>
      <c r="Q106" s="44"/>
      <c r="R106" s="44"/>
      <c r="S106" s="44"/>
      <c r="T106" s="25"/>
      <c r="U106" s="25"/>
      <c r="V106" s="25"/>
      <c r="W106" s="25"/>
      <c r="X106" s="22"/>
      <c r="Y106" s="44"/>
      <c r="Z106" s="44"/>
      <c r="AA106" s="44"/>
      <c r="AB106" s="25"/>
      <c r="AC106" s="25"/>
      <c r="AD106" s="25"/>
      <c r="AE106" s="25"/>
    </row>
    <row r="107" spans="1:31">
      <c r="A107" s="47" t="s">
        <v>835</v>
      </c>
      <c r="B107" s="47" t="s">
        <v>986</v>
      </c>
      <c r="C107" s="49">
        <v>44552</v>
      </c>
      <c r="D107" s="64">
        <f t="shared" si="4"/>
        <v>52</v>
      </c>
      <c r="E107" s="47" t="s">
        <v>993</v>
      </c>
      <c r="F107" s="18" t="s">
        <v>83</v>
      </c>
      <c r="G107" s="18" t="s">
        <v>37</v>
      </c>
      <c r="I107" s="24">
        <v>1</v>
      </c>
      <c r="J107" s="20" t="str">
        <f>VLOOKUP(G107,MD!M$2:O$93,3,FALSE)</f>
        <v>ha</v>
      </c>
      <c r="K107" s="29">
        <v>1</v>
      </c>
      <c r="P107" s="22"/>
      <c r="X107" s="22"/>
    </row>
    <row r="108" spans="1:31">
      <c r="A108" s="47" t="s">
        <v>835</v>
      </c>
      <c r="B108" s="47" t="s">
        <v>986</v>
      </c>
      <c r="C108" s="49">
        <v>44594</v>
      </c>
      <c r="D108" s="64">
        <f t="shared" si="4"/>
        <v>6</v>
      </c>
      <c r="E108" s="47" t="s">
        <v>1022</v>
      </c>
      <c r="F108" s="18" t="s">
        <v>83</v>
      </c>
      <c r="G108" s="18" t="s">
        <v>63</v>
      </c>
      <c r="I108" s="24">
        <v>1</v>
      </c>
      <c r="J108" s="20" t="str">
        <f>VLOOKUP(G108,MD!M$2:O$93,3,FALSE)</f>
        <v>ha</v>
      </c>
      <c r="K108" s="29">
        <v>1</v>
      </c>
      <c r="P108" s="22"/>
      <c r="X108" s="22"/>
    </row>
    <row r="109" spans="1:31">
      <c r="A109" s="47" t="s">
        <v>835</v>
      </c>
      <c r="B109" s="47" t="s">
        <v>986</v>
      </c>
      <c r="C109" s="49">
        <v>44641</v>
      </c>
      <c r="D109" s="64">
        <f t="shared" si="4"/>
        <v>13</v>
      </c>
      <c r="E109" s="47" t="s">
        <v>123</v>
      </c>
      <c r="F109" s="18" t="s">
        <v>83</v>
      </c>
      <c r="G109" s="18" t="s">
        <v>38</v>
      </c>
      <c r="I109" s="24">
        <v>1</v>
      </c>
      <c r="J109" s="20" t="str">
        <f>VLOOKUP(G109,MD!M$2:O$93,3,FALSE)</f>
        <v>ha</v>
      </c>
      <c r="K109" s="29">
        <v>1</v>
      </c>
      <c r="P109" s="22"/>
      <c r="X109" s="22"/>
    </row>
    <row r="110" spans="1:31">
      <c r="A110" s="47" t="s">
        <v>835</v>
      </c>
      <c r="B110" s="47" t="s">
        <v>986</v>
      </c>
      <c r="C110" s="49">
        <v>44641</v>
      </c>
      <c r="D110" s="64">
        <f t="shared" si="4"/>
        <v>13</v>
      </c>
      <c r="E110" s="47" t="s">
        <v>123</v>
      </c>
      <c r="F110" s="18" t="s">
        <v>83</v>
      </c>
      <c r="G110" s="18" t="s">
        <v>60</v>
      </c>
      <c r="I110" s="24">
        <v>1</v>
      </c>
      <c r="J110" s="20" t="str">
        <f>VLOOKUP(G110,MD!M$2:O$93,3,FALSE)</f>
        <v>ha</v>
      </c>
      <c r="K110" s="29">
        <v>1</v>
      </c>
      <c r="P110" s="22"/>
      <c r="X110" s="22"/>
    </row>
    <row r="111" spans="1:31">
      <c r="A111" s="47" t="s">
        <v>835</v>
      </c>
      <c r="B111" s="47" t="s">
        <v>986</v>
      </c>
      <c r="C111" s="49">
        <v>44672</v>
      </c>
      <c r="D111" s="64">
        <f t="shared" si="4"/>
        <v>17</v>
      </c>
      <c r="E111" s="47" t="s">
        <v>123</v>
      </c>
      <c r="F111" s="18" t="s">
        <v>84</v>
      </c>
      <c r="G111" s="18" t="s">
        <v>76</v>
      </c>
      <c r="I111" s="24">
        <v>1</v>
      </c>
      <c r="J111" s="20" t="str">
        <f>VLOOKUP(G111,MD!M$2:O$93,3,FALSE)</f>
        <v>ha</v>
      </c>
      <c r="K111" s="29">
        <v>1</v>
      </c>
      <c r="P111" s="22"/>
      <c r="X111" s="22"/>
    </row>
    <row r="112" spans="1:31">
      <c r="A112" s="47" t="s">
        <v>835</v>
      </c>
      <c r="B112" s="47" t="s">
        <v>986</v>
      </c>
      <c r="C112" s="49">
        <v>44672</v>
      </c>
      <c r="D112" s="64">
        <f t="shared" si="4"/>
        <v>17</v>
      </c>
      <c r="E112" s="47" t="s">
        <v>123</v>
      </c>
      <c r="F112" s="18" t="s">
        <v>87</v>
      </c>
      <c r="G112" s="18" t="s">
        <v>93</v>
      </c>
      <c r="H112" s="27" t="s">
        <v>1050</v>
      </c>
      <c r="I112" s="24">
        <f>96000/10000</f>
        <v>9.6</v>
      </c>
      <c r="J112" s="20" t="str">
        <f>VLOOKUP(G112,MD!M$2:O$93,3,FALSE)</f>
        <v>gr./m2</v>
      </c>
      <c r="K112" s="29">
        <v>1</v>
      </c>
      <c r="P112" s="22"/>
      <c r="X112" s="22"/>
    </row>
    <row r="113" spans="1:24">
      <c r="A113" s="47" t="s">
        <v>835</v>
      </c>
      <c r="B113" s="47" t="s">
        <v>986</v>
      </c>
      <c r="C113" s="49">
        <v>44672</v>
      </c>
      <c r="D113" s="64">
        <f t="shared" si="4"/>
        <v>17</v>
      </c>
      <c r="E113" s="47" t="s">
        <v>123</v>
      </c>
      <c r="F113" s="18" t="s">
        <v>89</v>
      </c>
      <c r="G113" s="18" t="s">
        <v>133</v>
      </c>
      <c r="H113" s="27" t="s">
        <v>1002</v>
      </c>
      <c r="I113" s="24">
        <v>1</v>
      </c>
      <c r="J113" s="20" t="str">
        <f>VLOOKUP(G113,MD!M$2:O$93,3,FALSE)</f>
        <v>Dose hom.</v>
      </c>
      <c r="K113" s="29">
        <v>1</v>
      </c>
      <c r="L113" s="27" t="s">
        <v>1024</v>
      </c>
      <c r="M113" s="25" t="s">
        <v>1003</v>
      </c>
      <c r="P113" s="22"/>
      <c r="X113" s="22"/>
    </row>
    <row r="114" spans="1:24">
      <c r="A114" s="47" t="s">
        <v>835</v>
      </c>
      <c r="B114" s="47" t="s">
        <v>986</v>
      </c>
      <c r="C114" s="49">
        <v>44672</v>
      </c>
      <c r="D114" s="64">
        <f t="shared" si="4"/>
        <v>17</v>
      </c>
      <c r="E114" s="47" t="s">
        <v>123</v>
      </c>
      <c r="F114" s="18" t="s">
        <v>89</v>
      </c>
      <c r="G114" s="18" t="s">
        <v>133</v>
      </c>
      <c r="H114" s="27" t="s">
        <v>1001</v>
      </c>
      <c r="I114" s="24">
        <v>1</v>
      </c>
      <c r="J114" s="20" t="str">
        <f>VLOOKUP(G114,MD!M$2:O$93,3,FALSE)</f>
        <v>Dose hom.</v>
      </c>
      <c r="K114" s="29">
        <v>1</v>
      </c>
      <c r="L114" s="27" t="s">
        <v>1032</v>
      </c>
      <c r="M114" s="25" t="s">
        <v>367</v>
      </c>
      <c r="P114" s="22"/>
      <c r="X114" s="22"/>
    </row>
    <row r="115" spans="1:24">
      <c r="A115" s="47" t="s">
        <v>835</v>
      </c>
      <c r="B115" s="47" t="s">
        <v>986</v>
      </c>
      <c r="C115" s="49">
        <v>44672</v>
      </c>
      <c r="D115" s="64">
        <f t="shared" si="4"/>
        <v>17</v>
      </c>
      <c r="E115" s="47" t="s">
        <v>123</v>
      </c>
      <c r="F115" s="18" t="s">
        <v>89</v>
      </c>
      <c r="G115" s="18" t="s">
        <v>133</v>
      </c>
      <c r="H115" s="27" t="s">
        <v>1013</v>
      </c>
      <c r="I115" s="24">
        <v>1</v>
      </c>
      <c r="J115" s="20" t="str">
        <f>VLOOKUP(G115,MD!M$2:O$93,3,FALSE)</f>
        <v>Dose hom.</v>
      </c>
      <c r="K115" s="29">
        <v>1</v>
      </c>
      <c r="L115" s="27" t="s">
        <v>1014</v>
      </c>
      <c r="M115" s="25" t="s">
        <v>1015</v>
      </c>
      <c r="N115" s="25" t="s">
        <v>1016</v>
      </c>
      <c r="P115" s="22"/>
      <c r="X115" s="22"/>
    </row>
    <row r="116" spans="1:24">
      <c r="A116" s="47" t="s">
        <v>835</v>
      </c>
      <c r="B116" s="47" t="s">
        <v>986</v>
      </c>
      <c r="C116" s="49">
        <v>44672</v>
      </c>
      <c r="D116" s="64">
        <f t="shared" si="4"/>
        <v>17</v>
      </c>
      <c r="E116" s="47" t="s">
        <v>123</v>
      </c>
      <c r="F116" s="18" t="s">
        <v>89</v>
      </c>
      <c r="G116" s="18" t="s">
        <v>133</v>
      </c>
      <c r="H116" s="27" t="s">
        <v>1027</v>
      </c>
      <c r="I116" s="24">
        <v>1</v>
      </c>
      <c r="J116" s="20" t="str">
        <f>VLOOKUP(G116,MD!M$2:O$93,3,FALSE)</f>
        <v>Dose hom.</v>
      </c>
      <c r="K116" s="29">
        <v>1</v>
      </c>
      <c r="L116" s="109" t="s">
        <v>1028</v>
      </c>
      <c r="M116" s="25" t="s">
        <v>353</v>
      </c>
      <c r="N116" s="25" t="s">
        <v>1029</v>
      </c>
      <c r="P116" s="22"/>
      <c r="X116" s="22"/>
    </row>
    <row r="117" spans="1:24">
      <c r="A117" s="47" t="s">
        <v>835</v>
      </c>
      <c r="B117" s="47" t="s">
        <v>986</v>
      </c>
      <c r="C117" s="49">
        <v>44672</v>
      </c>
      <c r="D117" s="64">
        <f t="shared" si="4"/>
        <v>17</v>
      </c>
      <c r="E117" s="47" t="s">
        <v>123</v>
      </c>
      <c r="F117" s="18" t="s">
        <v>89</v>
      </c>
      <c r="G117" s="18" t="s">
        <v>133</v>
      </c>
      <c r="H117" s="27" t="s">
        <v>1051</v>
      </c>
      <c r="I117" s="24">
        <v>1</v>
      </c>
      <c r="J117" s="20" t="str">
        <f>VLOOKUP(G117,MD!M$2:O$93,3,FALSE)</f>
        <v>Dose hom.</v>
      </c>
      <c r="K117" s="29">
        <v>1</v>
      </c>
      <c r="L117" s="109"/>
      <c r="P117" s="22"/>
      <c r="X117" s="22"/>
    </row>
    <row r="118" spans="1:24">
      <c r="A118" s="47" t="s">
        <v>835</v>
      </c>
      <c r="B118" s="47" t="s">
        <v>986</v>
      </c>
      <c r="C118" s="49">
        <v>44672</v>
      </c>
      <c r="D118" s="64">
        <f t="shared" si="4"/>
        <v>17</v>
      </c>
      <c r="E118" s="47" t="s">
        <v>835</v>
      </c>
      <c r="F118" s="18" t="s">
        <v>85</v>
      </c>
      <c r="G118" s="18" t="s">
        <v>67</v>
      </c>
      <c r="I118" s="24">
        <v>1</v>
      </c>
      <c r="J118" s="20" t="str">
        <f>VLOOKUP(G118,MD!M$2:O$93,3,FALSE)</f>
        <v>ha</v>
      </c>
      <c r="K118" s="29">
        <v>1</v>
      </c>
      <c r="P118" s="22"/>
      <c r="X118" s="22"/>
    </row>
    <row r="119" spans="1:24">
      <c r="A119" s="47" t="s">
        <v>835</v>
      </c>
      <c r="B119" s="47" t="s">
        <v>986</v>
      </c>
      <c r="C119" s="49">
        <v>44672</v>
      </c>
      <c r="D119" s="64">
        <f t="shared" si="4"/>
        <v>17</v>
      </c>
      <c r="E119" s="47" t="s">
        <v>835</v>
      </c>
      <c r="F119" s="18" t="s">
        <v>88</v>
      </c>
      <c r="G119" s="18" t="s">
        <v>191</v>
      </c>
      <c r="H119" s="27" t="s">
        <v>1054</v>
      </c>
      <c r="I119" s="24">
        <v>150</v>
      </c>
      <c r="J119" s="20" t="str">
        <f>VLOOKUP(G119,MD!M$2:O$93,3,FALSE)</f>
        <v>l/ha</v>
      </c>
      <c r="K119" s="29">
        <v>1</v>
      </c>
      <c r="L119" s="27" t="s">
        <v>1053</v>
      </c>
      <c r="P119" s="22"/>
      <c r="X119" s="22"/>
    </row>
    <row r="120" spans="1:24">
      <c r="A120" s="47"/>
      <c r="B120" s="47"/>
      <c r="J120" s="20" t="e">
        <f>VLOOKUP(G120,MD!M$2:O$93,3,FALSE)</f>
        <v>#N/A</v>
      </c>
      <c r="K120" s="29"/>
      <c r="P120" s="22"/>
      <c r="X120" s="22"/>
    </row>
    <row r="121" spans="1:24">
      <c r="A121" s="47"/>
      <c r="B121" s="47"/>
      <c r="J121" s="20" t="e">
        <f>VLOOKUP(G121,MD!M$2:O$93,3,FALSE)</f>
        <v>#N/A</v>
      </c>
      <c r="K121" s="29"/>
      <c r="P121" s="22"/>
      <c r="X121" s="22"/>
    </row>
    <row r="122" spans="1:24">
      <c r="A122" s="47"/>
      <c r="B122" s="47"/>
      <c r="J122" s="20" t="e">
        <f>VLOOKUP(G122,MD!M$2:O$93,3,FALSE)</f>
        <v>#N/A</v>
      </c>
      <c r="K122" s="29"/>
      <c r="P122" s="22"/>
      <c r="X122" s="22"/>
    </row>
    <row r="123" spans="1:24">
      <c r="A123" s="47"/>
      <c r="B123" s="47"/>
      <c r="J123" s="20" t="e">
        <f>VLOOKUP(G123,MD!M$2:O$93,3,FALSE)</f>
        <v>#N/A</v>
      </c>
      <c r="K123" s="29"/>
      <c r="P123" s="22"/>
      <c r="X123" s="22"/>
    </row>
    <row r="124" spans="1:24">
      <c r="A124" s="47"/>
      <c r="B124" s="47"/>
      <c r="J124" s="20" t="e">
        <f>VLOOKUP(G124,MD!M$2:O$93,3,FALSE)</f>
        <v>#N/A</v>
      </c>
      <c r="K124" s="29"/>
      <c r="P124" s="22"/>
      <c r="X124" s="22"/>
    </row>
    <row r="125" spans="1:24">
      <c r="A125" s="47"/>
      <c r="B125" s="47"/>
      <c r="J125" s="20" t="e">
        <f>VLOOKUP(G125,MD!M$2:O$93,3,FALSE)</f>
        <v>#N/A</v>
      </c>
      <c r="K125" s="29"/>
      <c r="P125" s="22"/>
      <c r="X125" s="22"/>
    </row>
    <row r="126" spans="1:24">
      <c r="A126" s="47"/>
      <c r="B126" s="47"/>
      <c r="J126" s="20" t="e">
        <f>VLOOKUP(G126,MD!M$2:O$93,3,FALSE)</f>
        <v>#N/A</v>
      </c>
      <c r="K126" s="29"/>
      <c r="P126" s="22"/>
      <c r="X126" s="22"/>
    </row>
    <row r="127" spans="1:24">
      <c r="A127" s="47"/>
      <c r="B127" s="47"/>
      <c r="J127" s="20" t="e">
        <f>VLOOKUP(G127,MD!M$2:O$93,3,FALSE)</f>
        <v>#N/A</v>
      </c>
      <c r="K127" s="29"/>
      <c r="P127" s="22"/>
      <c r="X127" s="22"/>
    </row>
    <row r="128" spans="1:24">
      <c r="A128" s="47"/>
      <c r="B128" s="47"/>
      <c r="J128" s="20" t="e">
        <f>VLOOKUP(G128,MD!M$2:O$93,3,FALSE)</f>
        <v>#N/A</v>
      </c>
      <c r="K128" s="29"/>
      <c r="P128" s="22"/>
      <c r="X128" s="22"/>
    </row>
    <row r="129" spans="1:24">
      <c r="A129" s="47"/>
      <c r="B129" s="47"/>
      <c r="J129" s="20" t="e">
        <f>VLOOKUP(G129,MD!M$2:O$93,3,FALSE)</f>
        <v>#N/A</v>
      </c>
      <c r="K129" s="29"/>
      <c r="P129" s="22"/>
      <c r="X129" s="22"/>
    </row>
    <row r="130" spans="1:24">
      <c r="A130" s="47"/>
      <c r="B130" s="47"/>
      <c r="J130" s="20" t="e">
        <f>VLOOKUP(G130,MD!M$2:O$93,3,FALSE)</f>
        <v>#N/A</v>
      </c>
      <c r="K130" s="29"/>
      <c r="P130" s="22"/>
      <c r="X130" s="22"/>
    </row>
    <row r="131" spans="1:24">
      <c r="A131" s="47"/>
      <c r="B131" s="47"/>
      <c r="J131" s="20" t="e">
        <f>VLOOKUP(G131,MD!M$2:O$93,3,FALSE)</f>
        <v>#N/A</v>
      </c>
      <c r="K131" s="29"/>
      <c r="P131" s="22"/>
      <c r="X131" s="22"/>
    </row>
    <row r="132" spans="1:24">
      <c r="A132" s="47"/>
      <c r="B132" s="47"/>
      <c r="J132" s="20" t="e">
        <f>VLOOKUP(G132,MD!M$2:O$93,3,FALSE)</f>
        <v>#N/A</v>
      </c>
      <c r="K132" s="29"/>
      <c r="P132" s="22"/>
      <c r="X132" s="22"/>
    </row>
    <row r="133" spans="1:24">
      <c r="A133" s="47"/>
      <c r="B133" s="47"/>
      <c r="J133" s="20" t="e">
        <f>VLOOKUP(G133,MD!M$2:O$93,3,FALSE)</f>
        <v>#N/A</v>
      </c>
      <c r="K133" s="29"/>
      <c r="P133" s="22"/>
      <c r="X133" s="22"/>
    </row>
    <row r="134" spans="1:24">
      <c r="A134" s="47"/>
      <c r="B134" s="47"/>
      <c r="J134" s="20" t="e">
        <f>VLOOKUP(G134,MD!M$2:O$93,3,FALSE)</f>
        <v>#N/A</v>
      </c>
      <c r="K134" s="29"/>
      <c r="P134" s="22"/>
      <c r="X134" s="22"/>
    </row>
    <row r="135" spans="1:24">
      <c r="J135" s="20" t="e">
        <f>VLOOKUP(G135,MD!M$2:O$93,3,FALSE)</f>
        <v>#N/A</v>
      </c>
      <c r="K135" s="29"/>
      <c r="P135" s="22"/>
      <c r="X135" s="22"/>
    </row>
    <row r="136" spans="1:24">
      <c r="J136" s="20" t="e">
        <f>VLOOKUP(G136,MD!M$2:O$93,3,FALSE)</f>
        <v>#N/A</v>
      </c>
      <c r="K136" s="29"/>
      <c r="P136" s="22"/>
      <c r="X136" s="22"/>
    </row>
    <row r="137" spans="1:24">
      <c r="J137" s="20" t="e">
        <f>VLOOKUP(G137,MD!M$2:O$93,3,FALSE)</f>
        <v>#N/A</v>
      </c>
      <c r="K137" s="29"/>
      <c r="P137" s="22"/>
      <c r="X137" s="22"/>
    </row>
    <row r="138" spans="1:24">
      <c r="J138" s="20" t="e">
        <f>VLOOKUP(G138,MD!M$2:O$93,3,FALSE)</f>
        <v>#N/A</v>
      </c>
      <c r="K138" s="29"/>
      <c r="P138" s="22"/>
      <c r="X138" s="22"/>
    </row>
    <row r="139" spans="1:24">
      <c r="J139" s="20" t="e">
        <f>VLOOKUP(G139,MD!M$2:O$93,3,FALSE)</f>
        <v>#N/A</v>
      </c>
      <c r="K139" s="29"/>
      <c r="P139" s="22"/>
      <c r="X139" s="22"/>
    </row>
    <row r="140" spans="1:24">
      <c r="J140" s="20" t="e">
        <f>VLOOKUP(G140,MD!M$2:O$93,3,FALSE)</f>
        <v>#N/A</v>
      </c>
      <c r="K140" s="29"/>
      <c r="P140" s="22"/>
      <c r="X140" s="22"/>
    </row>
    <row r="141" spans="1:24">
      <c r="J141" s="20" t="e">
        <f>VLOOKUP(G141,MD!M$2:O$93,3,FALSE)</f>
        <v>#N/A</v>
      </c>
      <c r="K141" s="29"/>
      <c r="P141" s="22"/>
      <c r="X141" s="22"/>
    </row>
    <row r="142" spans="1:24">
      <c r="J142" s="20" t="e">
        <f>VLOOKUP(G142,MD!M$2:O$93,3,FALSE)</f>
        <v>#N/A</v>
      </c>
      <c r="K142" s="29"/>
      <c r="P142" s="22"/>
      <c r="X142" s="22"/>
    </row>
    <row r="143" spans="1:24">
      <c r="J143" s="20" t="e">
        <f>VLOOKUP(G143,MD!M$2:O$93,3,FALSE)</f>
        <v>#N/A</v>
      </c>
      <c r="K143" s="29"/>
      <c r="P143" s="22"/>
      <c r="X143" s="22"/>
    </row>
    <row r="144" spans="1:24">
      <c r="J144" s="20" t="e">
        <f>VLOOKUP(G144,MD!M$2:O$93,3,FALSE)</f>
        <v>#N/A</v>
      </c>
      <c r="K144" s="29"/>
      <c r="P144" s="22"/>
      <c r="X144" s="22"/>
    </row>
    <row r="145" spans="10:24">
      <c r="J145" s="20" t="e">
        <f>VLOOKUP(G145,MD!M$2:O$93,3,FALSE)</f>
        <v>#N/A</v>
      </c>
      <c r="K145" s="29"/>
      <c r="P145" s="22"/>
      <c r="X145" s="22"/>
    </row>
    <row r="146" spans="10:24">
      <c r="J146" s="20" t="e">
        <f>VLOOKUP(G146,MD!M$2:O$93,3,FALSE)</f>
        <v>#N/A</v>
      </c>
      <c r="K146" s="29"/>
      <c r="P146" s="22"/>
      <c r="X146" s="22"/>
    </row>
    <row r="147" spans="10:24">
      <c r="J147" s="20" t="e">
        <f>VLOOKUP(G147,MD!M$2:O$93,3,FALSE)</f>
        <v>#N/A</v>
      </c>
      <c r="K147" s="29"/>
      <c r="P147" s="22"/>
      <c r="X147" s="22"/>
    </row>
    <row r="148" spans="10:24">
      <c r="J148" s="20" t="e">
        <f>VLOOKUP(G148,MD!M$2:O$93,3,FALSE)</f>
        <v>#N/A</v>
      </c>
      <c r="K148" s="29"/>
      <c r="P148" s="22"/>
      <c r="X148" s="22"/>
    </row>
    <row r="149" spans="10:24">
      <c r="J149" s="20" t="e">
        <f>VLOOKUP(G149,MD!M$2:O$93,3,FALSE)</f>
        <v>#N/A</v>
      </c>
      <c r="K149" s="29"/>
      <c r="P149" s="22"/>
      <c r="X149" s="22"/>
    </row>
    <row r="150" spans="10:24">
      <c r="J150" s="20" t="e">
        <f>VLOOKUP(G150,MD!M$2:O$93,3,FALSE)</f>
        <v>#N/A</v>
      </c>
      <c r="K150" s="29"/>
      <c r="P150" s="22"/>
      <c r="X150" s="22"/>
    </row>
    <row r="151" spans="10:24">
      <c r="J151" s="20" t="e">
        <f>VLOOKUP(G151,MD!M$2:O$93,3,FALSE)</f>
        <v>#N/A</v>
      </c>
      <c r="K151" s="29"/>
      <c r="P151" s="22"/>
      <c r="X151" s="22"/>
    </row>
    <row r="152" spans="10:24">
      <c r="J152" s="20" t="e">
        <f>VLOOKUP(G152,MD!M$2:O$93,3,FALSE)</f>
        <v>#N/A</v>
      </c>
      <c r="K152" s="29"/>
      <c r="P152" s="22"/>
      <c r="X152" s="22"/>
    </row>
    <row r="153" spans="10:24">
      <c r="J153" s="20" t="e">
        <f>VLOOKUP(G153,MD!M$2:O$93,3,FALSE)</f>
        <v>#N/A</v>
      </c>
      <c r="K153" s="29"/>
      <c r="P153" s="22"/>
      <c r="X153" s="22"/>
    </row>
    <row r="154" spans="10:24">
      <c r="J154" s="20" t="e">
        <f>VLOOKUP(G154,MD!M$2:O$93,3,FALSE)</f>
        <v>#N/A</v>
      </c>
      <c r="K154" s="29"/>
      <c r="P154" s="22"/>
      <c r="X154" s="22"/>
    </row>
    <row r="155" spans="10:24">
      <c r="J155" s="20" t="e">
        <f>VLOOKUP(G155,MD!M$2:O$93,3,FALSE)</f>
        <v>#N/A</v>
      </c>
      <c r="K155" s="29"/>
      <c r="P155" s="22"/>
      <c r="X155" s="22"/>
    </row>
    <row r="156" spans="10:24">
      <c r="J156" s="20" t="e">
        <f>VLOOKUP(G156,MD!M$2:O$93,3,FALSE)</f>
        <v>#N/A</v>
      </c>
      <c r="K156" s="29"/>
      <c r="P156" s="22"/>
      <c r="X156" s="22"/>
    </row>
    <row r="157" spans="10:24">
      <c r="J157" s="20" t="e">
        <f>VLOOKUP(G157,MD!M$2:O$93,3,FALSE)</f>
        <v>#N/A</v>
      </c>
      <c r="K157" s="29"/>
      <c r="P157" s="22"/>
      <c r="X157" s="22"/>
    </row>
    <row r="158" spans="10:24">
      <c r="J158" s="20" t="e">
        <f>VLOOKUP(G158,MD!M$2:O$93,3,FALSE)</f>
        <v>#N/A</v>
      </c>
      <c r="K158" s="29"/>
      <c r="P158" s="22"/>
      <c r="X158" s="22"/>
    </row>
    <row r="159" spans="10:24">
      <c r="J159" s="20" t="e">
        <f>VLOOKUP(G159,MD!M$2:O$93,3,FALSE)</f>
        <v>#N/A</v>
      </c>
      <c r="K159" s="29"/>
      <c r="P159" s="22"/>
      <c r="X159" s="22"/>
    </row>
    <row r="160" spans="10:24">
      <c r="J160" s="20" t="e">
        <f>VLOOKUP(G160,MD!M$2:O$93,3,FALSE)</f>
        <v>#N/A</v>
      </c>
      <c r="K160" s="29"/>
      <c r="P160" s="22"/>
      <c r="X160" s="22"/>
    </row>
    <row r="161" spans="10:24">
      <c r="J161" s="20" t="e">
        <f>VLOOKUP(G161,MD!M$2:O$93,3,FALSE)</f>
        <v>#N/A</v>
      </c>
      <c r="K161" s="29"/>
      <c r="P161" s="22"/>
      <c r="X161" s="22"/>
    </row>
    <row r="162" spans="10:24">
      <c r="J162" s="20" t="e">
        <f>VLOOKUP(G162,MD!M$2:O$93,3,FALSE)</f>
        <v>#N/A</v>
      </c>
      <c r="K162" s="29"/>
      <c r="P162" s="22"/>
      <c r="X162" s="22"/>
    </row>
    <row r="163" spans="10:24">
      <c r="J163" s="20" t="e">
        <f>VLOOKUP(G163,MD!M$2:O$93,3,FALSE)</f>
        <v>#N/A</v>
      </c>
      <c r="K163" s="29"/>
      <c r="P163" s="22"/>
      <c r="X163" s="22"/>
    </row>
    <row r="164" spans="10:24">
      <c r="J164" s="20" t="e">
        <f>VLOOKUP(G164,MD!M$2:O$93,3,FALSE)</f>
        <v>#N/A</v>
      </c>
      <c r="K164" s="29"/>
      <c r="P164" s="22"/>
      <c r="X164" s="22"/>
    </row>
    <row r="165" spans="10:24">
      <c r="J165" s="20" t="e">
        <f>VLOOKUP(G165,MD!M$2:O$93,3,FALSE)</f>
        <v>#N/A</v>
      </c>
      <c r="K165" s="29"/>
      <c r="P165" s="22"/>
      <c r="X165" s="22"/>
    </row>
    <row r="166" spans="10:24">
      <c r="J166" s="20" t="e">
        <f>VLOOKUP(G166,MD!M$2:O$93,3,FALSE)</f>
        <v>#N/A</v>
      </c>
      <c r="K166" s="29"/>
      <c r="P166" s="22"/>
      <c r="X166" s="22"/>
    </row>
    <row r="167" spans="10:24">
      <c r="J167" s="20" t="e">
        <f>VLOOKUP(G167,MD!M$2:O$93,3,FALSE)</f>
        <v>#N/A</v>
      </c>
      <c r="K167" s="29"/>
      <c r="P167" s="22"/>
      <c r="X167" s="22"/>
    </row>
    <row r="168" spans="10:24">
      <c r="J168" s="20" t="e">
        <f>VLOOKUP(G168,MD!M$2:O$93,3,FALSE)</f>
        <v>#N/A</v>
      </c>
      <c r="K168" s="29"/>
      <c r="P168" s="22"/>
      <c r="X168" s="22"/>
    </row>
    <row r="169" spans="10:24">
      <c r="J169" s="20" t="e">
        <f>VLOOKUP(G169,MD!M$2:O$93,3,FALSE)</f>
        <v>#N/A</v>
      </c>
      <c r="K169" s="29"/>
      <c r="P169" s="22"/>
      <c r="X169" s="22"/>
    </row>
    <row r="170" spans="10:24">
      <c r="J170" s="20" t="e">
        <f>VLOOKUP(G170,MD!M$2:O$93,3,FALSE)</f>
        <v>#N/A</v>
      </c>
      <c r="K170" s="29"/>
      <c r="P170" s="22"/>
      <c r="X170" s="22"/>
    </row>
    <row r="171" spans="10:24">
      <c r="J171" s="20" t="e">
        <f>VLOOKUP(G171,MD!M$2:O$93,3,FALSE)</f>
        <v>#N/A</v>
      </c>
      <c r="K171" s="29"/>
      <c r="P171" s="22"/>
      <c r="X171" s="22"/>
    </row>
    <row r="172" spans="10:24">
      <c r="J172" s="20" t="e">
        <f>VLOOKUP(G172,MD!M$2:O$93,3,FALSE)</f>
        <v>#N/A</v>
      </c>
      <c r="K172" s="29"/>
      <c r="P172" s="22"/>
      <c r="X172" s="22"/>
    </row>
    <row r="173" spans="10:24">
      <c r="J173" s="20" t="e">
        <f>VLOOKUP(G173,MD!M$2:O$93,3,FALSE)</f>
        <v>#N/A</v>
      </c>
      <c r="K173" s="29"/>
      <c r="P173" s="22"/>
      <c r="X173" s="22"/>
    </row>
    <row r="174" spans="10:24">
      <c r="J174" s="20" t="e">
        <f>VLOOKUP(G174,MD!M$2:O$93,3,FALSE)</f>
        <v>#N/A</v>
      </c>
      <c r="K174" s="29"/>
      <c r="P174" s="22"/>
      <c r="X174" s="22"/>
    </row>
    <row r="175" spans="10:24">
      <c r="J175" s="20" t="e">
        <f>VLOOKUP(G175,MD!M$2:O$93,3,FALSE)</f>
        <v>#N/A</v>
      </c>
      <c r="K175" s="29"/>
      <c r="P175" s="22"/>
      <c r="X175" s="22"/>
    </row>
    <row r="176" spans="10:24">
      <c r="J176" s="20" t="e">
        <f>VLOOKUP(G176,MD!M$2:O$93,3,FALSE)</f>
        <v>#N/A</v>
      </c>
      <c r="K176" s="29"/>
      <c r="P176" s="22"/>
      <c r="X176" s="22"/>
    </row>
    <row r="177" spans="10:24">
      <c r="J177" s="20" t="e">
        <f>VLOOKUP(G177,MD!M$2:O$93,3,FALSE)</f>
        <v>#N/A</v>
      </c>
      <c r="K177" s="29"/>
      <c r="P177" s="22"/>
      <c r="X177" s="22"/>
    </row>
    <row r="178" spans="10:24">
      <c r="J178" s="20" t="e">
        <f>VLOOKUP(G178,MD!M$2:O$93,3,FALSE)</f>
        <v>#N/A</v>
      </c>
      <c r="K178" s="29"/>
      <c r="P178" s="22"/>
      <c r="X178" s="22"/>
    </row>
    <row r="179" spans="10:24">
      <c r="J179" s="20" t="e">
        <f>VLOOKUP(G179,MD!M$2:O$93,3,FALSE)</f>
        <v>#N/A</v>
      </c>
      <c r="K179" s="29"/>
      <c r="P179" s="22"/>
      <c r="X179" s="22"/>
    </row>
    <row r="180" spans="10:24">
      <c r="J180" s="20" t="e">
        <f>VLOOKUP(G180,MD!M$2:O$93,3,FALSE)</f>
        <v>#N/A</v>
      </c>
      <c r="K180" s="29"/>
      <c r="P180" s="22"/>
      <c r="X180" s="22"/>
    </row>
    <row r="181" spans="10:24">
      <c r="J181" s="20" t="e">
        <f>VLOOKUP(G181,MD!M$2:O$93,3,FALSE)</f>
        <v>#N/A</v>
      </c>
      <c r="K181" s="29"/>
      <c r="P181" s="22"/>
      <c r="X181" s="22"/>
    </row>
    <row r="182" spans="10:24">
      <c r="J182" s="20" t="e">
        <f>VLOOKUP(G182,MD!M$2:O$93,3,FALSE)</f>
        <v>#N/A</v>
      </c>
      <c r="K182" s="29"/>
      <c r="P182" s="22"/>
      <c r="X182" s="22"/>
    </row>
    <row r="183" spans="10:24">
      <c r="J183" s="20" t="e">
        <f>VLOOKUP(G183,MD!M$2:O$93,3,FALSE)</f>
        <v>#N/A</v>
      </c>
      <c r="K183" s="29"/>
      <c r="P183" s="22"/>
      <c r="X183" s="22"/>
    </row>
    <row r="184" spans="10:24">
      <c r="J184" s="20" t="e">
        <f>VLOOKUP(G184,MD!M$2:O$93,3,FALSE)</f>
        <v>#N/A</v>
      </c>
      <c r="K184" s="29"/>
      <c r="P184" s="22"/>
      <c r="X184" s="22"/>
    </row>
    <row r="185" spans="10:24">
      <c r="J185" s="20" t="e">
        <f>VLOOKUP(G185,MD!M$2:O$93,3,FALSE)</f>
        <v>#N/A</v>
      </c>
      <c r="K185" s="29"/>
      <c r="P185" s="22"/>
      <c r="X185" s="22"/>
    </row>
    <row r="186" spans="10:24">
      <c r="J186" s="20" t="e">
        <f>VLOOKUP(G186,MD!M$2:O$93,3,FALSE)</f>
        <v>#N/A</v>
      </c>
      <c r="K186" s="29"/>
      <c r="P186" s="22"/>
      <c r="X186" s="22"/>
    </row>
    <row r="187" spans="10:24">
      <c r="J187" s="20" t="e">
        <f>VLOOKUP(G187,MD!M$2:O$93,3,FALSE)</f>
        <v>#N/A</v>
      </c>
      <c r="K187" s="29"/>
      <c r="P187" s="22"/>
      <c r="X187" s="22"/>
    </row>
    <row r="188" spans="10:24">
      <c r="J188" s="20" t="e">
        <f>VLOOKUP(G188,MD!M$2:O$93,3,FALSE)</f>
        <v>#N/A</v>
      </c>
      <c r="K188" s="29"/>
      <c r="P188" s="22"/>
      <c r="X188" s="22"/>
    </row>
    <row r="189" spans="10:24">
      <c r="J189" s="20" t="e">
        <f>VLOOKUP(G189,MD!M$2:O$93,3,FALSE)</f>
        <v>#N/A</v>
      </c>
      <c r="K189" s="29"/>
      <c r="P189" s="22"/>
      <c r="X189" s="22"/>
    </row>
    <row r="190" spans="10:24">
      <c r="J190" s="20" t="e">
        <f>VLOOKUP(G190,MD!M$2:O$93,3,FALSE)</f>
        <v>#N/A</v>
      </c>
      <c r="K190" s="29"/>
      <c r="P190" s="22"/>
      <c r="X190" s="22"/>
    </row>
    <row r="191" spans="10:24">
      <c r="J191" s="20" t="e">
        <f>VLOOKUP(G191,MD!M$2:O$93,3,FALSE)</f>
        <v>#N/A</v>
      </c>
      <c r="K191" s="29"/>
      <c r="P191" s="22"/>
      <c r="X191" s="22"/>
    </row>
    <row r="192" spans="10:24">
      <c r="J192" s="20" t="e">
        <f>VLOOKUP(G192,MD!M$2:O$93,3,FALSE)</f>
        <v>#N/A</v>
      </c>
      <c r="K192" s="29"/>
      <c r="P192" s="22"/>
      <c r="X192" s="22"/>
    </row>
    <row r="193" spans="10:24">
      <c r="J193" s="20" t="e">
        <f>VLOOKUP(G193,MD!M$2:O$93,3,FALSE)</f>
        <v>#N/A</v>
      </c>
      <c r="K193" s="29"/>
      <c r="P193" s="22"/>
      <c r="X193" s="22"/>
    </row>
    <row r="194" spans="10:24">
      <c r="J194" s="20" t="e">
        <f>VLOOKUP(G194,MD!M$2:O$93,3,FALSE)</f>
        <v>#N/A</v>
      </c>
      <c r="K194" s="29"/>
      <c r="P194" s="22"/>
      <c r="X194" s="22"/>
    </row>
    <row r="195" spans="10:24">
      <c r="J195" s="20" t="e">
        <f>VLOOKUP(G195,MD!M$2:O$93,3,FALSE)</f>
        <v>#N/A</v>
      </c>
      <c r="K195" s="29"/>
      <c r="P195" s="22"/>
      <c r="X195" s="22"/>
    </row>
    <row r="196" spans="10:24">
      <c r="J196" s="20" t="e">
        <f>VLOOKUP(G196,MD!M$2:O$93,3,FALSE)</f>
        <v>#N/A</v>
      </c>
      <c r="K196" s="29"/>
      <c r="P196" s="22"/>
      <c r="X196" s="22"/>
    </row>
    <row r="197" spans="10:24">
      <c r="J197" s="20" t="e">
        <f>VLOOKUP(G197,MD!M$2:O$93,3,FALSE)</f>
        <v>#N/A</v>
      </c>
      <c r="K197" s="29"/>
      <c r="P197" s="22"/>
      <c r="X197" s="22"/>
    </row>
    <row r="198" spans="10:24">
      <c r="J198" s="20" t="e">
        <f>VLOOKUP(G198,MD!M$2:O$93,3,FALSE)</f>
        <v>#N/A</v>
      </c>
      <c r="K198" s="29"/>
      <c r="P198" s="22"/>
      <c r="X198" s="22"/>
    </row>
    <row r="199" spans="10:24">
      <c r="J199" s="20" t="e">
        <f>VLOOKUP(G199,MD!M$2:O$93,3,FALSE)</f>
        <v>#N/A</v>
      </c>
      <c r="K199" s="29"/>
      <c r="P199" s="22"/>
      <c r="X199" s="22"/>
    </row>
    <row r="200" spans="10:24">
      <c r="J200" s="20" t="e">
        <f>VLOOKUP(G200,MD!M$2:O$93,3,FALSE)</f>
        <v>#N/A</v>
      </c>
      <c r="K200" s="29"/>
      <c r="P200" s="22"/>
      <c r="X200" s="22"/>
    </row>
    <row r="201" spans="10:24">
      <c r="J201" s="20" t="e">
        <f>VLOOKUP(G201,MD!M$2:O$93,3,FALSE)</f>
        <v>#N/A</v>
      </c>
      <c r="K201" s="29"/>
      <c r="P201" s="22"/>
      <c r="X201" s="22"/>
    </row>
    <row r="202" spans="10:24">
      <c r="J202" s="20" t="e">
        <f>VLOOKUP(G202,MD!M$2:O$93,3,FALSE)</f>
        <v>#N/A</v>
      </c>
      <c r="K202" s="29"/>
      <c r="P202" s="22"/>
      <c r="X202" s="22"/>
    </row>
    <row r="203" spans="10:24">
      <c r="J203" s="20" t="e">
        <f>VLOOKUP(G203,MD!M$2:O$93,3,FALSE)</f>
        <v>#N/A</v>
      </c>
      <c r="K203" s="29"/>
      <c r="P203" s="22"/>
      <c r="X203" s="22"/>
    </row>
    <row r="204" spans="10:24">
      <c r="J204" s="20" t="e">
        <f>VLOOKUP(G204,MD!M$2:O$93,3,FALSE)</f>
        <v>#N/A</v>
      </c>
      <c r="K204" s="29"/>
      <c r="P204" s="22"/>
      <c r="X204" s="22"/>
    </row>
    <row r="205" spans="10:24">
      <c r="J205" s="20" t="e">
        <f>VLOOKUP(G205,MD!M$2:O$93,3,FALSE)</f>
        <v>#N/A</v>
      </c>
      <c r="K205" s="29"/>
      <c r="P205" s="22"/>
      <c r="X205" s="22"/>
    </row>
    <row r="206" spans="10:24">
      <c r="J206" s="20" t="e">
        <f>VLOOKUP(G206,MD!M$2:O$93,3,FALSE)</f>
        <v>#N/A</v>
      </c>
      <c r="K206" s="29"/>
      <c r="P206" s="22"/>
      <c r="X206" s="22"/>
    </row>
    <row r="207" spans="10:24">
      <c r="J207" s="20" t="e">
        <f>VLOOKUP(G207,MD!M$2:O$93,3,FALSE)</f>
        <v>#N/A</v>
      </c>
      <c r="K207" s="29"/>
      <c r="P207" s="22"/>
      <c r="X207" s="22"/>
    </row>
    <row r="208" spans="10:24">
      <c r="J208" s="20" t="e">
        <f>VLOOKUP(G208,MD!M$2:O$93,3,FALSE)</f>
        <v>#N/A</v>
      </c>
      <c r="K208" s="29"/>
      <c r="P208" s="22"/>
      <c r="X208" s="22"/>
    </row>
    <row r="209" spans="10:24">
      <c r="J209" s="20" t="e">
        <f>VLOOKUP(G209,MD!M$2:O$93,3,FALSE)</f>
        <v>#N/A</v>
      </c>
      <c r="K209" s="29"/>
      <c r="P209" s="22"/>
      <c r="X209" s="22"/>
    </row>
    <row r="210" spans="10:24">
      <c r="J210" s="20" t="e">
        <f>VLOOKUP(G210,MD!M$2:O$93,3,FALSE)</f>
        <v>#N/A</v>
      </c>
      <c r="K210" s="29"/>
      <c r="P210" s="22"/>
      <c r="X210" s="22"/>
    </row>
    <row r="211" spans="10:24">
      <c r="J211" s="20" t="e">
        <f>VLOOKUP(G211,MD!M$2:O$93,3,FALSE)</f>
        <v>#N/A</v>
      </c>
      <c r="K211" s="29"/>
      <c r="P211" s="22"/>
      <c r="X211" s="22"/>
    </row>
    <row r="212" spans="10:24">
      <c r="J212" s="20" t="e">
        <f>VLOOKUP(G212,MD!M$2:O$93,3,FALSE)</f>
        <v>#N/A</v>
      </c>
      <c r="K212" s="29"/>
      <c r="P212" s="22"/>
      <c r="X212" s="22"/>
    </row>
    <row r="213" spans="10:24">
      <c r="J213" s="20" t="e">
        <f>VLOOKUP(G213,MD!M$2:O$93,3,FALSE)</f>
        <v>#N/A</v>
      </c>
      <c r="K213" s="29"/>
      <c r="P213" s="22"/>
      <c r="X213" s="22"/>
    </row>
    <row r="214" spans="10:24">
      <c r="J214" s="20" t="e">
        <f>VLOOKUP(G214,MD!M$2:O$93,3,FALSE)</f>
        <v>#N/A</v>
      </c>
      <c r="K214" s="29"/>
      <c r="P214" s="22"/>
      <c r="X214" s="22"/>
    </row>
    <row r="215" spans="10:24">
      <c r="J215" s="20" t="e">
        <f>VLOOKUP(G215,MD!M$2:O$93,3,FALSE)</f>
        <v>#N/A</v>
      </c>
      <c r="K215" s="29"/>
      <c r="P215" s="22"/>
      <c r="X215" s="22"/>
    </row>
    <row r="216" spans="10:24">
      <c r="J216" s="20" t="e">
        <f>VLOOKUP(G216,MD!M$2:O$93,3,FALSE)</f>
        <v>#N/A</v>
      </c>
      <c r="K216" s="29"/>
      <c r="P216" s="22"/>
      <c r="X216" s="22"/>
    </row>
    <row r="217" spans="10:24">
      <c r="J217" s="20" t="e">
        <f>VLOOKUP(G217,MD!M$2:O$93,3,FALSE)</f>
        <v>#N/A</v>
      </c>
      <c r="K217" s="29"/>
      <c r="P217" s="22"/>
      <c r="X217" s="22"/>
    </row>
    <row r="218" spans="10:24">
      <c r="J218" s="20" t="e">
        <f>VLOOKUP(G218,MD!M$2:O$93,3,FALSE)</f>
        <v>#N/A</v>
      </c>
      <c r="K218" s="29"/>
      <c r="P218" s="22"/>
      <c r="X218" s="22"/>
    </row>
    <row r="219" spans="10:24">
      <c r="J219" s="20" t="e">
        <f>VLOOKUP(G219,MD!M$2:O$93,3,FALSE)</f>
        <v>#N/A</v>
      </c>
      <c r="K219" s="29"/>
      <c r="P219" s="22"/>
      <c r="X219" s="22"/>
    </row>
    <row r="220" spans="10:24">
      <c r="J220" s="20" t="e">
        <f>VLOOKUP(G220,MD!M$2:O$93,3,FALSE)</f>
        <v>#N/A</v>
      </c>
      <c r="K220" s="29"/>
      <c r="P220" s="22"/>
      <c r="X220" s="22"/>
    </row>
    <row r="221" spans="10:24">
      <c r="J221" s="20" t="e">
        <f>VLOOKUP(G221,MD!M$2:O$93,3,FALSE)</f>
        <v>#N/A</v>
      </c>
      <c r="K221" s="29"/>
      <c r="P221" s="22"/>
      <c r="X221" s="22"/>
    </row>
    <row r="222" spans="10:24">
      <c r="J222" s="20" t="e">
        <f>VLOOKUP(G222,MD!M$2:O$93,3,FALSE)</f>
        <v>#N/A</v>
      </c>
      <c r="K222" s="29"/>
      <c r="P222" s="22"/>
      <c r="X222" s="22"/>
    </row>
    <row r="223" spans="10:24">
      <c r="J223" s="20" t="e">
        <f>VLOOKUP(G223,MD!M$2:O$93,3,FALSE)</f>
        <v>#N/A</v>
      </c>
      <c r="K223" s="29"/>
      <c r="P223" s="22"/>
      <c r="X223" s="22"/>
    </row>
    <row r="224" spans="10:24">
      <c r="J224" s="20" t="e">
        <f>VLOOKUP(G224,MD!M$2:O$93,3,FALSE)</f>
        <v>#N/A</v>
      </c>
      <c r="K224" s="29"/>
      <c r="P224" s="22"/>
      <c r="X224" s="22"/>
    </row>
    <row r="225" spans="10:24">
      <c r="J225" s="20" t="e">
        <f>VLOOKUP(G225,MD!M$2:O$93,3,FALSE)</f>
        <v>#N/A</v>
      </c>
      <c r="K225" s="29"/>
      <c r="P225" s="22"/>
      <c r="X225" s="22"/>
    </row>
    <row r="226" spans="10:24">
      <c r="J226" s="20" t="e">
        <f>VLOOKUP(G226,MD!M$2:O$93,3,FALSE)</f>
        <v>#N/A</v>
      </c>
      <c r="K226" s="29"/>
      <c r="P226" s="22"/>
      <c r="X226" s="22"/>
    </row>
    <row r="227" spans="10:24">
      <c r="J227" s="20" t="e">
        <f>VLOOKUP(G227,MD!M$2:O$93,3,FALSE)</f>
        <v>#N/A</v>
      </c>
      <c r="K227" s="29"/>
      <c r="P227" s="22"/>
      <c r="X227" s="22"/>
    </row>
    <row r="228" spans="10:24">
      <c r="J228" s="20" t="e">
        <f>VLOOKUP(G228,MD!M$2:O$93,3,FALSE)</f>
        <v>#N/A</v>
      </c>
      <c r="K228" s="29"/>
      <c r="P228" s="22"/>
      <c r="X228" s="22"/>
    </row>
    <row r="229" spans="10:24">
      <c r="J229" s="20" t="e">
        <f>VLOOKUP(G229,MD!M$2:O$93,3,FALSE)</f>
        <v>#N/A</v>
      </c>
      <c r="K229" s="29"/>
      <c r="P229" s="22"/>
      <c r="X229" s="22"/>
    </row>
    <row r="230" spans="10:24">
      <c r="J230" s="20" t="e">
        <f>VLOOKUP(G230,MD!M$2:O$93,3,FALSE)</f>
        <v>#N/A</v>
      </c>
      <c r="K230" s="29"/>
      <c r="P230" s="22"/>
      <c r="X230" s="22"/>
    </row>
    <row r="231" spans="10:24">
      <c r="J231" s="20" t="e">
        <f>VLOOKUP(G231,MD!M$2:O$93,3,FALSE)</f>
        <v>#N/A</v>
      </c>
      <c r="K231" s="29"/>
      <c r="P231" s="22"/>
      <c r="X231" s="22"/>
    </row>
    <row r="232" spans="10:24">
      <c r="J232" s="20" t="e">
        <f>VLOOKUP(G232,MD!M$2:O$93,3,FALSE)</f>
        <v>#N/A</v>
      </c>
      <c r="K232" s="29"/>
      <c r="P232" s="22"/>
      <c r="X232" s="22"/>
    </row>
    <row r="233" spans="10:24">
      <c r="J233" s="20" t="e">
        <f>VLOOKUP(G233,MD!M$2:O$93,3,FALSE)</f>
        <v>#N/A</v>
      </c>
      <c r="K233" s="29"/>
      <c r="P233" s="22"/>
      <c r="X233" s="22"/>
    </row>
    <row r="234" spans="10:24">
      <c r="J234" s="20" t="e">
        <f>VLOOKUP(G234,MD!M$2:O$93,3,FALSE)</f>
        <v>#N/A</v>
      </c>
      <c r="K234" s="29"/>
      <c r="P234" s="22"/>
      <c r="X234" s="22"/>
    </row>
    <row r="235" spans="10:24">
      <c r="J235" s="20" t="e">
        <f>VLOOKUP(G235,MD!M$2:O$93,3,FALSE)</f>
        <v>#N/A</v>
      </c>
      <c r="K235" s="29"/>
      <c r="P235" s="22"/>
      <c r="X235" s="22"/>
    </row>
    <row r="236" spans="10:24">
      <c r="J236" s="20" t="e">
        <f>VLOOKUP(G236,MD!M$2:O$93,3,FALSE)</f>
        <v>#N/A</v>
      </c>
      <c r="K236" s="29"/>
      <c r="P236" s="22"/>
      <c r="X236" s="22"/>
    </row>
    <row r="237" spans="10:24">
      <c r="J237" s="20" t="e">
        <f>VLOOKUP(G237,MD!M$2:O$93,3,FALSE)</f>
        <v>#N/A</v>
      </c>
      <c r="K237" s="29"/>
      <c r="P237" s="22"/>
      <c r="X237" s="22"/>
    </row>
    <row r="238" spans="10:24">
      <c r="J238" s="20" t="e">
        <f>VLOOKUP(G238,MD!M$2:O$93,3,FALSE)</f>
        <v>#N/A</v>
      </c>
      <c r="K238" s="29"/>
      <c r="P238" s="22"/>
      <c r="X238" s="22"/>
    </row>
    <row r="239" spans="10:24">
      <c r="J239" s="20" t="e">
        <f>VLOOKUP(G239,MD!M$2:O$93,3,FALSE)</f>
        <v>#N/A</v>
      </c>
      <c r="K239" s="29"/>
      <c r="P239" s="22"/>
      <c r="X239" s="22"/>
    </row>
    <row r="240" spans="10:24">
      <c r="J240" s="20" t="e">
        <f>VLOOKUP(G240,MD!M$2:O$93,3,FALSE)</f>
        <v>#N/A</v>
      </c>
      <c r="K240" s="29"/>
      <c r="P240" s="22"/>
      <c r="X240" s="22"/>
    </row>
    <row r="241" spans="10:24">
      <c r="J241" s="20" t="e">
        <f>VLOOKUP(G241,MD!M$2:O$93,3,FALSE)</f>
        <v>#N/A</v>
      </c>
      <c r="K241" s="29"/>
      <c r="P241" s="22"/>
      <c r="X241" s="22"/>
    </row>
    <row r="242" spans="10:24">
      <c r="J242" s="20" t="e">
        <f>VLOOKUP(G242,MD!M$2:O$93,3,FALSE)</f>
        <v>#N/A</v>
      </c>
      <c r="K242" s="29"/>
      <c r="P242" s="22"/>
      <c r="X242" s="22"/>
    </row>
    <row r="243" spans="10:24">
      <c r="J243" s="20" t="e">
        <f>VLOOKUP(G243,MD!M$2:O$93,3,FALSE)</f>
        <v>#N/A</v>
      </c>
      <c r="K243" s="29"/>
      <c r="P243" s="22"/>
      <c r="X243" s="22"/>
    </row>
    <row r="244" spans="10:24">
      <c r="J244" s="20" t="e">
        <f>VLOOKUP(G244,MD!M$2:O$93,3,FALSE)</f>
        <v>#N/A</v>
      </c>
      <c r="K244" s="29"/>
      <c r="P244" s="22"/>
      <c r="X244" s="22"/>
    </row>
    <row r="245" spans="10:24">
      <c r="J245" s="20" t="e">
        <f>VLOOKUP(G245,MD!M$2:O$93,3,FALSE)</f>
        <v>#N/A</v>
      </c>
      <c r="K245" s="29"/>
      <c r="P245" s="22"/>
      <c r="X245" s="22"/>
    </row>
    <row r="246" spans="10:24">
      <c r="J246" s="20" t="e">
        <f>VLOOKUP(G246,MD!M$2:O$93,3,FALSE)</f>
        <v>#N/A</v>
      </c>
      <c r="K246" s="29"/>
      <c r="P246" s="22"/>
      <c r="X246" s="22"/>
    </row>
    <row r="247" spans="10:24">
      <c r="J247" s="20" t="e">
        <f>VLOOKUP(G247,MD!M$2:O$93,3,FALSE)</f>
        <v>#N/A</v>
      </c>
      <c r="K247" s="29"/>
      <c r="P247" s="22"/>
      <c r="X247" s="22"/>
    </row>
    <row r="248" spans="10:24">
      <c r="J248" s="20" t="e">
        <f>VLOOKUP(G248,MD!M$2:O$93,3,FALSE)</f>
        <v>#N/A</v>
      </c>
      <c r="K248" s="29"/>
      <c r="P248" s="22"/>
      <c r="X248" s="22"/>
    </row>
    <row r="249" spans="10:24">
      <c r="J249" s="20" t="e">
        <f>VLOOKUP(G249,MD!M$2:O$93,3,FALSE)</f>
        <v>#N/A</v>
      </c>
      <c r="K249" s="29"/>
      <c r="P249" s="22"/>
      <c r="X249" s="22"/>
    </row>
    <row r="250" spans="10:24">
      <c r="J250" s="20" t="e">
        <f>VLOOKUP(G250,MD!M$2:O$93,3,FALSE)</f>
        <v>#N/A</v>
      </c>
      <c r="K250" s="29"/>
      <c r="P250" s="22"/>
      <c r="X250" s="22"/>
    </row>
    <row r="251" spans="10:24">
      <c r="J251" s="20" t="e">
        <f>VLOOKUP(G251,MD!M$2:O$93,3,FALSE)</f>
        <v>#N/A</v>
      </c>
      <c r="K251" s="29"/>
      <c r="P251" s="22"/>
      <c r="X251" s="22"/>
    </row>
    <row r="252" spans="10:24">
      <c r="J252" s="20" t="e">
        <f>VLOOKUP(G252,MD!M$2:O$93,3,FALSE)</f>
        <v>#N/A</v>
      </c>
      <c r="K252" s="29"/>
      <c r="P252" s="22"/>
      <c r="X252" s="22"/>
    </row>
    <row r="253" spans="10:24">
      <c r="J253" s="20" t="e">
        <f>VLOOKUP(G253,MD!M$2:O$93,3,FALSE)</f>
        <v>#N/A</v>
      </c>
      <c r="K253" s="29"/>
      <c r="P253" s="22"/>
      <c r="X253" s="22"/>
    </row>
    <row r="254" spans="10:24">
      <c r="J254" s="20" t="e">
        <f>VLOOKUP(G254,MD!M$2:O$93,3,FALSE)</f>
        <v>#N/A</v>
      </c>
      <c r="K254" s="29"/>
      <c r="P254" s="22"/>
      <c r="X254" s="22"/>
    </row>
    <row r="255" spans="10:24">
      <c r="J255" s="20" t="e">
        <f>VLOOKUP(G255,MD!M$2:O$93,3,FALSE)</f>
        <v>#N/A</v>
      </c>
      <c r="K255" s="29"/>
      <c r="P255" s="22"/>
      <c r="X255" s="22"/>
    </row>
    <row r="256" spans="10:24">
      <c r="J256" s="20" t="e">
        <f>VLOOKUP(G256,MD!M$2:O$93,3,FALSE)</f>
        <v>#N/A</v>
      </c>
      <c r="K256" s="29"/>
      <c r="P256" s="22"/>
      <c r="X256" s="22"/>
    </row>
    <row r="257" spans="10:24">
      <c r="J257" s="20" t="e">
        <f>VLOOKUP(G257,MD!M$2:O$93,3,FALSE)</f>
        <v>#N/A</v>
      </c>
      <c r="K257" s="29"/>
      <c r="P257" s="22"/>
      <c r="X257" s="22"/>
    </row>
    <row r="258" spans="10:24">
      <c r="J258" s="20" t="e">
        <f>VLOOKUP(G258,MD!M$2:O$93,3,FALSE)</f>
        <v>#N/A</v>
      </c>
      <c r="K258" s="29"/>
      <c r="P258" s="22"/>
      <c r="X258" s="22"/>
    </row>
    <row r="259" spans="10:24">
      <c r="J259" s="20" t="e">
        <f>VLOOKUP(G259,MD!M$2:O$93,3,FALSE)</f>
        <v>#N/A</v>
      </c>
      <c r="K259" s="29"/>
      <c r="P259" s="22"/>
      <c r="X259" s="22"/>
    </row>
    <row r="260" spans="10:24">
      <c r="J260" s="20" t="e">
        <f>VLOOKUP(G260,MD!M$2:O$93,3,FALSE)</f>
        <v>#N/A</v>
      </c>
      <c r="K260" s="29"/>
      <c r="P260" s="22"/>
      <c r="X260" s="22"/>
    </row>
    <row r="261" spans="10:24">
      <c r="J261" s="20" t="e">
        <f>VLOOKUP(G261,MD!M$2:O$93,3,FALSE)</f>
        <v>#N/A</v>
      </c>
      <c r="K261" s="29"/>
      <c r="P261" s="22"/>
      <c r="X261" s="22"/>
    </row>
    <row r="262" spans="10:24">
      <c r="J262" s="20" t="e">
        <f>VLOOKUP(G262,MD!M$2:O$93,3,FALSE)</f>
        <v>#N/A</v>
      </c>
      <c r="K262" s="29"/>
      <c r="P262" s="22"/>
      <c r="X262" s="22"/>
    </row>
    <row r="263" spans="10:24">
      <c r="J263" s="20" t="e">
        <f>VLOOKUP(G263,MD!M$2:O$93,3,FALSE)</f>
        <v>#N/A</v>
      </c>
      <c r="K263" s="29"/>
      <c r="P263" s="22"/>
      <c r="X263" s="22"/>
    </row>
    <row r="264" spans="10:24">
      <c r="J264" s="20" t="e">
        <f>VLOOKUP(G264,MD!M$2:O$93,3,FALSE)</f>
        <v>#N/A</v>
      </c>
      <c r="K264" s="29"/>
      <c r="P264" s="22"/>
      <c r="X264" s="22"/>
    </row>
    <row r="265" spans="10:24">
      <c r="J265" s="20" t="e">
        <f>VLOOKUP(G265,MD!M$2:O$93,3,FALSE)</f>
        <v>#N/A</v>
      </c>
      <c r="K265" s="29"/>
      <c r="P265" s="22"/>
      <c r="X265" s="22"/>
    </row>
    <row r="266" spans="10:24">
      <c r="J266" s="20" t="e">
        <f>VLOOKUP(G266,MD!M$2:O$93,3,FALSE)</f>
        <v>#N/A</v>
      </c>
      <c r="K266" s="29"/>
      <c r="P266" s="22"/>
      <c r="X266" s="22"/>
    </row>
    <row r="267" spans="10:24">
      <c r="J267" s="20" t="e">
        <f>VLOOKUP(G267,MD!M$2:O$93,3,FALSE)</f>
        <v>#N/A</v>
      </c>
      <c r="K267" s="29"/>
      <c r="P267" s="22"/>
      <c r="X267" s="22"/>
    </row>
    <row r="268" spans="10:24">
      <c r="J268" s="20" t="e">
        <f>VLOOKUP(G268,MD!M$2:O$93,3,FALSE)</f>
        <v>#N/A</v>
      </c>
      <c r="K268" s="29"/>
      <c r="P268" s="22"/>
      <c r="X268" s="22"/>
    </row>
    <row r="269" spans="10:24">
      <c r="J269" s="20" t="e">
        <f>VLOOKUP(G269,MD!M$2:O$93,3,FALSE)</f>
        <v>#N/A</v>
      </c>
      <c r="K269" s="29"/>
      <c r="P269" s="22"/>
      <c r="X269" s="22"/>
    </row>
    <row r="270" spans="10:24">
      <c r="J270" s="20" t="e">
        <f>VLOOKUP(G270,MD!M$2:O$93,3,FALSE)</f>
        <v>#N/A</v>
      </c>
      <c r="K270" s="29"/>
      <c r="P270" s="22"/>
      <c r="X270" s="22"/>
    </row>
    <row r="271" spans="10:24">
      <c r="J271" s="20" t="e">
        <f>VLOOKUP(G271,MD!M$2:O$93,3,FALSE)</f>
        <v>#N/A</v>
      </c>
      <c r="K271" s="29"/>
      <c r="P271" s="22"/>
      <c r="X271" s="22"/>
    </row>
    <row r="272" spans="10:24">
      <c r="J272" s="20" t="e">
        <f>VLOOKUP(G272,MD!M$2:O$93,3,FALSE)</f>
        <v>#N/A</v>
      </c>
      <c r="K272" s="29"/>
      <c r="P272" s="22"/>
      <c r="X272" s="22"/>
    </row>
    <row r="273" spans="10:24">
      <c r="J273" s="20" t="e">
        <f>VLOOKUP(G273,MD!M$2:O$93,3,FALSE)</f>
        <v>#N/A</v>
      </c>
      <c r="K273" s="29"/>
      <c r="P273" s="22"/>
      <c r="X273" s="22"/>
    </row>
    <row r="274" spans="10:24">
      <c r="J274" s="20" t="e">
        <f>VLOOKUP(G274,MD!M$2:O$93,3,FALSE)</f>
        <v>#N/A</v>
      </c>
      <c r="K274" s="29"/>
      <c r="P274" s="22"/>
      <c r="X274" s="22"/>
    </row>
    <row r="275" spans="10:24">
      <c r="J275" s="20" t="e">
        <f>VLOOKUP(G275,MD!M$2:O$93,3,FALSE)</f>
        <v>#N/A</v>
      </c>
      <c r="K275" s="29"/>
      <c r="P275" s="22"/>
      <c r="X275" s="22"/>
    </row>
    <row r="276" spans="10:24">
      <c r="J276" s="20" t="e">
        <f>VLOOKUP(G276,MD!M$2:O$93,3,FALSE)</f>
        <v>#N/A</v>
      </c>
      <c r="K276" s="29"/>
      <c r="P276" s="22"/>
      <c r="X276" s="22"/>
    </row>
    <row r="277" spans="10:24">
      <c r="J277" s="20" t="e">
        <f>VLOOKUP(G277,MD!M$2:O$93,3,FALSE)</f>
        <v>#N/A</v>
      </c>
      <c r="K277" s="29"/>
      <c r="P277" s="22"/>
      <c r="X277" s="22"/>
    </row>
    <row r="278" spans="10:24">
      <c r="J278" s="20" t="e">
        <f>VLOOKUP(G278,MD!M$2:O$93,3,FALSE)</f>
        <v>#N/A</v>
      </c>
      <c r="K278" s="29"/>
      <c r="P278" s="22"/>
      <c r="X278" s="22"/>
    </row>
    <row r="279" spans="10:24">
      <c r="J279" s="20" t="e">
        <f>VLOOKUP(G279,MD!M$2:O$93,3,FALSE)</f>
        <v>#N/A</v>
      </c>
      <c r="K279" s="29"/>
      <c r="P279" s="22"/>
      <c r="X279" s="22"/>
    </row>
    <row r="280" spans="10:24">
      <c r="J280" s="20" t="e">
        <f>VLOOKUP(G280,MD!M$2:O$93,3,FALSE)</f>
        <v>#N/A</v>
      </c>
      <c r="K280" s="29"/>
      <c r="P280" s="22"/>
      <c r="X280" s="22"/>
    </row>
    <row r="281" spans="10:24">
      <c r="J281" s="20" t="e">
        <f>VLOOKUP(G281,MD!M$2:O$93,3,FALSE)</f>
        <v>#N/A</v>
      </c>
      <c r="K281" s="29"/>
      <c r="P281" s="22"/>
      <c r="X281" s="22"/>
    </row>
    <row r="282" spans="10:24">
      <c r="J282" s="20" t="e">
        <f>VLOOKUP(G282,MD!M$2:O$93,3,FALSE)</f>
        <v>#N/A</v>
      </c>
      <c r="K282" s="29"/>
      <c r="P282" s="22"/>
      <c r="X282" s="22"/>
    </row>
    <row r="283" spans="10:24">
      <c r="J283" s="20" t="e">
        <f>VLOOKUP(G283,MD!M$2:O$93,3,FALSE)</f>
        <v>#N/A</v>
      </c>
      <c r="K283" s="29"/>
      <c r="P283" s="22"/>
      <c r="X283" s="22"/>
    </row>
    <row r="284" spans="10:24">
      <c r="J284" s="20" t="e">
        <f>VLOOKUP(G284,MD!M$2:O$93,3,FALSE)</f>
        <v>#N/A</v>
      </c>
      <c r="K284" s="29"/>
      <c r="P284" s="22"/>
      <c r="X284" s="22"/>
    </row>
    <row r="285" spans="10:24">
      <c r="J285" s="20" t="e">
        <f>VLOOKUP(G285,MD!M$2:O$93,3,FALSE)</f>
        <v>#N/A</v>
      </c>
      <c r="K285" s="29"/>
      <c r="P285" s="22"/>
      <c r="X285" s="22"/>
    </row>
    <row r="286" spans="10:24">
      <c r="J286" s="20" t="e">
        <f>VLOOKUP(G286,MD!M$2:O$93,3,FALSE)</f>
        <v>#N/A</v>
      </c>
      <c r="K286" s="29"/>
      <c r="P286" s="22"/>
      <c r="X286" s="22"/>
    </row>
    <row r="287" spans="10:24">
      <c r="J287" s="20" t="e">
        <f>VLOOKUP(G287,MD!M$2:O$93,3,FALSE)</f>
        <v>#N/A</v>
      </c>
      <c r="K287" s="29"/>
      <c r="P287" s="22"/>
      <c r="X287" s="22"/>
    </row>
    <row r="288" spans="10:24">
      <c r="J288" s="20" t="e">
        <f>VLOOKUP(G288,MD!M$2:O$93,3,FALSE)</f>
        <v>#N/A</v>
      </c>
      <c r="K288" s="29"/>
      <c r="P288" s="22"/>
      <c r="X288" s="22"/>
    </row>
    <row r="289" spans="10:24">
      <c r="J289" s="20" t="e">
        <f>VLOOKUP(G289,MD!M$2:O$93,3,FALSE)</f>
        <v>#N/A</v>
      </c>
      <c r="K289" s="29"/>
      <c r="P289" s="22"/>
      <c r="X289" s="22"/>
    </row>
    <row r="290" spans="10:24">
      <c r="J290" s="20" t="e">
        <f>VLOOKUP(G290,MD!M$2:O$93,3,FALSE)</f>
        <v>#N/A</v>
      </c>
      <c r="K290" s="29"/>
      <c r="P290" s="22"/>
      <c r="X290" s="22"/>
    </row>
    <row r="291" spans="10:24">
      <c r="J291" s="20" t="e">
        <f>VLOOKUP(G291,MD!M$2:O$93,3,FALSE)</f>
        <v>#N/A</v>
      </c>
      <c r="K291" s="29"/>
      <c r="P291" s="22"/>
      <c r="X291" s="22"/>
    </row>
    <row r="292" spans="10:24">
      <c r="J292" s="20" t="e">
        <f>VLOOKUP(G292,MD!M$2:O$93,3,FALSE)</f>
        <v>#N/A</v>
      </c>
      <c r="K292" s="29"/>
      <c r="P292" s="22"/>
      <c r="X292" s="22"/>
    </row>
    <row r="293" spans="10:24">
      <c r="J293" s="20" t="e">
        <f>VLOOKUP(G293,MD!M$2:O$93,3,FALSE)</f>
        <v>#N/A</v>
      </c>
      <c r="K293" s="29"/>
      <c r="P293" s="22"/>
      <c r="X293" s="22"/>
    </row>
    <row r="294" spans="10:24">
      <c r="J294" s="20" t="e">
        <f>VLOOKUP(G294,MD!M$2:O$93,3,FALSE)</f>
        <v>#N/A</v>
      </c>
      <c r="K294" s="29"/>
      <c r="P294" s="22"/>
      <c r="X294" s="22"/>
    </row>
    <row r="295" spans="10:24">
      <c r="J295" s="20" t="e">
        <f>VLOOKUP(G295,MD!M$2:O$93,3,FALSE)</f>
        <v>#N/A</v>
      </c>
      <c r="K295" s="29"/>
      <c r="P295" s="22"/>
      <c r="X295" s="22"/>
    </row>
    <row r="296" spans="10:24">
      <c r="J296" s="20" t="e">
        <f>VLOOKUP(G296,MD!M$2:O$93,3,FALSE)</f>
        <v>#N/A</v>
      </c>
      <c r="K296" s="29"/>
      <c r="P296" s="22"/>
      <c r="X296" s="22"/>
    </row>
    <row r="297" spans="10:24">
      <c r="J297" s="20" t="e">
        <f>VLOOKUP(G297,MD!M$2:O$93,3,FALSE)</f>
        <v>#N/A</v>
      </c>
      <c r="K297" s="29"/>
      <c r="P297" s="22"/>
      <c r="X297" s="22"/>
    </row>
    <row r="298" spans="10:24">
      <c r="J298" s="20" t="e">
        <f>VLOOKUP(G298,MD!M$2:O$93,3,FALSE)</f>
        <v>#N/A</v>
      </c>
      <c r="K298" s="29"/>
      <c r="P298" s="22"/>
      <c r="X298" s="22"/>
    </row>
    <row r="299" spans="10:24">
      <c r="J299" s="20" t="e">
        <f>VLOOKUP(G299,MD!M$2:O$93,3,FALSE)</f>
        <v>#N/A</v>
      </c>
      <c r="K299" s="29"/>
      <c r="P299" s="22"/>
      <c r="X299" s="22"/>
    </row>
    <row r="300" spans="10:24">
      <c r="J300" s="20" t="e">
        <f>VLOOKUP(G300,MD!M$2:O$93,3,FALSE)</f>
        <v>#N/A</v>
      </c>
      <c r="K300" s="29"/>
      <c r="P300" s="22"/>
      <c r="X300" s="22"/>
    </row>
    <row r="301" spans="10:24">
      <c r="J301" s="20" t="e">
        <f>VLOOKUP(G301,MD!M$2:O$93,3,FALSE)</f>
        <v>#N/A</v>
      </c>
      <c r="K301" s="29"/>
      <c r="P301" s="22"/>
      <c r="X301" s="22"/>
    </row>
    <row r="302" spans="10:24">
      <c r="J302" s="20" t="e">
        <f>VLOOKUP(G302,MD!M$2:O$93,3,FALSE)</f>
        <v>#N/A</v>
      </c>
      <c r="K302" s="29"/>
      <c r="P302" s="22"/>
      <c r="X302" s="22"/>
    </row>
    <row r="303" spans="10:24">
      <c r="J303" s="20" t="e">
        <f>VLOOKUP(G303,MD!M$2:O$93,3,FALSE)</f>
        <v>#N/A</v>
      </c>
      <c r="K303" s="29"/>
      <c r="P303" s="22"/>
      <c r="X303" s="22"/>
    </row>
    <row r="304" spans="10:24">
      <c r="J304" s="20" t="e">
        <f>VLOOKUP(G304,MD!M$2:O$93,3,FALSE)</f>
        <v>#N/A</v>
      </c>
      <c r="K304" s="29"/>
      <c r="P304" s="22"/>
      <c r="X304" s="22"/>
    </row>
    <row r="305" spans="10:24">
      <c r="J305" s="20" t="e">
        <f>VLOOKUP(G305,MD!M$2:O$93,3,FALSE)</f>
        <v>#N/A</v>
      </c>
      <c r="K305" s="29"/>
      <c r="P305" s="22"/>
      <c r="X305" s="22"/>
    </row>
    <row r="306" spans="10:24">
      <c r="J306" s="20" t="e">
        <f>VLOOKUP(G306,MD!M$2:O$93,3,FALSE)</f>
        <v>#N/A</v>
      </c>
      <c r="K306" s="29"/>
      <c r="P306" s="22"/>
      <c r="X306" s="22"/>
    </row>
    <row r="307" spans="10:24">
      <c r="J307" s="20" t="e">
        <f>VLOOKUP(G307,MD!M$2:O$93,3,FALSE)</f>
        <v>#N/A</v>
      </c>
      <c r="K307" s="29"/>
      <c r="P307" s="22"/>
      <c r="X307" s="22"/>
    </row>
    <row r="308" spans="10:24">
      <c r="J308" s="20" t="e">
        <f>VLOOKUP(G308,MD!M$2:O$93,3,FALSE)</f>
        <v>#N/A</v>
      </c>
      <c r="K308" s="29"/>
      <c r="P308" s="22"/>
      <c r="X308" s="22"/>
    </row>
    <row r="309" spans="10:24">
      <c r="J309" s="20" t="e">
        <f>VLOOKUP(G309,MD!M$2:O$93,3,FALSE)</f>
        <v>#N/A</v>
      </c>
      <c r="K309" s="29"/>
      <c r="P309" s="22"/>
      <c r="X309" s="22"/>
    </row>
    <row r="310" spans="10:24">
      <c r="J310" s="20" t="e">
        <f>VLOOKUP(G310,MD!M$2:O$93,3,FALSE)</f>
        <v>#N/A</v>
      </c>
      <c r="K310" s="29"/>
      <c r="P310" s="22"/>
      <c r="X310" s="22"/>
    </row>
    <row r="311" spans="10:24">
      <c r="J311" s="20" t="e">
        <f>VLOOKUP(G311,MD!M$2:O$93,3,FALSE)</f>
        <v>#N/A</v>
      </c>
      <c r="K311" s="29"/>
      <c r="P311" s="22"/>
      <c r="X311" s="22"/>
    </row>
    <row r="312" spans="10:24">
      <c r="J312" s="20" t="e">
        <f>VLOOKUP(G312,MD!M$2:O$93,3,FALSE)</f>
        <v>#N/A</v>
      </c>
      <c r="K312" s="29"/>
      <c r="P312" s="22"/>
      <c r="X312" s="22"/>
    </row>
    <row r="313" spans="10:24">
      <c r="J313" s="20" t="e">
        <f>VLOOKUP(G313,MD!M$2:O$93,3,FALSE)</f>
        <v>#N/A</v>
      </c>
      <c r="K313" s="29"/>
      <c r="P313" s="22"/>
      <c r="X313" s="22"/>
    </row>
    <row r="314" spans="10:24">
      <c r="J314" s="20" t="e">
        <f>VLOOKUP(G314,MD!M$2:O$93,3,FALSE)</f>
        <v>#N/A</v>
      </c>
      <c r="K314" s="29"/>
      <c r="P314" s="22"/>
      <c r="X314" s="22"/>
    </row>
    <row r="315" spans="10:24">
      <c r="J315" s="20" t="e">
        <f>VLOOKUP(G315,MD!M$2:O$93,3,FALSE)</f>
        <v>#N/A</v>
      </c>
      <c r="K315" s="29"/>
      <c r="P315" s="22"/>
      <c r="X315" s="22"/>
    </row>
    <row r="316" spans="10:24">
      <c r="J316" s="20" t="e">
        <f>VLOOKUP(G316,MD!M$2:O$93,3,FALSE)</f>
        <v>#N/A</v>
      </c>
      <c r="K316" s="29"/>
      <c r="P316" s="22"/>
      <c r="X316" s="22"/>
    </row>
    <row r="317" spans="10:24">
      <c r="J317" s="20" t="e">
        <f>VLOOKUP(G317,MD!M$2:O$93,3,FALSE)</f>
        <v>#N/A</v>
      </c>
      <c r="K317" s="29"/>
      <c r="P317" s="22"/>
      <c r="X317" s="22"/>
    </row>
    <row r="318" spans="10:24">
      <c r="J318" s="20" t="e">
        <f>VLOOKUP(G318,MD!M$2:O$93,3,FALSE)</f>
        <v>#N/A</v>
      </c>
      <c r="K318" s="29"/>
      <c r="P318" s="22"/>
      <c r="X318" s="22"/>
    </row>
    <row r="319" spans="10:24">
      <c r="J319" s="20" t="e">
        <f>VLOOKUP(G319,MD!M$2:O$93,3,FALSE)</f>
        <v>#N/A</v>
      </c>
      <c r="K319" s="29"/>
      <c r="P319" s="22"/>
      <c r="X319" s="22"/>
    </row>
    <row r="320" spans="10:24">
      <c r="J320" s="20" t="e">
        <f>VLOOKUP(G320,MD!M$2:O$93,3,FALSE)</f>
        <v>#N/A</v>
      </c>
      <c r="K320" s="29"/>
      <c r="P320" s="22"/>
      <c r="X320" s="22"/>
    </row>
    <row r="321" spans="10:24">
      <c r="J321" s="20" t="e">
        <f>VLOOKUP(G321,MD!M$2:O$93,3,FALSE)</f>
        <v>#N/A</v>
      </c>
      <c r="K321" s="29"/>
      <c r="P321" s="22"/>
      <c r="X321" s="22"/>
    </row>
    <row r="322" spans="10:24">
      <c r="J322" s="20" t="e">
        <f>VLOOKUP(G322,MD!M$2:O$93,3,FALSE)</f>
        <v>#N/A</v>
      </c>
      <c r="K322" s="29"/>
      <c r="P322" s="22"/>
      <c r="X322" s="22"/>
    </row>
    <row r="323" spans="10:24">
      <c r="J323" s="20" t="e">
        <f>VLOOKUP(G323,MD!M$2:O$93,3,FALSE)</f>
        <v>#N/A</v>
      </c>
      <c r="K323" s="29"/>
      <c r="P323" s="22"/>
      <c r="X323" s="22"/>
    </row>
    <row r="324" spans="10:24">
      <c r="J324" s="20" t="e">
        <f>VLOOKUP(G324,MD!M$2:O$93,3,FALSE)</f>
        <v>#N/A</v>
      </c>
      <c r="K324" s="29"/>
      <c r="P324" s="22"/>
      <c r="X324" s="22"/>
    </row>
    <row r="325" spans="10:24">
      <c r="J325" s="20" t="e">
        <f>VLOOKUP(G325,MD!M$2:O$93,3,FALSE)</f>
        <v>#N/A</v>
      </c>
      <c r="K325" s="29"/>
      <c r="P325" s="22"/>
      <c r="X325" s="22"/>
    </row>
    <row r="326" spans="10:24">
      <c r="J326" s="20" t="e">
        <f>VLOOKUP(G326,MD!M$2:O$93,3,FALSE)</f>
        <v>#N/A</v>
      </c>
      <c r="K326" s="29"/>
      <c r="P326" s="22"/>
      <c r="X326" s="22"/>
    </row>
    <row r="327" spans="10:24">
      <c r="J327" s="20" t="e">
        <f>VLOOKUP(G327,MD!M$2:O$93,3,FALSE)</f>
        <v>#N/A</v>
      </c>
      <c r="K327" s="29"/>
      <c r="P327" s="22"/>
      <c r="X327" s="22"/>
    </row>
    <row r="328" spans="10:24">
      <c r="J328" s="20" t="e">
        <f>VLOOKUP(G328,MD!M$2:O$93,3,FALSE)</f>
        <v>#N/A</v>
      </c>
      <c r="K328" s="29"/>
      <c r="P328" s="22"/>
      <c r="X328" s="22"/>
    </row>
    <row r="329" spans="10:24">
      <c r="J329" s="20" t="e">
        <f>VLOOKUP(G329,MD!M$2:O$93,3,FALSE)</f>
        <v>#N/A</v>
      </c>
      <c r="K329" s="29"/>
      <c r="P329" s="22"/>
      <c r="X329" s="22"/>
    </row>
    <row r="330" spans="10:24">
      <c r="J330" s="20" t="e">
        <f>VLOOKUP(G330,MD!M$2:O$93,3,FALSE)</f>
        <v>#N/A</v>
      </c>
      <c r="K330" s="29"/>
      <c r="P330" s="22"/>
      <c r="X330" s="22"/>
    </row>
    <row r="331" spans="10:24">
      <c r="J331" s="20" t="e">
        <f>VLOOKUP(G331,MD!M$2:O$93,3,FALSE)</f>
        <v>#N/A</v>
      </c>
      <c r="K331" s="29"/>
      <c r="P331" s="22"/>
      <c r="X331" s="22"/>
    </row>
    <row r="332" spans="10:24">
      <c r="J332" s="20" t="e">
        <f>VLOOKUP(G332,MD!M$2:O$93,3,FALSE)</f>
        <v>#N/A</v>
      </c>
      <c r="K332" s="29"/>
      <c r="P332" s="22"/>
      <c r="X332" s="22"/>
    </row>
    <row r="333" spans="10:24">
      <c r="J333" s="20" t="e">
        <f>VLOOKUP(G333,MD!M$2:O$93,3,FALSE)</f>
        <v>#N/A</v>
      </c>
      <c r="K333" s="29"/>
      <c r="P333" s="22"/>
      <c r="X333" s="22"/>
    </row>
    <row r="334" spans="10:24">
      <c r="J334" s="20" t="e">
        <f>VLOOKUP(G334,MD!M$2:O$93,3,FALSE)</f>
        <v>#N/A</v>
      </c>
      <c r="K334" s="29"/>
      <c r="P334" s="22"/>
      <c r="X334" s="22"/>
    </row>
    <row r="335" spans="10:24">
      <c r="J335" s="20" t="e">
        <f>VLOOKUP(G335,MD!M$2:O$93,3,FALSE)</f>
        <v>#N/A</v>
      </c>
      <c r="K335" s="29"/>
      <c r="P335" s="22"/>
      <c r="X335" s="22"/>
    </row>
    <row r="336" spans="10:24">
      <c r="J336" s="20" t="e">
        <f>VLOOKUP(G336,MD!M$2:O$93,3,FALSE)</f>
        <v>#N/A</v>
      </c>
      <c r="K336" s="29"/>
      <c r="P336" s="22"/>
      <c r="X336" s="22"/>
    </row>
    <row r="337" spans="10:24">
      <c r="J337" s="20" t="e">
        <f>VLOOKUP(G337,MD!M$2:O$93,3,FALSE)</f>
        <v>#N/A</v>
      </c>
      <c r="K337" s="29"/>
      <c r="P337" s="22"/>
      <c r="X337" s="22"/>
    </row>
    <row r="338" spans="10:24">
      <c r="J338" s="20" t="e">
        <f>VLOOKUP(G338,MD!M$2:O$93,3,FALSE)</f>
        <v>#N/A</v>
      </c>
      <c r="K338" s="29"/>
      <c r="P338" s="22"/>
      <c r="X338" s="22"/>
    </row>
    <row r="339" spans="10:24">
      <c r="J339" s="20" t="e">
        <f>VLOOKUP(G339,MD!M$2:O$93,3,FALSE)</f>
        <v>#N/A</v>
      </c>
      <c r="K339" s="29"/>
      <c r="P339" s="22"/>
      <c r="X339" s="22"/>
    </row>
    <row r="340" spans="10:24">
      <c r="J340" s="20" t="e">
        <f>VLOOKUP(G340,MD!M$2:O$93,3,FALSE)</f>
        <v>#N/A</v>
      </c>
      <c r="K340" s="29"/>
      <c r="P340" s="22"/>
      <c r="X340" s="22"/>
    </row>
    <row r="341" spans="10:24">
      <c r="J341" s="20" t="e">
        <f>VLOOKUP(G341,MD!M$2:O$93,3,FALSE)</f>
        <v>#N/A</v>
      </c>
      <c r="K341" s="29"/>
      <c r="P341" s="22"/>
      <c r="X341" s="22"/>
    </row>
    <row r="342" spans="10:24">
      <c r="J342" s="20" t="e">
        <f>VLOOKUP(G342,MD!M$2:O$93,3,FALSE)</f>
        <v>#N/A</v>
      </c>
      <c r="K342" s="29"/>
      <c r="P342" s="22"/>
      <c r="X342" s="22"/>
    </row>
    <row r="343" spans="10:24">
      <c r="J343" s="20" t="e">
        <f>VLOOKUP(G343,MD!M$2:O$93,3,FALSE)</f>
        <v>#N/A</v>
      </c>
      <c r="K343" s="29"/>
      <c r="P343" s="22"/>
      <c r="X343" s="22"/>
    </row>
    <row r="344" spans="10:24">
      <c r="J344" s="20" t="e">
        <f>VLOOKUP(G344,MD!M$2:O$93,3,FALSE)</f>
        <v>#N/A</v>
      </c>
      <c r="K344" s="29"/>
      <c r="P344" s="22"/>
      <c r="X344" s="22"/>
    </row>
    <row r="345" spans="10:24">
      <c r="J345" s="20" t="e">
        <f>VLOOKUP(G345,MD!M$2:O$93,3,FALSE)</f>
        <v>#N/A</v>
      </c>
      <c r="K345" s="29"/>
      <c r="P345" s="22"/>
      <c r="X345" s="22"/>
    </row>
    <row r="346" spans="10:24">
      <c r="J346" s="20" t="e">
        <f>VLOOKUP(G346,MD!M$2:O$93,3,FALSE)</f>
        <v>#N/A</v>
      </c>
      <c r="K346" s="29"/>
      <c r="P346" s="22"/>
      <c r="X346" s="22"/>
    </row>
    <row r="347" spans="10:24">
      <c r="J347" s="20" t="e">
        <f>VLOOKUP(G347,MD!M$2:O$93,3,FALSE)</f>
        <v>#N/A</v>
      </c>
      <c r="K347" s="29"/>
      <c r="P347" s="22"/>
      <c r="X347" s="22"/>
    </row>
    <row r="348" spans="10:24">
      <c r="J348" s="20" t="e">
        <f>VLOOKUP(G348,MD!M$2:O$93,3,FALSE)</f>
        <v>#N/A</v>
      </c>
      <c r="K348" s="29"/>
      <c r="P348" s="22"/>
      <c r="X348" s="22"/>
    </row>
    <row r="349" spans="10:24">
      <c r="J349" s="20" t="e">
        <f>VLOOKUP(G349,MD!M$2:O$93,3,FALSE)</f>
        <v>#N/A</v>
      </c>
      <c r="K349" s="29"/>
      <c r="P349" s="22"/>
      <c r="X349" s="22"/>
    </row>
    <row r="350" spans="10:24">
      <c r="J350" s="20" t="e">
        <f>VLOOKUP(G350,MD!M$2:O$93,3,FALSE)</f>
        <v>#N/A</v>
      </c>
      <c r="K350" s="29"/>
      <c r="P350" s="22"/>
      <c r="X350" s="22"/>
    </row>
    <row r="351" spans="10:24">
      <c r="J351" s="20" t="e">
        <f>VLOOKUP(G351,MD!M$2:O$93,3,FALSE)</f>
        <v>#N/A</v>
      </c>
      <c r="K351" s="29"/>
      <c r="P351" s="22"/>
      <c r="X351" s="22"/>
    </row>
    <row r="352" spans="10:24">
      <c r="J352" s="20" t="e">
        <f>VLOOKUP(G352,MD!M$2:O$93,3,FALSE)</f>
        <v>#N/A</v>
      </c>
      <c r="K352" s="29"/>
      <c r="P352" s="22"/>
      <c r="X352" s="22"/>
    </row>
    <row r="353" spans="10:24">
      <c r="J353" s="20" t="e">
        <f>VLOOKUP(G353,MD!M$2:O$93,3,FALSE)</f>
        <v>#N/A</v>
      </c>
      <c r="K353" s="29"/>
      <c r="P353" s="22"/>
      <c r="X353" s="22"/>
    </row>
    <row r="354" spans="10:24">
      <c r="J354" s="20" t="e">
        <f>VLOOKUP(G354,MD!M$2:O$93,3,FALSE)</f>
        <v>#N/A</v>
      </c>
      <c r="K354" s="29"/>
      <c r="P354" s="22"/>
      <c r="X354" s="22"/>
    </row>
    <row r="355" spans="10:24">
      <c r="J355" s="20" t="e">
        <f>VLOOKUP(G355,MD!M$2:O$93,3,FALSE)</f>
        <v>#N/A</v>
      </c>
      <c r="K355" s="29"/>
      <c r="P355" s="22"/>
      <c r="X355" s="22"/>
    </row>
    <row r="356" spans="10:24">
      <c r="J356" s="20" t="e">
        <f>VLOOKUP(G356,MD!M$2:O$93,3,FALSE)</f>
        <v>#N/A</v>
      </c>
      <c r="K356" s="29"/>
      <c r="P356" s="22"/>
      <c r="X356" s="22"/>
    </row>
    <row r="357" spans="10:24">
      <c r="J357" s="20" t="e">
        <f>VLOOKUP(G357,MD!M$2:O$93,3,FALSE)</f>
        <v>#N/A</v>
      </c>
      <c r="K357" s="29"/>
      <c r="P357" s="22"/>
      <c r="X357" s="22"/>
    </row>
    <row r="358" spans="10:24">
      <c r="J358" s="20" t="e">
        <f>VLOOKUP(G358,MD!M$2:O$93,3,FALSE)</f>
        <v>#N/A</v>
      </c>
      <c r="K358" s="29"/>
      <c r="P358" s="22"/>
      <c r="X358" s="22"/>
    </row>
    <row r="359" spans="10:24">
      <c r="J359" s="20" t="e">
        <f>VLOOKUP(G359,MD!M$2:O$93,3,FALSE)</f>
        <v>#N/A</v>
      </c>
      <c r="K359" s="29"/>
      <c r="P359" s="22"/>
      <c r="X359" s="22"/>
    </row>
    <row r="360" spans="10:24">
      <c r="J360" s="20" t="e">
        <f>VLOOKUP(G360,MD!M$2:O$93,3,FALSE)</f>
        <v>#N/A</v>
      </c>
      <c r="K360" s="29"/>
      <c r="P360" s="22"/>
      <c r="X360" s="22"/>
    </row>
    <row r="361" spans="10:24">
      <c r="J361" s="20" t="e">
        <f>VLOOKUP(G361,MD!M$2:O$93,3,FALSE)</f>
        <v>#N/A</v>
      </c>
      <c r="K361" s="29"/>
      <c r="P361" s="22"/>
      <c r="X361" s="22"/>
    </row>
    <row r="362" spans="10:24">
      <c r="J362" s="20" t="e">
        <f>VLOOKUP(G362,MD!M$2:O$93,3,FALSE)</f>
        <v>#N/A</v>
      </c>
      <c r="K362" s="29"/>
      <c r="P362" s="22"/>
      <c r="X362" s="22"/>
    </row>
    <row r="363" spans="10:24">
      <c r="J363" s="20" t="e">
        <f>VLOOKUP(G363,MD!M$2:O$93,3,FALSE)</f>
        <v>#N/A</v>
      </c>
      <c r="K363" s="29"/>
      <c r="P363" s="22"/>
      <c r="X363" s="22"/>
    </row>
    <row r="364" spans="10:24">
      <c r="J364" s="20" t="e">
        <f>VLOOKUP(G364,MD!M$2:O$93,3,FALSE)</f>
        <v>#N/A</v>
      </c>
      <c r="K364" s="29"/>
      <c r="P364" s="22"/>
      <c r="X364" s="22"/>
    </row>
    <row r="365" spans="10:24">
      <c r="J365" s="20" t="e">
        <f>VLOOKUP(G365,MD!M$2:O$93,3,FALSE)</f>
        <v>#N/A</v>
      </c>
      <c r="K365" s="29"/>
      <c r="P365" s="22"/>
      <c r="X365" s="22"/>
    </row>
    <row r="366" spans="10:24">
      <c r="J366" s="20" t="e">
        <f>VLOOKUP(G366,MD!M$2:O$93,3,FALSE)</f>
        <v>#N/A</v>
      </c>
      <c r="K366" s="29"/>
      <c r="P366" s="22"/>
      <c r="X366" s="22"/>
    </row>
    <row r="367" spans="10:24">
      <c r="J367" s="20" t="e">
        <f>VLOOKUP(G367,MD!M$2:O$93,3,FALSE)</f>
        <v>#N/A</v>
      </c>
      <c r="K367" s="29"/>
      <c r="P367" s="22"/>
      <c r="X367" s="22"/>
    </row>
    <row r="368" spans="10:24">
      <c r="J368" s="20" t="e">
        <f>VLOOKUP(G368,MD!M$2:O$93,3,FALSE)</f>
        <v>#N/A</v>
      </c>
      <c r="K368" s="29"/>
      <c r="P368" s="22"/>
      <c r="X368" s="22"/>
    </row>
    <row r="369" spans="10:24">
      <c r="J369" s="20" t="e">
        <f>VLOOKUP(G369,MD!M$2:O$93,3,FALSE)</f>
        <v>#N/A</v>
      </c>
      <c r="K369" s="29"/>
      <c r="P369" s="22"/>
      <c r="X369" s="22"/>
    </row>
    <row r="370" spans="10:24">
      <c r="J370" s="20" t="e">
        <f>VLOOKUP(G370,MD!M$2:O$93,3,FALSE)</f>
        <v>#N/A</v>
      </c>
      <c r="K370" s="29"/>
      <c r="P370" s="22"/>
      <c r="X370" s="22"/>
    </row>
    <row r="371" spans="10:24">
      <c r="J371" s="20" t="e">
        <f>VLOOKUP(G371,MD!M$2:O$93,3,FALSE)</f>
        <v>#N/A</v>
      </c>
      <c r="K371" s="29"/>
      <c r="P371" s="22"/>
      <c r="X371" s="22"/>
    </row>
    <row r="372" spans="10:24">
      <c r="J372" s="20" t="e">
        <f>VLOOKUP(G372,MD!M$2:O$93,3,FALSE)</f>
        <v>#N/A</v>
      </c>
      <c r="K372" s="29"/>
      <c r="P372" s="22"/>
      <c r="X372" s="22"/>
    </row>
    <row r="373" spans="10:24">
      <c r="J373" s="20" t="e">
        <f>VLOOKUP(G373,MD!M$2:O$93,3,FALSE)</f>
        <v>#N/A</v>
      </c>
      <c r="K373" s="29"/>
      <c r="P373" s="22"/>
      <c r="X373" s="22"/>
    </row>
    <row r="374" spans="10:24">
      <c r="J374" s="20" t="e">
        <f>VLOOKUP(G374,MD!M$2:O$93,3,FALSE)</f>
        <v>#N/A</v>
      </c>
      <c r="K374" s="29"/>
      <c r="P374" s="22"/>
      <c r="X374" s="22"/>
    </row>
    <row r="375" spans="10:24">
      <c r="J375" s="20" t="e">
        <f>VLOOKUP(G375,MD!M$2:O$93,3,FALSE)</f>
        <v>#N/A</v>
      </c>
      <c r="K375" s="29"/>
      <c r="P375" s="22"/>
      <c r="X375" s="22"/>
    </row>
    <row r="376" spans="10:24">
      <c r="J376" s="20" t="e">
        <f>VLOOKUP(G376,MD!M$2:O$93,3,FALSE)</f>
        <v>#N/A</v>
      </c>
      <c r="K376" s="29"/>
      <c r="P376" s="22"/>
      <c r="X376" s="22"/>
    </row>
    <row r="377" spans="10:24">
      <c r="J377" s="20" t="e">
        <f>VLOOKUP(G377,MD!M$2:O$93,3,FALSE)</f>
        <v>#N/A</v>
      </c>
      <c r="K377" s="29"/>
      <c r="P377" s="22"/>
      <c r="X377" s="22"/>
    </row>
    <row r="378" spans="10:24">
      <c r="J378" s="20" t="e">
        <f>VLOOKUP(G378,MD!M$2:O$93,3,FALSE)</f>
        <v>#N/A</v>
      </c>
      <c r="K378" s="29"/>
      <c r="P378" s="22"/>
      <c r="X378" s="22"/>
    </row>
    <row r="379" spans="10:24">
      <c r="J379" s="20" t="e">
        <f>VLOOKUP(G379,MD!M$2:O$93,3,FALSE)</f>
        <v>#N/A</v>
      </c>
      <c r="K379" s="29"/>
      <c r="P379" s="22"/>
      <c r="X379" s="22"/>
    </row>
    <row r="380" spans="10:24">
      <c r="J380" s="20" t="e">
        <f>VLOOKUP(G380,MD!M$2:O$93,3,FALSE)</f>
        <v>#N/A</v>
      </c>
      <c r="K380" s="29"/>
      <c r="P380" s="22"/>
      <c r="X380" s="22"/>
    </row>
    <row r="381" spans="10:24">
      <c r="J381" s="20" t="e">
        <f>VLOOKUP(G381,MD!M$2:O$93,3,FALSE)</f>
        <v>#N/A</v>
      </c>
      <c r="K381" s="29"/>
      <c r="P381" s="22"/>
      <c r="X381" s="22"/>
    </row>
    <row r="382" spans="10:24">
      <c r="J382" s="20" t="e">
        <f>VLOOKUP(G382,MD!M$2:O$93,3,FALSE)</f>
        <v>#N/A</v>
      </c>
      <c r="K382" s="29"/>
      <c r="P382" s="22"/>
      <c r="X382" s="22"/>
    </row>
    <row r="383" spans="10:24">
      <c r="J383" s="20" t="e">
        <f>VLOOKUP(G383,MD!M$2:O$93,3,FALSE)</f>
        <v>#N/A</v>
      </c>
      <c r="K383" s="29"/>
      <c r="P383" s="22"/>
      <c r="X383" s="22"/>
    </row>
    <row r="384" spans="10:24">
      <c r="J384" s="20" t="e">
        <f>VLOOKUP(G384,MD!M$2:O$93,3,FALSE)</f>
        <v>#N/A</v>
      </c>
      <c r="K384" s="29"/>
      <c r="P384" s="22"/>
      <c r="X384" s="22"/>
    </row>
    <row r="385" spans="10:24">
      <c r="J385" s="20" t="e">
        <f>VLOOKUP(G385,MD!M$2:O$93,3,FALSE)</f>
        <v>#N/A</v>
      </c>
      <c r="K385" s="29"/>
      <c r="P385" s="22"/>
      <c r="X385" s="22"/>
    </row>
    <row r="386" spans="10:24">
      <c r="J386" s="20" t="e">
        <f>VLOOKUP(G386,MD!M$2:O$93,3,FALSE)</f>
        <v>#N/A</v>
      </c>
      <c r="K386" s="29"/>
      <c r="P386" s="22"/>
      <c r="X386" s="22"/>
    </row>
    <row r="387" spans="10:24">
      <c r="J387" s="20" t="e">
        <f>VLOOKUP(G387,MD!M$2:O$93,3,FALSE)</f>
        <v>#N/A</v>
      </c>
      <c r="K387" s="29"/>
      <c r="P387" s="22"/>
      <c r="X387" s="22"/>
    </row>
    <row r="388" spans="10:24">
      <c r="J388" s="20" t="e">
        <f>VLOOKUP(G388,MD!M$2:O$93,3,FALSE)</f>
        <v>#N/A</v>
      </c>
      <c r="K388" s="29"/>
      <c r="P388" s="22"/>
      <c r="X388" s="22"/>
    </row>
    <row r="389" spans="10:24">
      <c r="J389" s="20" t="e">
        <f>VLOOKUP(G389,MD!M$2:O$93,3,FALSE)</f>
        <v>#N/A</v>
      </c>
      <c r="K389" s="29"/>
      <c r="P389" s="22"/>
      <c r="X389" s="22"/>
    </row>
    <row r="390" spans="10:24">
      <c r="J390" s="20" t="e">
        <f>VLOOKUP(G390,MD!M$2:O$93,3,FALSE)</f>
        <v>#N/A</v>
      </c>
      <c r="K390" s="29"/>
      <c r="P390" s="22"/>
      <c r="X390" s="22"/>
    </row>
    <row r="391" spans="10:24">
      <c r="J391" s="20" t="e">
        <f>VLOOKUP(G391,MD!M$2:O$93,3,FALSE)</f>
        <v>#N/A</v>
      </c>
      <c r="K391" s="29"/>
      <c r="P391" s="22"/>
      <c r="X391" s="22"/>
    </row>
    <row r="392" spans="10:24">
      <c r="J392" s="20" t="e">
        <f>VLOOKUP(G392,MD!M$2:O$93,3,FALSE)</f>
        <v>#N/A</v>
      </c>
      <c r="K392" s="29"/>
      <c r="P392" s="22"/>
      <c r="X392" s="22"/>
    </row>
    <row r="393" spans="10:24">
      <c r="J393" s="20" t="e">
        <f>VLOOKUP(G393,MD!M$2:O$93,3,FALSE)</f>
        <v>#N/A</v>
      </c>
      <c r="K393" s="29"/>
      <c r="P393" s="22"/>
      <c r="X393" s="22"/>
    </row>
    <row r="394" spans="10:24">
      <c r="J394" s="20" t="e">
        <f>VLOOKUP(G394,MD!M$2:O$93,3,FALSE)</f>
        <v>#N/A</v>
      </c>
      <c r="K394" s="29"/>
      <c r="P394" s="22"/>
      <c r="X394" s="22"/>
    </row>
    <row r="395" spans="10:24">
      <c r="J395" s="20" t="e">
        <f>VLOOKUP(G395,MD!M$2:O$93,3,FALSE)</f>
        <v>#N/A</v>
      </c>
      <c r="K395" s="29"/>
      <c r="P395" s="22"/>
      <c r="X395" s="22"/>
    </row>
    <row r="396" spans="10:24">
      <c r="J396" s="20" t="e">
        <f>VLOOKUP(G396,MD!M$2:O$93,3,FALSE)</f>
        <v>#N/A</v>
      </c>
      <c r="K396" s="29"/>
      <c r="P396" s="22"/>
      <c r="X396" s="22"/>
    </row>
    <row r="397" spans="10:24">
      <c r="J397" s="20" t="e">
        <f>VLOOKUP(G397,MD!M$2:O$93,3,FALSE)</f>
        <v>#N/A</v>
      </c>
      <c r="K397" s="29"/>
      <c r="P397" s="22"/>
      <c r="X397" s="22"/>
    </row>
    <row r="398" spans="10:24">
      <c r="J398" s="20" t="e">
        <f>VLOOKUP(G398,MD!M$2:O$93,3,FALSE)</f>
        <v>#N/A</v>
      </c>
      <c r="K398" s="29"/>
      <c r="P398" s="22"/>
      <c r="X398" s="22"/>
    </row>
    <row r="399" spans="10:24">
      <c r="J399" s="20" t="e">
        <f>VLOOKUP(G399,MD!M$2:O$93,3,FALSE)</f>
        <v>#N/A</v>
      </c>
      <c r="K399" s="29"/>
      <c r="P399" s="22"/>
      <c r="X399" s="22"/>
    </row>
    <row r="400" spans="10:24">
      <c r="J400" s="20" t="e">
        <f>VLOOKUP(G400,MD!M$2:O$93,3,FALSE)</f>
        <v>#N/A</v>
      </c>
      <c r="K400" s="29"/>
      <c r="P400" s="22"/>
      <c r="X400" s="22"/>
    </row>
    <row r="401" spans="10:24">
      <c r="J401" s="20" t="e">
        <f>VLOOKUP(G401,MD!M$2:O$93,3,FALSE)</f>
        <v>#N/A</v>
      </c>
      <c r="K401" s="29"/>
      <c r="P401" s="22"/>
      <c r="X401" s="22"/>
    </row>
    <row r="402" spans="10:24">
      <c r="J402" s="20" t="e">
        <f>VLOOKUP(G402,MD!M$2:O$93,3,FALSE)</f>
        <v>#N/A</v>
      </c>
      <c r="K402" s="29"/>
      <c r="P402" s="22"/>
      <c r="X402" s="22"/>
    </row>
    <row r="403" spans="10:24">
      <c r="J403" s="20" t="e">
        <f>VLOOKUP(G403,MD!M$2:O$93,3,FALSE)</f>
        <v>#N/A</v>
      </c>
      <c r="K403" s="29"/>
      <c r="P403" s="22"/>
      <c r="X403" s="22"/>
    </row>
    <row r="404" spans="10:24">
      <c r="J404" s="20" t="e">
        <f>VLOOKUP(G404,MD!M$2:O$93,3,FALSE)</f>
        <v>#N/A</v>
      </c>
      <c r="K404" s="29"/>
      <c r="P404" s="22"/>
      <c r="X404" s="22"/>
    </row>
    <row r="405" spans="10:24">
      <c r="J405" s="20" t="e">
        <f>VLOOKUP(G405,MD!M$2:O$93,3,FALSE)</f>
        <v>#N/A</v>
      </c>
      <c r="K405" s="29"/>
      <c r="P405" s="22"/>
      <c r="X405" s="22"/>
    </row>
    <row r="406" spans="10:24">
      <c r="J406" s="20" t="e">
        <f>VLOOKUP(G406,MD!M$2:O$93,3,FALSE)</f>
        <v>#N/A</v>
      </c>
      <c r="K406" s="29"/>
      <c r="P406" s="22"/>
      <c r="X406" s="22"/>
    </row>
    <row r="407" spans="10:24">
      <c r="J407" s="20" t="e">
        <f>VLOOKUP(G407,MD!M$2:O$93,3,FALSE)</f>
        <v>#N/A</v>
      </c>
      <c r="K407" s="29"/>
      <c r="P407" s="22"/>
      <c r="X407" s="22"/>
    </row>
    <row r="408" spans="10:24">
      <c r="J408" s="20" t="e">
        <f>VLOOKUP(G408,MD!M$2:O$93,3,FALSE)</f>
        <v>#N/A</v>
      </c>
      <c r="K408" s="29"/>
      <c r="P408" s="22"/>
      <c r="X408" s="22"/>
    </row>
    <row r="409" spans="10:24">
      <c r="J409" s="20" t="e">
        <f>VLOOKUP(G409,MD!M$2:O$93,3,FALSE)</f>
        <v>#N/A</v>
      </c>
      <c r="K409" s="29"/>
      <c r="P409" s="22"/>
      <c r="X409" s="22"/>
    </row>
    <row r="410" spans="10:24">
      <c r="J410" s="20" t="e">
        <f>VLOOKUP(G410,MD!M$2:O$93,3,FALSE)</f>
        <v>#N/A</v>
      </c>
      <c r="K410" s="29"/>
      <c r="P410" s="22"/>
      <c r="X410" s="22"/>
    </row>
    <row r="411" spans="10:24">
      <c r="J411" s="20" t="e">
        <f>VLOOKUP(G411,MD!M$2:O$93,3,FALSE)</f>
        <v>#N/A</v>
      </c>
      <c r="K411" s="29"/>
      <c r="P411" s="22"/>
      <c r="X411" s="22"/>
    </row>
    <row r="412" spans="10:24">
      <c r="J412" s="20" t="e">
        <f>VLOOKUP(G412,MD!M$2:O$93,3,FALSE)</f>
        <v>#N/A</v>
      </c>
      <c r="K412" s="29"/>
      <c r="P412" s="22"/>
      <c r="X412" s="22"/>
    </row>
    <row r="413" spans="10:24">
      <c r="J413" s="20" t="e">
        <f>VLOOKUP(G413,MD!M$2:O$93,3,FALSE)</f>
        <v>#N/A</v>
      </c>
      <c r="K413" s="29"/>
      <c r="P413" s="22"/>
      <c r="X413" s="22"/>
    </row>
    <row r="414" spans="10:24">
      <c r="J414" s="20" t="e">
        <f>VLOOKUP(G414,MD!M$2:O$93,3,FALSE)</f>
        <v>#N/A</v>
      </c>
      <c r="K414" s="29"/>
      <c r="P414" s="22"/>
      <c r="X414" s="22"/>
    </row>
    <row r="415" spans="10:24">
      <c r="J415" s="20" t="e">
        <f>VLOOKUP(G415,MD!M$2:O$93,3,FALSE)</f>
        <v>#N/A</v>
      </c>
      <c r="K415" s="29"/>
      <c r="P415" s="22"/>
      <c r="X415" s="22"/>
    </row>
    <row r="416" spans="10:24">
      <c r="J416" s="20" t="e">
        <f>VLOOKUP(G416,MD!M$2:O$93,3,FALSE)</f>
        <v>#N/A</v>
      </c>
      <c r="K416" s="29"/>
      <c r="P416" s="22"/>
      <c r="X416" s="22"/>
    </row>
    <row r="417" spans="10:24">
      <c r="J417" s="20" t="e">
        <f>VLOOKUP(G417,MD!M$2:O$93,3,FALSE)</f>
        <v>#N/A</v>
      </c>
      <c r="K417" s="29"/>
      <c r="P417" s="22"/>
      <c r="X417" s="22"/>
    </row>
    <row r="418" spans="10:24">
      <c r="J418" s="20" t="e">
        <f>VLOOKUP(G418,MD!M$2:O$93,3,FALSE)</f>
        <v>#N/A</v>
      </c>
      <c r="K418" s="29"/>
      <c r="P418" s="22"/>
      <c r="X418" s="22"/>
    </row>
    <row r="419" spans="10:24">
      <c r="J419" s="20" t="e">
        <f>VLOOKUP(G419,MD!M$2:O$93,3,FALSE)</f>
        <v>#N/A</v>
      </c>
      <c r="K419" s="29"/>
      <c r="P419" s="22"/>
      <c r="X419" s="22"/>
    </row>
    <row r="420" spans="10:24">
      <c r="J420" s="20" t="e">
        <f>VLOOKUP(G420,MD!M$2:O$93,3,FALSE)</f>
        <v>#N/A</v>
      </c>
      <c r="K420" s="29"/>
      <c r="P420" s="22"/>
      <c r="X420" s="22"/>
    </row>
    <row r="421" spans="10:24">
      <c r="J421" s="20" t="e">
        <f>VLOOKUP(G421,MD!M$2:O$93,3,FALSE)</f>
        <v>#N/A</v>
      </c>
      <c r="K421" s="29"/>
      <c r="P421" s="22"/>
      <c r="X421" s="22"/>
    </row>
    <row r="422" spans="10:24">
      <c r="J422" s="20" t="e">
        <f>VLOOKUP(G422,MD!M$2:O$93,3,FALSE)</f>
        <v>#N/A</v>
      </c>
      <c r="K422" s="29"/>
      <c r="P422" s="22"/>
      <c r="X422" s="22"/>
    </row>
    <row r="423" spans="10:24">
      <c r="J423" s="20" t="e">
        <f>VLOOKUP(G423,MD!M$2:O$93,3,FALSE)</f>
        <v>#N/A</v>
      </c>
      <c r="K423" s="29"/>
      <c r="P423" s="22"/>
      <c r="X423" s="22"/>
    </row>
    <row r="424" spans="10:24">
      <c r="J424" s="20" t="e">
        <f>VLOOKUP(G424,MD!M$2:O$93,3,FALSE)</f>
        <v>#N/A</v>
      </c>
      <c r="K424" s="29"/>
      <c r="P424" s="22"/>
      <c r="X424" s="22"/>
    </row>
    <row r="425" spans="10:24">
      <c r="J425" s="20" t="e">
        <f>VLOOKUP(G425,MD!M$2:O$93,3,FALSE)</f>
        <v>#N/A</v>
      </c>
      <c r="K425" s="29"/>
      <c r="P425" s="22"/>
      <c r="X425" s="22"/>
    </row>
    <row r="426" spans="10:24">
      <c r="J426" s="20" t="e">
        <f>VLOOKUP(G426,MD!M$2:O$93,3,FALSE)</f>
        <v>#N/A</v>
      </c>
      <c r="K426" s="29"/>
      <c r="P426" s="22"/>
      <c r="X426" s="22"/>
    </row>
    <row r="427" spans="10:24">
      <c r="J427" s="20" t="e">
        <f>VLOOKUP(G427,MD!M$2:O$93,3,FALSE)</f>
        <v>#N/A</v>
      </c>
      <c r="K427" s="29"/>
      <c r="P427" s="22"/>
      <c r="X427" s="22"/>
    </row>
    <row r="428" spans="10:24">
      <c r="J428" s="20" t="e">
        <f>VLOOKUP(G428,MD!M$2:O$93,3,FALSE)</f>
        <v>#N/A</v>
      </c>
      <c r="K428" s="29"/>
      <c r="P428" s="22"/>
      <c r="X428" s="22"/>
    </row>
    <row r="429" spans="10:24">
      <c r="J429" s="20" t="e">
        <f>VLOOKUP(G429,MD!M$2:O$93,3,FALSE)</f>
        <v>#N/A</v>
      </c>
      <c r="K429" s="29"/>
      <c r="P429" s="22"/>
      <c r="X429" s="22"/>
    </row>
    <row r="430" spans="10:24">
      <c r="J430" s="20" t="e">
        <f>VLOOKUP(G430,MD!M$2:O$93,3,FALSE)</f>
        <v>#N/A</v>
      </c>
      <c r="K430" s="29"/>
      <c r="P430" s="22"/>
      <c r="X430" s="22"/>
    </row>
    <row r="431" spans="10:24">
      <c r="J431" s="20" t="e">
        <f>VLOOKUP(G431,MD!M$2:O$93,3,FALSE)</f>
        <v>#N/A</v>
      </c>
      <c r="K431" s="29"/>
      <c r="P431" s="22"/>
      <c r="X431" s="22"/>
    </row>
    <row r="432" spans="10:24">
      <c r="J432" s="20" t="e">
        <f>VLOOKUP(G432,MD!M$2:O$93,3,FALSE)</f>
        <v>#N/A</v>
      </c>
      <c r="K432" s="29"/>
      <c r="P432" s="22"/>
      <c r="X432" s="22"/>
    </row>
    <row r="433" spans="10:24">
      <c r="J433" s="20" t="e">
        <f>VLOOKUP(G433,MD!M$2:O$93,3,FALSE)</f>
        <v>#N/A</v>
      </c>
      <c r="K433" s="29"/>
      <c r="P433" s="22"/>
      <c r="X433" s="22"/>
    </row>
    <row r="434" spans="10:24">
      <c r="J434" s="20" t="e">
        <f>VLOOKUP(G434,MD!M$2:O$93,3,FALSE)</f>
        <v>#N/A</v>
      </c>
      <c r="K434" s="29"/>
      <c r="P434" s="22"/>
      <c r="X434" s="22"/>
    </row>
    <row r="435" spans="10:24">
      <c r="J435" s="20" t="e">
        <f>VLOOKUP(G435,MD!M$2:O$93,3,FALSE)</f>
        <v>#N/A</v>
      </c>
      <c r="K435" s="29"/>
      <c r="P435" s="22"/>
      <c r="X435" s="22"/>
    </row>
    <row r="436" spans="10:24">
      <c r="J436" s="20" t="e">
        <f>VLOOKUP(G436,MD!M$2:O$93,3,FALSE)</f>
        <v>#N/A</v>
      </c>
      <c r="K436" s="29"/>
      <c r="P436" s="22"/>
      <c r="X436" s="22"/>
    </row>
    <row r="437" spans="10:24">
      <c r="J437" s="20" t="e">
        <f>VLOOKUP(G437,MD!M$2:O$93,3,FALSE)</f>
        <v>#N/A</v>
      </c>
      <c r="K437" s="29"/>
      <c r="P437" s="22"/>
      <c r="X437" s="22"/>
    </row>
    <row r="438" spans="10:24">
      <c r="J438" s="20" t="e">
        <f>VLOOKUP(G438,MD!M$2:O$93,3,FALSE)</f>
        <v>#N/A</v>
      </c>
      <c r="K438" s="29"/>
      <c r="P438" s="22"/>
      <c r="X438" s="22"/>
    </row>
    <row r="439" spans="10:24">
      <c r="J439" s="20" t="e">
        <f>VLOOKUP(G439,MD!M$2:O$93,3,FALSE)</f>
        <v>#N/A</v>
      </c>
      <c r="K439" s="29"/>
      <c r="P439" s="22"/>
      <c r="X439" s="22"/>
    </row>
    <row r="440" spans="10:24">
      <c r="J440" s="20" t="e">
        <f>VLOOKUP(G440,MD!M$2:O$93,3,FALSE)</f>
        <v>#N/A</v>
      </c>
      <c r="K440" s="29"/>
      <c r="P440" s="22"/>
      <c r="X440" s="22"/>
    </row>
    <row r="441" spans="10:24">
      <c r="J441" s="20" t="e">
        <f>VLOOKUP(G441,MD!M$2:O$93,3,FALSE)</f>
        <v>#N/A</v>
      </c>
      <c r="K441" s="29"/>
      <c r="P441" s="22"/>
      <c r="X441" s="22"/>
    </row>
    <row r="442" spans="10:24">
      <c r="J442" s="20" t="e">
        <f>VLOOKUP(G442,MD!M$2:O$93,3,FALSE)</f>
        <v>#N/A</v>
      </c>
      <c r="K442" s="29"/>
      <c r="P442" s="22"/>
      <c r="X442" s="22"/>
    </row>
    <row r="443" spans="10:24">
      <c r="J443" s="20" t="e">
        <f>VLOOKUP(G443,MD!M$2:O$93,3,FALSE)</f>
        <v>#N/A</v>
      </c>
      <c r="K443" s="29"/>
      <c r="P443" s="22"/>
      <c r="X443" s="22"/>
    </row>
    <row r="444" spans="10:24">
      <c r="J444" s="20" t="e">
        <f>VLOOKUP(G444,MD!M$2:O$93,3,FALSE)</f>
        <v>#N/A</v>
      </c>
      <c r="K444" s="29"/>
      <c r="P444" s="22"/>
      <c r="X444" s="22"/>
    </row>
    <row r="445" spans="10:24">
      <c r="J445" s="20" t="e">
        <f>VLOOKUP(G445,MD!M$2:O$93,3,FALSE)</f>
        <v>#N/A</v>
      </c>
      <c r="K445" s="29"/>
      <c r="P445" s="22"/>
      <c r="X445" s="22"/>
    </row>
    <row r="446" spans="10:24">
      <c r="J446" s="20" t="e">
        <f>VLOOKUP(G446,MD!M$2:O$93,3,FALSE)</f>
        <v>#N/A</v>
      </c>
      <c r="K446" s="29"/>
      <c r="P446" s="22"/>
      <c r="X446" s="22"/>
    </row>
    <row r="447" spans="10:24">
      <c r="J447" s="20" t="e">
        <f>VLOOKUP(G447,MD!M$2:O$93,3,FALSE)</f>
        <v>#N/A</v>
      </c>
      <c r="K447" s="29"/>
      <c r="P447" s="22"/>
      <c r="X447" s="22"/>
    </row>
    <row r="448" spans="10:24">
      <c r="J448" s="20" t="e">
        <f>VLOOKUP(G448,MD!M$2:O$93,3,FALSE)</f>
        <v>#N/A</v>
      </c>
      <c r="K448" s="29"/>
      <c r="P448" s="22"/>
      <c r="X448" s="22"/>
    </row>
    <row r="449" spans="10:24">
      <c r="J449" s="20" t="e">
        <f>VLOOKUP(G449,MD!M$2:O$93,3,FALSE)</f>
        <v>#N/A</v>
      </c>
      <c r="K449" s="29"/>
      <c r="P449" s="22"/>
      <c r="X449" s="22"/>
    </row>
    <row r="450" spans="10:24">
      <c r="J450" s="20" t="e">
        <f>VLOOKUP(G450,MD!M$2:O$93,3,FALSE)</f>
        <v>#N/A</v>
      </c>
      <c r="K450" s="29"/>
      <c r="P450" s="22"/>
      <c r="X450" s="22"/>
    </row>
    <row r="451" spans="10:24">
      <c r="J451" s="20" t="e">
        <f>VLOOKUP(G451,MD!M$2:O$93,3,FALSE)</f>
        <v>#N/A</v>
      </c>
      <c r="K451" s="29"/>
      <c r="P451" s="22"/>
      <c r="X451" s="22"/>
    </row>
    <row r="452" spans="10:24">
      <c r="J452" s="20" t="e">
        <f>VLOOKUP(G452,MD!M$2:O$93,3,FALSE)</f>
        <v>#N/A</v>
      </c>
      <c r="K452" s="29"/>
      <c r="P452" s="22"/>
      <c r="X452" s="22"/>
    </row>
    <row r="453" spans="10:24">
      <c r="J453" s="20" t="e">
        <f>VLOOKUP(G453,MD!M$2:O$93,3,FALSE)</f>
        <v>#N/A</v>
      </c>
      <c r="K453" s="29"/>
      <c r="P453" s="22"/>
      <c r="X453" s="22"/>
    </row>
    <row r="454" spans="10:24">
      <c r="J454" s="20" t="e">
        <f>VLOOKUP(G454,MD!M$2:O$93,3,FALSE)</f>
        <v>#N/A</v>
      </c>
      <c r="K454" s="29"/>
      <c r="P454" s="22"/>
      <c r="X454" s="22"/>
    </row>
    <row r="455" spans="10:24">
      <c r="J455" s="20" t="e">
        <f>VLOOKUP(G455,MD!M$2:O$93,3,FALSE)</f>
        <v>#N/A</v>
      </c>
      <c r="K455" s="29"/>
      <c r="P455" s="22"/>
      <c r="X455" s="22"/>
    </row>
    <row r="456" spans="10:24">
      <c r="J456" s="20" t="e">
        <f>VLOOKUP(G456,MD!M$2:O$93,3,FALSE)</f>
        <v>#N/A</v>
      </c>
      <c r="K456" s="29"/>
      <c r="P456" s="22"/>
      <c r="X456" s="22"/>
    </row>
    <row r="457" spans="10:24">
      <c r="J457" s="20" t="e">
        <f>VLOOKUP(G457,MD!M$2:O$93,3,FALSE)</f>
        <v>#N/A</v>
      </c>
      <c r="K457" s="29"/>
      <c r="P457" s="22"/>
      <c r="X457" s="22"/>
    </row>
    <row r="458" spans="10:24">
      <c r="J458" s="20" t="e">
        <f>VLOOKUP(G458,MD!M$2:O$93,3,FALSE)</f>
        <v>#N/A</v>
      </c>
      <c r="K458" s="29"/>
      <c r="P458" s="22"/>
      <c r="X458" s="22"/>
    </row>
    <row r="459" spans="10:24">
      <c r="J459" s="20" t="e">
        <f>VLOOKUP(G459,MD!M$2:O$93,3,FALSE)</f>
        <v>#N/A</v>
      </c>
      <c r="K459" s="29"/>
      <c r="P459" s="22"/>
      <c r="X459" s="22"/>
    </row>
    <row r="460" spans="10:24">
      <c r="J460" s="20" t="e">
        <f>VLOOKUP(G460,MD!M$2:O$93,3,FALSE)</f>
        <v>#N/A</v>
      </c>
      <c r="K460" s="29"/>
      <c r="P460" s="22"/>
      <c r="X460" s="22"/>
    </row>
    <row r="461" spans="10:24">
      <c r="J461" s="20" t="e">
        <f>VLOOKUP(G461,MD!M$2:O$93,3,FALSE)</f>
        <v>#N/A</v>
      </c>
      <c r="K461" s="29"/>
      <c r="P461" s="22"/>
      <c r="X461" s="22"/>
    </row>
    <row r="462" spans="10:24">
      <c r="J462" s="20" t="e">
        <f>VLOOKUP(G462,MD!M$2:O$93,3,FALSE)</f>
        <v>#N/A</v>
      </c>
      <c r="K462" s="29"/>
      <c r="P462" s="22"/>
      <c r="X462" s="22"/>
    </row>
    <row r="463" spans="10:24">
      <c r="J463" s="20" t="e">
        <f>VLOOKUP(G463,MD!M$2:O$93,3,FALSE)</f>
        <v>#N/A</v>
      </c>
      <c r="K463" s="29"/>
      <c r="P463" s="22"/>
      <c r="X463" s="22"/>
    </row>
    <row r="464" spans="10:24">
      <c r="J464" s="20" t="e">
        <f>VLOOKUP(G464,MD!M$2:O$93,3,FALSE)</f>
        <v>#N/A</v>
      </c>
      <c r="K464" s="29"/>
      <c r="P464" s="22"/>
      <c r="X464" s="22"/>
    </row>
    <row r="465" spans="10:24">
      <c r="J465" s="20" t="e">
        <f>VLOOKUP(G465,MD!M$2:O$93,3,FALSE)</f>
        <v>#N/A</v>
      </c>
      <c r="K465" s="29"/>
      <c r="P465" s="22"/>
      <c r="X465" s="22"/>
    </row>
    <row r="466" spans="10:24">
      <c r="J466" s="20" t="e">
        <f>VLOOKUP(G466,MD!M$2:O$93,3,FALSE)</f>
        <v>#N/A</v>
      </c>
      <c r="K466" s="29"/>
      <c r="P466" s="22"/>
      <c r="X466" s="22"/>
    </row>
    <row r="467" spans="10:24">
      <c r="J467" s="20" t="e">
        <f>VLOOKUP(G467,MD!M$2:O$93,3,FALSE)</f>
        <v>#N/A</v>
      </c>
      <c r="K467" s="29"/>
      <c r="P467" s="22"/>
      <c r="X467" s="22"/>
    </row>
    <row r="468" spans="10:24">
      <c r="J468" s="20" t="e">
        <f>VLOOKUP(G468,MD!M$2:O$93,3,FALSE)</f>
        <v>#N/A</v>
      </c>
      <c r="K468" s="29"/>
      <c r="P468" s="22"/>
      <c r="X468" s="22"/>
    </row>
    <row r="469" spans="10:24">
      <c r="J469" s="20" t="e">
        <f>VLOOKUP(G469,MD!M$2:O$93,3,FALSE)</f>
        <v>#N/A</v>
      </c>
      <c r="K469" s="29"/>
      <c r="P469" s="22"/>
      <c r="X469" s="22"/>
    </row>
    <row r="470" spans="10:24">
      <c r="J470" s="20" t="e">
        <f>VLOOKUP(G470,MD!M$2:O$93,3,FALSE)</f>
        <v>#N/A</v>
      </c>
      <c r="K470" s="29"/>
      <c r="P470" s="22"/>
      <c r="X470" s="22"/>
    </row>
    <row r="471" spans="10:24">
      <c r="J471" s="20" t="e">
        <f>VLOOKUP(G471,MD!M$2:O$93,3,FALSE)</f>
        <v>#N/A</v>
      </c>
      <c r="K471" s="29"/>
      <c r="P471" s="22"/>
      <c r="X471" s="22"/>
    </row>
    <row r="472" spans="10:24">
      <c r="J472" s="20" t="e">
        <f>VLOOKUP(G472,MD!M$2:O$93,3,FALSE)</f>
        <v>#N/A</v>
      </c>
      <c r="K472" s="29"/>
      <c r="P472" s="22"/>
      <c r="X472" s="22"/>
    </row>
    <row r="473" spans="10:24">
      <c r="J473" s="20" t="e">
        <f>VLOOKUP(G473,MD!M$2:O$93,3,FALSE)</f>
        <v>#N/A</v>
      </c>
      <c r="K473" s="29"/>
      <c r="P473" s="22"/>
      <c r="X473" s="22"/>
    </row>
    <row r="474" spans="10:24">
      <c r="J474" s="20" t="e">
        <f>VLOOKUP(G474,MD!M$2:O$93,3,FALSE)</f>
        <v>#N/A</v>
      </c>
      <c r="K474" s="29"/>
      <c r="P474" s="22"/>
      <c r="X474" s="22"/>
    </row>
    <row r="475" spans="10:24">
      <c r="J475" s="20" t="e">
        <f>VLOOKUP(G475,MD!M$2:O$93,3,FALSE)</f>
        <v>#N/A</v>
      </c>
      <c r="K475" s="29"/>
      <c r="P475" s="22"/>
      <c r="X475" s="22"/>
    </row>
    <row r="476" spans="10:24">
      <c r="J476" s="20" t="e">
        <f>VLOOKUP(G476,MD!M$2:O$93,3,FALSE)</f>
        <v>#N/A</v>
      </c>
      <c r="K476" s="29"/>
      <c r="P476" s="22"/>
      <c r="X476" s="22"/>
    </row>
    <row r="477" spans="10:24">
      <c r="J477" s="20" t="e">
        <f>VLOOKUP(G477,MD!M$2:O$93,3,FALSE)</f>
        <v>#N/A</v>
      </c>
      <c r="K477" s="29"/>
      <c r="P477" s="22"/>
      <c r="X477" s="22"/>
    </row>
    <row r="478" spans="10:24">
      <c r="J478" s="20" t="e">
        <f>VLOOKUP(G478,MD!M$2:O$93,3,FALSE)</f>
        <v>#N/A</v>
      </c>
      <c r="K478" s="29"/>
      <c r="P478" s="22"/>
      <c r="X478" s="22"/>
    </row>
    <row r="479" spans="10:24">
      <c r="J479" s="20" t="e">
        <f>VLOOKUP(G479,MD!M$2:O$93,3,FALSE)</f>
        <v>#N/A</v>
      </c>
      <c r="K479" s="29"/>
      <c r="P479" s="22"/>
      <c r="X479" s="22"/>
    </row>
    <row r="480" spans="10:24">
      <c r="J480" s="20" t="e">
        <f>VLOOKUP(G480,MD!M$2:O$93,3,FALSE)</f>
        <v>#N/A</v>
      </c>
      <c r="K480" s="29"/>
      <c r="P480" s="22"/>
      <c r="X480" s="22"/>
    </row>
    <row r="481" spans="10:24">
      <c r="J481" s="20" t="e">
        <f>VLOOKUP(G481,MD!M$2:O$93,3,FALSE)</f>
        <v>#N/A</v>
      </c>
      <c r="K481" s="29"/>
      <c r="P481" s="22"/>
      <c r="X481" s="22"/>
    </row>
    <row r="482" spans="10:24">
      <c r="J482" s="20" t="e">
        <f>VLOOKUP(G482,MD!M$2:O$93,3,FALSE)</f>
        <v>#N/A</v>
      </c>
      <c r="K482" s="29"/>
      <c r="P482" s="22"/>
      <c r="X482" s="22"/>
    </row>
    <row r="483" spans="10:24">
      <c r="J483" s="20" t="e">
        <f>VLOOKUP(G483,MD!M$2:O$93,3,FALSE)</f>
        <v>#N/A</v>
      </c>
      <c r="K483" s="29"/>
      <c r="P483" s="22"/>
      <c r="X483" s="22"/>
    </row>
    <row r="484" spans="10:24">
      <c r="J484" s="20" t="e">
        <f>VLOOKUP(G484,MD!M$2:O$93,3,FALSE)</f>
        <v>#N/A</v>
      </c>
      <c r="K484" s="29"/>
      <c r="P484" s="22"/>
      <c r="X484" s="22"/>
    </row>
    <row r="485" spans="10:24">
      <c r="J485" s="20" t="e">
        <f>VLOOKUP(G485,MD!M$2:O$93,3,FALSE)</f>
        <v>#N/A</v>
      </c>
      <c r="K485" s="29"/>
      <c r="P485" s="22"/>
      <c r="X485" s="22"/>
    </row>
    <row r="486" spans="10:24">
      <c r="J486" s="20" t="e">
        <f>VLOOKUP(G486,MD!M$2:O$93,3,FALSE)</f>
        <v>#N/A</v>
      </c>
      <c r="K486" s="29"/>
      <c r="P486" s="22"/>
      <c r="X486" s="22"/>
    </row>
    <row r="487" spans="10:24">
      <c r="J487" s="20" t="e">
        <f>VLOOKUP(G487,MD!M$2:O$93,3,FALSE)</f>
        <v>#N/A</v>
      </c>
      <c r="K487" s="29"/>
      <c r="P487" s="22"/>
      <c r="X487" s="22"/>
    </row>
    <row r="488" spans="10:24">
      <c r="J488" s="20" t="e">
        <f>VLOOKUP(G488,MD!M$2:O$93,3,FALSE)</f>
        <v>#N/A</v>
      </c>
      <c r="K488" s="29"/>
      <c r="P488" s="22"/>
      <c r="X488" s="22"/>
    </row>
    <row r="489" spans="10:24">
      <c r="J489" s="20" t="e">
        <f>VLOOKUP(G489,MD!M$2:O$93,3,FALSE)</f>
        <v>#N/A</v>
      </c>
      <c r="K489" s="29"/>
      <c r="P489" s="22"/>
      <c r="X489" s="22"/>
    </row>
    <row r="490" spans="10:24">
      <c r="J490" s="20" t="e">
        <f>VLOOKUP(G490,MD!M$2:O$93,3,FALSE)</f>
        <v>#N/A</v>
      </c>
      <c r="K490" s="29"/>
      <c r="P490" s="22"/>
      <c r="X490" s="22"/>
    </row>
    <row r="491" spans="10:24">
      <c r="J491" s="20" t="e">
        <f>VLOOKUP(G491,MD!M$2:O$93,3,FALSE)</f>
        <v>#N/A</v>
      </c>
      <c r="K491" s="29"/>
      <c r="P491" s="22"/>
      <c r="X491" s="22"/>
    </row>
    <row r="492" spans="10:24">
      <c r="J492" s="20" t="e">
        <f>VLOOKUP(G492,MD!M$2:O$93,3,FALSE)</f>
        <v>#N/A</v>
      </c>
      <c r="K492" s="29"/>
      <c r="P492" s="22"/>
      <c r="X492" s="22"/>
    </row>
    <row r="493" spans="10:24">
      <c r="J493" s="20" t="e">
        <f>VLOOKUP(G493,MD!M$2:O$93,3,FALSE)</f>
        <v>#N/A</v>
      </c>
      <c r="K493" s="29"/>
      <c r="P493" s="22"/>
      <c r="X493" s="22"/>
    </row>
    <row r="494" spans="10:24">
      <c r="J494" s="20" t="e">
        <f>VLOOKUP(G494,MD!M$2:O$93,3,FALSE)</f>
        <v>#N/A</v>
      </c>
      <c r="K494" s="29"/>
      <c r="P494" s="22"/>
      <c r="X494" s="22"/>
    </row>
    <row r="495" spans="10:24">
      <c r="J495" s="20" t="e">
        <f>VLOOKUP(G495,MD!M$2:O$93,3,FALSE)</f>
        <v>#N/A</v>
      </c>
      <c r="K495" s="29"/>
      <c r="P495" s="22"/>
      <c r="X495" s="22"/>
    </row>
    <row r="496" spans="10:24">
      <c r="J496" s="20" t="e">
        <f>VLOOKUP(G496,MD!M$2:O$93,3,FALSE)</f>
        <v>#N/A</v>
      </c>
      <c r="K496" s="29"/>
      <c r="P496" s="22"/>
      <c r="X496" s="22"/>
    </row>
    <row r="497" spans="10:24">
      <c r="J497" s="20" t="e">
        <f>VLOOKUP(G497,MD!M$2:O$93,3,FALSE)</f>
        <v>#N/A</v>
      </c>
      <c r="K497" s="29"/>
      <c r="P497" s="22"/>
      <c r="X497" s="22"/>
    </row>
    <row r="498" spans="10:24">
      <c r="J498" s="20" t="e">
        <f>VLOOKUP(G498,MD!M$2:O$93,3,FALSE)</f>
        <v>#N/A</v>
      </c>
      <c r="K498" s="29"/>
      <c r="P498" s="22"/>
      <c r="X498" s="22"/>
    </row>
    <row r="499" spans="10:24">
      <c r="J499" s="20" t="e">
        <f>VLOOKUP(G499,MD!M$2:O$93,3,FALSE)</f>
        <v>#N/A</v>
      </c>
      <c r="K499" s="29"/>
      <c r="P499" s="22"/>
      <c r="X499" s="22"/>
    </row>
    <row r="500" spans="10:24">
      <c r="J500" s="20" t="e">
        <f>VLOOKUP(G500,MD!M$2:O$93,3,FALSE)</f>
        <v>#N/A</v>
      </c>
      <c r="K500" s="29"/>
      <c r="P500" s="22"/>
      <c r="X500" s="22"/>
    </row>
    <row r="501" spans="10:24">
      <c r="J501" s="20" t="e">
        <f>VLOOKUP(G501,MD!M$2:O$93,3,FALSE)</f>
        <v>#N/A</v>
      </c>
      <c r="K501" s="29"/>
      <c r="P501" s="22"/>
      <c r="X501" s="22"/>
    </row>
    <row r="502" spans="10:24">
      <c r="J502" s="20" t="e">
        <f>VLOOKUP(G502,MD!M$2:O$93,3,FALSE)</f>
        <v>#N/A</v>
      </c>
      <c r="K502" s="29"/>
      <c r="P502" s="22"/>
      <c r="X502" s="22"/>
    </row>
    <row r="503" spans="10:24">
      <c r="J503" s="20" t="e">
        <f>VLOOKUP(G503,MD!M$2:O$93,3,FALSE)</f>
        <v>#N/A</v>
      </c>
      <c r="K503" s="29"/>
      <c r="P503" s="22"/>
      <c r="X503" s="22"/>
    </row>
    <row r="504" spans="10:24">
      <c r="J504" s="20" t="e">
        <f>VLOOKUP(G504,MD!M$2:O$93,3,FALSE)</f>
        <v>#N/A</v>
      </c>
      <c r="K504" s="29"/>
      <c r="P504" s="22"/>
      <c r="X504" s="22"/>
    </row>
    <row r="505" spans="10:24">
      <c r="J505" s="20" t="e">
        <f>VLOOKUP(G505,MD!M$2:O$93,3,FALSE)</f>
        <v>#N/A</v>
      </c>
      <c r="K505" s="29"/>
      <c r="P505" s="22"/>
      <c r="X505" s="22"/>
    </row>
    <row r="506" spans="10:24">
      <c r="J506" s="20" t="e">
        <f>VLOOKUP(G506,MD!M$2:O$93,3,FALSE)</f>
        <v>#N/A</v>
      </c>
      <c r="K506" s="29"/>
      <c r="P506" s="22"/>
      <c r="X506" s="22"/>
    </row>
    <row r="507" spans="10:24">
      <c r="J507" s="20" t="e">
        <f>VLOOKUP(G507,MD!M$2:O$93,3,FALSE)</f>
        <v>#N/A</v>
      </c>
      <c r="K507" s="29"/>
      <c r="P507" s="22"/>
      <c r="X507" s="22"/>
    </row>
    <row r="508" spans="10:24">
      <c r="J508" s="20" t="e">
        <f>VLOOKUP(G508,MD!M$2:O$93,3,FALSE)</f>
        <v>#N/A</v>
      </c>
      <c r="K508" s="29"/>
      <c r="P508" s="22"/>
      <c r="X508" s="22"/>
    </row>
    <row r="509" spans="10:24">
      <c r="J509" s="20" t="e">
        <f>VLOOKUP(G509,MD!M$2:O$93,3,FALSE)</f>
        <v>#N/A</v>
      </c>
      <c r="K509" s="29"/>
      <c r="P509" s="22"/>
      <c r="X509" s="22"/>
    </row>
    <row r="510" spans="10:24">
      <c r="J510" s="20" t="e">
        <f>VLOOKUP(G510,MD!M$2:O$93,3,FALSE)</f>
        <v>#N/A</v>
      </c>
      <c r="K510" s="29"/>
      <c r="P510" s="22"/>
      <c r="X510" s="22"/>
    </row>
    <row r="511" spans="10:24">
      <c r="J511" s="20" t="e">
        <f>VLOOKUP(G511,MD!M$2:O$93,3,FALSE)</f>
        <v>#N/A</v>
      </c>
      <c r="K511" s="29"/>
      <c r="P511" s="22"/>
      <c r="X511" s="22"/>
    </row>
    <row r="512" spans="10:24">
      <c r="J512" s="20" t="e">
        <f>VLOOKUP(G512,MD!M$2:O$93,3,FALSE)</f>
        <v>#N/A</v>
      </c>
      <c r="K512" s="29"/>
      <c r="P512" s="22"/>
      <c r="X512" s="22"/>
    </row>
    <row r="513" spans="10:24">
      <c r="J513" s="20" t="e">
        <f>VLOOKUP(G513,MD!M$2:O$93,3,FALSE)</f>
        <v>#N/A</v>
      </c>
      <c r="K513" s="29"/>
      <c r="P513" s="22"/>
      <c r="X513" s="22"/>
    </row>
    <row r="514" spans="10:24">
      <c r="J514" s="20" t="e">
        <f>VLOOKUP(G514,MD!M$2:O$93,3,FALSE)</f>
        <v>#N/A</v>
      </c>
      <c r="K514" s="29"/>
      <c r="P514" s="22"/>
      <c r="X514" s="22"/>
    </row>
    <row r="515" spans="10:24">
      <c r="J515" s="20" t="e">
        <f>VLOOKUP(G515,MD!M$2:O$93,3,FALSE)</f>
        <v>#N/A</v>
      </c>
      <c r="K515" s="29"/>
      <c r="P515" s="22"/>
      <c r="X515" s="22"/>
    </row>
    <row r="516" spans="10:24">
      <c r="J516" s="20" t="e">
        <f>VLOOKUP(G516,MD!M$2:O$93,3,FALSE)</f>
        <v>#N/A</v>
      </c>
      <c r="K516" s="29"/>
      <c r="P516" s="22"/>
      <c r="X516" s="22"/>
    </row>
    <row r="517" spans="10:24">
      <c r="J517" s="20" t="e">
        <f>VLOOKUP(G517,MD!M$2:O$93,3,FALSE)</f>
        <v>#N/A</v>
      </c>
      <c r="K517" s="29"/>
      <c r="P517" s="22"/>
      <c r="X517" s="22"/>
    </row>
    <row r="518" spans="10:24">
      <c r="J518" s="20" t="e">
        <f>VLOOKUP(G518,MD!M$2:O$93,3,FALSE)</f>
        <v>#N/A</v>
      </c>
      <c r="K518" s="29"/>
      <c r="P518" s="22"/>
      <c r="X518" s="22"/>
    </row>
    <row r="519" spans="10:24">
      <c r="J519" s="20" t="e">
        <f>VLOOKUP(G519,MD!M$2:O$93,3,FALSE)</f>
        <v>#N/A</v>
      </c>
      <c r="K519" s="29"/>
      <c r="P519" s="22"/>
      <c r="X519" s="22"/>
    </row>
    <row r="520" spans="10:24">
      <c r="J520" s="20" t="e">
        <f>VLOOKUP(G520,MD!M$2:O$93,3,FALSE)</f>
        <v>#N/A</v>
      </c>
      <c r="K520" s="29"/>
      <c r="P520" s="22"/>
      <c r="X520" s="22"/>
    </row>
    <row r="521" spans="10:24">
      <c r="J521" s="20" t="e">
        <f>VLOOKUP(G521,MD!M$2:O$93,3,FALSE)</f>
        <v>#N/A</v>
      </c>
      <c r="K521" s="29"/>
      <c r="P521" s="22"/>
      <c r="X521" s="22"/>
    </row>
    <row r="522" spans="10:24">
      <c r="J522" s="20" t="e">
        <f>VLOOKUP(G522,MD!M$2:O$93,3,FALSE)</f>
        <v>#N/A</v>
      </c>
      <c r="K522" s="29"/>
      <c r="P522" s="22"/>
      <c r="X522" s="22"/>
    </row>
    <row r="523" spans="10:24">
      <c r="J523" s="20" t="e">
        <f>VLOOKUP(G523,MD!M$2:O$93,3,FALSE)</f>
        <v>#N/A</v>
      </c>
      <c r="K523" s="29"/>
      <c r="P523" s="22"/>
      <c r="X523" s="22"/>
    </row>
    <row r="524" spans="10:24">
      <c r="J524" s="20" t="e">
        <f>VLOOKUP(G524,MD!M$2:O$93,3,FALSE)</f>
        <v>#N/A</v>
      </c>
      <c r="K524" s="29"/>
      <c r="P524" s="22"/>
      <c r="X524" s="22"/>
    </row>
    <row r="525" spans="10:24">
      <c r="J525" s="20" t="e">
        <f>VLOOKUP(G525,MD!M$2:O$93,3,FALSE)</f>
        <v>#N/A</v>
      </c>
      <c r="K525" s="29"/>
      <c r="P525" s="22"/>
      <c r="X525" s="22"/>
    </row>
    <row r="526" spans="10:24">
      <c r="J526" s="20" t="e">
        <f>VLOOKUP(G526,MD!M$2:O$93,3,FALSE)</f>
        <v>#N/A</v>
      </c>
      <c r="K526" s="29"/>
      <c r="P526" s="22"/>
      <c r="X526" s="22"/>
    </row>
    <row r="527" spans="10:24">
      <c r="J527" s="20" t="e">
        <f>VLOOKUP(G527,MD!M$2:O$93,3,FALSE)</f>
        <v>#N/A</v>
      </c>
      <c r="K527" s="29"/>
      <c r="P527" s="22"/>
      <c r="X527" s="22"/>
    </row>
    <row r="528" spans="10:24">
      <c r="J528" s="20" t="e">
        <f>VLOOKUP(G528,MD!M$2:O$93,3,FALSE)</f>
        <v>#N/A</v>
      </c>
      <c r="K528" s="29"/>
      <c r="P528" s="22"/>
      <c r="X528" s="22"/>
    </row>
    <row r="529" spans="10:24">
      <c r="J529" s="20" t="e">
        <f>VLOOKUP(G529,MD!M$2:O$93,3,FALSE)</f>
        <v>#N/A</v>
      </c>
      <c r="K529" s="29"/>
      <c r="P529" s="22"/>
      <c r="X529" s="22"/>
    </row>
    <row r="530" spans="10:24">
      <c r="J530" s="20" t="e">
        <f>VLOOKUP(G530,MD!M$2:O$93,3,FALSE)</f>
        <v>#N/A</v>
      </c>
      <c r="K530" s="29"/>
      <c r="P530" s="22"/>
      <c r="X530" s="22"/>
    </row>
    <row r="531" spans="10:24">
      <c r="J531" s="20" t="e">
        <f>VLOOKUP(G531,MD!M$2:O$93,3,FALSE)</f>
        <v>#N/A</v>
      </c>
      <c r="K531" s="29"/>
      <c r="P531" s="22"/>
      <c r="X531" s="22"/>
    </row>
    <row r="532" spans="10:24">
      <c r="J532" s="20" t="e">
        <f>VLOOKUP(G532,MD!M$2:O$93,3,FALSE)</f>
        <v>#N/A</v>
      </c>
      <c r="K532" s="29"/>
      <c r="P532" s="22"/>
      <c r="X532" s="22"/>
    </row>
    <row r="533" spans="10:24">
      <c r="J533" s="20" t="e">
        <f>VLOOKUP(G533,MD!M$2:O$93,3,FALSE)</f>
        <v>#N/A</v>
      </c>
      <c r="K533" s="29"/>
      <c r="P533" s="22"/>
      <c r="X533" s="22"/>
    </row>
    <row r="534" spans="10:24">
      <c r="J534" s="20" t="e">
        <f>VLOOKUP(G534,MD!M$2:O$93,3,FALSE)</f>
        <v>#N/A</v>
      </c>
      <c r="K534" s="29"/>
      <c r="P534" s="22"/>
      <c r="X534" s="22"/>
    </row>
    <row r="535" spans="10:24">
      <c r="J535" s="20" t="e">
        <f>VLOOKUP(G535,MD!M$2:O$93,3,FALSE)</f>
        <v>#N/A</v>
      </c>
      <c r="K535" s="29"/>
      <c r="P535" s="22"/>
      <c r="X535" s="22"/>
    </row>
    <row r="536" spans="10:24">
      <c r="J536" s="20" t="e">
        <f>VLOOKUP(G536,MD!M$2:O$93,3,FALSE)</f>
        <v>#N/A</v>
      </c>
      <c r="K536" s="29"/>
      <c r="P536" s="22"/>
      <c r="X536" s="22"/>
    </row>
    <row r="537" spans="10:24">
      <c r="J537" s="20" t="e">
        <f>VLOOKUP(G537,MD!M$2:O$93,3,FALSE)</f>
        <v>#N/A</v>
      </c>
      <c r="K537" s="29"/>
      <c r="P537" s="22"/>
      <c r="X537" s="22"/>
    </row>
    <row r="538" spans="10:24">
      <c r="J538" s="20" t="e">
        <f>VLOOKUP(G538,MD!M$2:O$93,3,FALSE)</f>
        <v>#N/A</v>
      </c>
      <c r="K538" s="29"/>
      <c r="P538" s="22"/>
      <c r="X538" s="22"/>
    </row>
    <row r="539" spans="10:24">
      <c r="J539" s="20" t="e">
        <f>VLOOKUP(G539,MD!M$2:O$93,3,FALSE)</f>
        <v>#N/A</v>
      </c>
      <c r="K539" s="29"/>
      <c r="P539" s="22"/>
      <c r="X539" s="22"/>
    </row>
    <row r="540" spans="10:24">
      <c r="J540" s="20" t="e">
        <f>VLOOKUP(G540,MD!M$2:O$93,3,FALSE)</f>
        <v>#N/A</v>
      </c>
      <c r="K540" s="29"/>
      <c r="P540" s="22"/>
      <c r="X540" s="22"/>
    </row>
    <row r="541" spans="10:24">
      <c r="J541" s="20" t="e">
        <f>VLOOKUP(G541,MD!M$2:O$93,3,FALSE)</f>
        <v>#N/A</v>
      </c>
      <c r="K541" s="29"/>
      <c r="P541" s="22"/>
      <c r="X541" s="22"/>
    </row>
    <row r="542" spans="10:24">
      <c r="J542" s="20" t="e">
        <f>VLOOKUP(G542,MD!M$2:O$93,3,FALSE)</f>
        <v>#N/A</v>
      </c>
      <c r="K542" s="29"/>
      <c r="P542" s="22"/>
      <c r="X542" s="22"/>
    </row>
    <row r="543" spans="10:24">
      <c r="J543" s="20" t="e">
        <f>VLOOKUP(G543,MD!M$2:O$93,3,FALSE)</f>
        <v>#N/A</v>
      </c>
      <c r="K543" s="29"/>
      <c r="P543" s="22"/>
      <c r="X543" s="22"/>
    </row>
    <row r="544" spans="10:24">
      <c r="J544" s="20" t="e">
        <f>VLOOKUP(G544,MD!M$2:O$93,3,FALSE)</f>
        <v>#N/A</v>
      </c>
      <c r="K544" s="29"/>
      <c r="P544" s="22"/>
      <c r="X544" s="22"/>
    </row>
    <row r="545" spans="10:24">
      <c r="J545" s="20" t="e">
        <f>VLOOKUP(G545,MD!M$2:O$93,3,FALSE)</f>
        <v>#N/A</v>
      </c>
      <c r="K545" s="29"/>
      <c r="P545" s="22"/>
      <c r="X545" s="22"/>
    </row>
    <row r="546" spans="10:24">
      <c r="J546" s="20" t="e">
        <f>VLOOKUP(G546,MD!M$2:O$93,3,FALSE)</f>
        <v>#N/A</v>
      </c>
      <c r="K546" s="29"/>
      <c r="P546" s="22"/>
      <c r="X546" s="22"/>
    </row>
    <row r="547" spans="10:24">
      <c r="J547" s="20" t="e">
        <f>VLOOKUP(G547,MD!M$2:O$93,3,FALSE)</f>
        <v>#N/A</v>
      </c>
      <c r="K547" s="29"/>
      <c r="P547" s="22"/>
      <c r="X547" s="22"/>
    </row>
    <row r="548" spans="10:24">
      <c r="J548" s="20" t="e">
        <f>VLOOKUP(G548,MD!M$2:O$93,3,FALSE)</f>
        <v>#N/A</v>
      </c>
      <c r="K548" s="29"/>
      <c r="P548" s="22"/>
      <c r="X548" s="22"/>
    </row>
    <row r="549" spans="10:24">
      <c r="J549" s="20" t="e">
        <f>VLOOKUP(G549,MD!M$2:O$93,3,FALSE)</f>
        <v>#N/A</v>
      </c>
      <c r="K549" s="29"/>
      <c r="P549" s="22"/>
      <c r="X549" s="22"/>
    </row>
    <row r="550" spans="10:24">
      <c r="J550" s="20" t="e">
        <f>VLOOKUP(G550,MD!M$2:O$93,3,FALSE)</f>
        <v>#N/A</v>
      </c>
      <c r="K550" s="29"/>
      <c r="P550" s="22"/>
      <c r="X550" s="22"/>
    </row>
    <row r="551" spans="10:24">
      <c r="J551" s="20" t="e">
        <f>VLOOKUP(G551,MD!M$2:O$93,3,FALSE)</f>
        <v>#N/A</v>
      </c>
      <c r="K551" s="29"/>
      <c r="P551" s="22"/>
      <c r="X551" s="22"/>
    </row>
    <row r="552" spans="10:24">
      <c r="J552" s="20" t="e">
        <f>VLOOKUP(G552,MD!M$2:O$93,3,FALSE)</f>
        <v>#N/A</v>
      </c>
      <c r="K552" s="29"/>
      <c r="P552" s="22"/>
      <c r="X552" s="22"/>
    </row>
    <row r="553" spans="10:24">
      <c r="J553" s="20" t="e">
        <f>VLOOKUP(G553,MD!M$2:O$93,3,FALSE)</f>
        <v>#N/A</v>
      </c>
      <c r="K553" s="29"/>
      <c r="P553" s="22"/>
      <c r="X553" s="22"/>
    </row>
    <row r="554" spans="10:24">
      <c r="J554" s="20" t="e">
        <f>VLOOKUP(G554,MD!M$2:O$93,3,FALSE)</f>
        <v>#N/A</v>
      </c>
      <c r="K554" s="29"/>
      <c r="P554" s="22"/>
      <c r="X554" s="22"/>
    </row>
    <row r="555" spans="10:24">
      <c r="J555" s="20" t="e">
        <f>VLOOKUP(G555,MD!M$2:O$93,3,FALSE)</f>
        <v>#N/A</v>
      </c>
      <c r="K555" s="29"/>
      <c r="P555" s="22"/>
      <c r="X555" s="22"/>
    </row>
    <row r="556" spans="10:24">
      <c r="J556" s="20" t="e">
        <f>VLOOKUP(G556,MD!M$2:O$93,3,FALSE)</f>
        <v>#N/A</v>
      </c>
      <c r="K556" s="29"/>
      <c r="P556" s="22"/>
      <c r="X556" s="22"/>
    </row>
    <row r="557" spans="10:24">
      <c r="J557" s="20" t="e">
        <f>VLOOKUP(G557,MD!M$2:O$93,3,FALSE)</f>
        <v>#N/A</v>
      </c>
      <c r="K557" s="29"/>
      <c r="P557" s="22"/>
      <c r="X557" s="22"/>
    </row>
    <row r="558" spans="10:24">
      <c r="J558" s="20" t="e">
        <f>VLOOKUP(G558,MD!M$2:O$93,3,FALSE)</f>
        <v>#N/A</v>
      </c>
      <c r="K558" s="29"/>
      <c r="P558" s="22"/>
      <c r="X558" s="22"/>
    </row>
    <row r="559" spans="10:24">
      <c r="J559" s="20" t="e">
        <f>VLOOKUP(G559,MD!M$2:O$93,3,FALSE)</f>
        <v>#N/A</v>
      </c>
      <c r="K559" s="29"/>
      <c r="P559" s="22"/>
      <c r="X559" s="22"/>
    </row>
    <row r="560" spans="10:24">
      <c r="J560" s="20" t="e">
        <f>VLOOKUP(G560,MD!M$2:O$93,3,FALSE)</f>
        <v>#N/A</v>
      </c>
      <c r="K560" s="29"/>
      <c r="P560" s="22"/>
      <c r="X560" s="22"/>
    </row>
    <row r="561" spans="10:24">
      <c r="J561" s="20" t="e">
        <f>VLOOKUP(G561,MD!M$2:O$93,3,FALSE)</f>
        <v>#N/A</v>
      </c>
      <c r="K561" s="29"/>
      <c r="P561" s="22"/>
      <c r="X561" s="22"/>
    </row>
    <row r="562" spans="10:24">
      <c r="J562" s="20" t="e">
        <f>VLOOKUP(G562,MD!M$2:O$93,3,FALSE)</f>
        <v>#N/A</v>
      </c>
      <c r="K562" s="29"/>
      <c r="P562" s="22"/>
      <c r="X562" s="22"/>
    </row>
    <row r="563" spans="10:24">
      <c r="J563" s="20" t="e">
        <f>VLOOKUP(G563,MD!M$2:O$93,3,FALSE)</f>
        <v>#N/A</v>
      </c>
      <c r="K563" s="29"/>
      <c r="P563" s="22"/>
      <c r="X563" s="22"/>
    </row>
    <row r="564" spans="10:24">
      <c r="J564" s="20" t="e">
        <f>VLOOKUP(G564,MD!M$2:O$93,3,FALSE)</f>
        <v>#N/A</v>
      </c>
      <c r="K564" s="29"/>
      <c r="P564" s="22"/>
      <c r="X564" s="22"/>
    </row>
    <row r="565" spans="10:24">
      <c r="J565" s="20" t="e">
        <f>VLOOKUP(G565,MD!M$2:O$93,3,FALSE)</f>
        <v>#N/A</v>
      </c>
      <c r="K565" s="29"/>
      <c r="P565" s="22"/>
      <c r="X565" s="22"/>
    </row>
    <row r="566" spans="10:24">
      <c r="J566" s="20" t="e">
        <f>VLOOKUP(G566,MD!M$2:O$93,3,FALSE)</f>
        <v>#N/A</v>
      </c>
      <c r="K566" s="29"/>
      <c r="P566" s="22"/>
      <c r="X566" s="22"/>
    </row>
    <row r="567" spans="10:24">
      <c r="J567" s="20" t="e">
        <f>VLOOKUP(G567,MD!M$2:O$93,3,FALSE)</f>
        <v>#N/A</v>
      </c>
      <c r="K567" s="29"/>
      <c r="P567" s="22"/>
      <c r="X567" s="22"/>
    </row>
    <row r="568" spans="10:24">
      <c r="J568" s="20" t="e">
        <f>VLOOKUP(G568,MD!M$2:O$93,3,FALSE)</f>
        <v>#N/A</v>
      </c>
      <c r="K568" s="29"/>
      <c r="P568" s="22"/>
      <c r="X568" s="22"/>
    </row>
    <row r="569" spans="10:24">
      <c r="J569" s="20" t="e">
        <f>VLOOKUP(G569,MD!M$2:O$93,3,FALSE)</f>
        <v>#N/A</v>
      </c>
      <c r="K569" s="29"/>
      <c r="P569" s="22"/>
      <c r="X569" s="22"/>
    </row>
    <row r="570" spans="10:24">
      <c r="J570" s="20" t="e">
        <f>VLOOKUP(G570,MD!M$2:O$93,3,FALSE)</f>
        <v>#N/A</v>
      </c>
      <c r="K570" s="29"/>
      <c r="P570" s="22"/>
      <c r="X570" s="22"/>
    </row>
    <row r="571" spans="10:24">
      <c r="J571" s="20" t="e">
        <f>VLOOKUP(G571,MD!M$2:O$93,3,FALSE)</f>
        <v>#N/A</v>
      </c>
      <c r="K571" s="29"/>
      <c r="P571" s="22"/>
      <c r="X571" s="22"/>
    </row>
    <row r="572" spans="10:24">
      <c r="J572" s="20" t="e">
        <f>VLOOKUP(G572,MD!M$2:O$93,3,FALSE)</f>
        <v>#N/A</v>
      </c>
      <c r="K572" s="29"/>
      <c r="P572" s="22"/>
      <c r="X572" s="22"/>
    </row>
    <row r="573" spans="10:24">
      <c r="J573" s="20" t="e">
        <f>VLOOKUP(G573,MD!M$2:O$93,3,FALSE)</f>
        <v>#N/A</v>
      </c>
      <c r="K573" s="29"/>
      <c r="P573" s="22"/>
      <c r="X573" s="22"/>
    </row>
    <row r="574" spans="10:24">
      <c r="J574" s="20" t="e">
        <f>VLOOKUP(G574,MD!M$2:O$93,3,FALSE)</f>
        <v>#N/A</v>
      </c>
      <c r="K574" s="29"/>
      <c r="P574" s="22"/>
      <c r="X574" s="22"/>
    </row>
    <row r="575" spans="10:24">
      <c r="J575" s="20" t="e">
        <f>VLOOKUP(G575,MD!M$2:O$93,3,FALSE)</f>
        <v>#N/A</v>
      </c>
      <c r="K575" s="29"/>
      <c r="P575" s="22"/>
      <c r="X575" s="22"/>
    </row>
    <row r="576" spans="10:24">
      <c r="J576" s="20" t="e">
        <f>VLOOKUP(G576,MD!M$2:O$93,3,FALSE)</f>
        <v>#N/A</v>
      </c>
      <c r="K576" s="29"/>
      <c r="P576" s="22"/>
      <c r="X576" s="22"/>
    </row>
    <row r="577" spans="10:24">
      <c r="J577" s="20" t="e">
        <f>VLOOKUP(G577,MD!M$2:O$93,3,FALSE)</f>
        <v>#N/A</v>
      </c>
      <c r="K577" s="29"/>
      <c r="P577" s="22"/>
      <c r="X577" s="22"/>
    </row>
    <row r="578" spans="10:24">
      <c r="J578" s="20" t="e">
        <f>VLOOKUP(G578,MD!M$2:O$93,3,FALSE)</f>
        <v>#N/A</v>
      </c>
      <c r="K578" s="29"/>
      <c r="P578" s="22"/>
      <c r="X578" s="22"/>
    </row>
    <row r="579" spans="10:24">
      <c r="J579" s="20" t="e">
        <f>VLOOKUP(G579,MD!M$2:O$93,3,FALSE)</f>
        <v>#N/A</v>
      </c>
      <c r="K579" s="29"/>
      <c r="P579" s="22"/>
      <c r="X579" s="22"/>
    </row>
    <row r="580" spans="10:24">
      <c r="J580" s="20" t="e">
        <f>VLOOKUP(G580,MD!M$2:O$93,3,FALSE)</f>
        <v>#N/A</v>
      </c>
      <c r="K580" s="29"/>
      <c r="P580" s="22"/>
      <c r="X580" s="22"/>
    </row>
    <row r="581" spans="10:24">
      <c r="J581" s="20" t="e">
        <f>VLOOKUP(G581,MD!M$2:O$93,3,FALSE)</f>
        <v>#N/A</v>
      </c>
      <c r="K581" s="29"/>
      <c r="P581" s="22"/>
      <c r="X581" s="22"/>
    </row>
    <row r="582" spans="10:24">
      <c r="J582" s="20" t="e">
        <f>VLOOKUP(G582,MD!M$2:O$93,3,FALSE)</f>
        <v>#N/A</v>
      </c>
      <c r="K582" s="29"/>
      <c r="P582" s="22"/>
      <c r="X582" s="22"/>
    </row>
    <row r="583" spans="10:24">
      <c r="J583" s="20" t="e">
        <f>VLOOKUP(G583,MD!M$2:O$93,3,FALSE)</f>
        <v>#N/A</v>
      </c>
      <c r="K583" s="29"/>
      <c r="P583" s="22"/>
      <c r="X583" s="22"/>
    </row>
    <row r="584" spans="10:24">
      <c r="J584" s="20" t="e">
        <f>VLOOKUP(G584,MD!M$2:O$93,3,FALSE)</f>
        <v>#N/A</v>
      </c>
      <c r="K584" s="29"/>
      <c r="P584" s="22"/>
      <c r="X584" s="22"/>
    </row>
    <row r="585" spans="10:24">
      <c r="J585" s="20" t="e">
        <f>VLOOKUP(G585,MD!M$2:O$93,3,FALSE)</f>
        <v>#N/A</v>
      </c>
      <c r="K585" s="29"/>
      <c r="P585" s="22"/>
      <c r="X585" s="22"/>
    </row>
    <row r="586" spans="10:24">
      <c r="J586" s="20" t="e">
        <f>VLOOKUP(G586,MD!M$2:O$93,3,FALSE)</f>
        <v>#N/A</v>
      </c>
      <c r="K586" s="29"/>
      <c r="P586" s="22"/>
      <c r="X586" s="22"/>
    </row>
    <row r="587" spans="10:24">
      <c r="J587" s="20" t="e">
        <f>VLOOKUP(G587,MD!M$2:O$93,3,FALSE)</f>
        <v>#N/A</v>
      </c>
      <c r="K587" s="29"/>
      <c r="P587" s="22"/>
      <c r="X587" s="22"/>
    </row>
    <row r="588" spans="10:24">
      <c r="J588" s="20" t="e">
        <f>VLOOKUP(G588,MD!M$2:O$93,3,FALSE)</f>
        <v>#N/A</v>
      </c>
      <c r="K588" s="29"/>
      <c r="P588" s="22"/>
      <c r="X588" s="22"/>
    </row>
    <row r="589" spans="10:24">
      <c r="J589" s="20" t="e">
        <f>VLOOKUP(G589,MD!M$2:O$93,3,FALSE)</f>
        <v>#N/A</v>
      </c>
      <c r="K589" s="29"/>
      <c r="P589" s="22"/>
      <c r="X589" s="22"/>
    </row>
    <row r="590" spans="10:24">
      <c r="J590" s="20" t="e">
        <f>VLOOKUP(G590,MD!M$2:O$93,3,FALSE)</f>
        <v>#N/A</v>
      </c>
      <c r="K590" s="29"/>
      <c r="P590" s="22"/>
      <c r="X590" s="22"/>
    </row>
    <row r="591" spans="10:24">
      <c r="J591" s="20" t="e">
        <f>VLOOKUP(G591,MD!M$2:O$93,3,FALSE)</f>
        <v>#N/A</v>
      </c>
      <c r="K591" s="29"/>
      <c r="P591" s="22"/>
      <c r="X591" s="22"/>
    </row>
    <row r="592" spans="10:24">
      <c r="J592" s="20" t="e">
        <f>VLOOKUP(G592,MD!M$2:O$93,3,FALSE)</f>
        <v>#N/A</v>
      </c>
      <c r="K592" s="29"/>
      <c r="P592" s="22"/>
      <c r="X592" s="22"/>
    </row>
    <row r="593" spans="10:24">
      <c r="J593" s="20" t="e">
        <f>VLOOKUP(G593,MD!M$2:O$93,3,FALSE)</f>
        <v>#N/A</v>
      </c>
      <c r="K593" s="29"/>
      <c r="P593" s="22"/>
      <c r="X593" s="22"/>
    </row>
    <row r="594" spans="10:24">
      <c r="J594" s="20" t="e">
        <f>VLOOKUP(G594,MD!M$2:O$93,3,FALSE)</f>
        <v>#N/A</v>
      </c>
      <c r="K594" s="29"/>
      <c r="P594" s="22"/>
      <c r="X594" s="22"/>
    </row>
    <row r="595" spans="10:24">
      <c r="J595" s="20" t="e">
        <f>VLOOKUP(G595,MD!M$2:O$93,3,FALSE)</f>
        <v>#N/A</v>
      </c>
      <c r="K595" s="29"/>
      <c r="P595" s="22"/>
      <c r="X595" s="22"/>
    </row>
    <row r="596" spans="10:24">
      <c r="J596" s="20" t="e">
        <f>VLOOKUP(G596,MD!M$2:O$93,3,FALSE)</f>
        <v>#N/A</v>
      </c>
      <c r="K596" s="29"/>
      <c r="P596" s="22"/>
      <c r="X596" s="22"/>
    </row>
    <row r="597" spans="10:24">
      <c r="J597" s="20" t="e">
        <f>VLOOKUP(G597,MD!M$2:O$93,3,FALSE)</f>
        <v>#N/A</v>
      </c>
      <c r="K597" s="29"/>
      <c r="P597" s="22"/>
      <c r="X597" s="22"/>
    </row>
    <row r="598" spans="10:24">
      <c r="J598" s="20" t="e">
        <f>VLOOKUP(G598,MD!M$2:O$93,3,FALSE)</f>
        <v>#N/A</v>
      </c>
      <c r="K598" s="29"/>
      <c r="P598" s="22"/>
      <c r="X598" s="22"/>
    </row>
    <row r="599" spans="10:24">
      <c r="J599" s="20" t="e">
        <f>VLOOKUP(G599,MD!M$2:O$93,3,FALSE)</f>
        <v>#N/A</v>
      </c>
      <c r="K599" s="29"/>
      <c r="P599" s="22"/>
      <c r="X599" s="22"/>
    </row>
    <row r="600" spans="10:24">
      <c r="J600" s="20" t="e">
        <f>VLOOKUP(G600,MD!M$2:O$93,3,FALSE)</f>
        <v>#N/A</v>
      </c>
      <c r="K600" s="29"/>
      <c r="P600" s="22"/>
      <c r="X600" s="22"/>
    </row>
    <row r="601" spans="10:24">
      <c r="J601" s="20" t="e">
        <f>VLOOKUP(G601,MD!M$2:O$93,3,FALSE)</f>
        <v>#N/A</v>
      </c>
      <c r="K601" s="29"/>
      <c r="P601" s="22"/>
      <c r="X601" s="22"/>
    </row>
    <row r="602" spans="10:24">
      <c r="J602" s="20" t="e">
        <f>VLOOKUP(G602,MD!M$2:O$93,3,FALSE)</f>
        <v>#N/A</v>
      </c>
      <c r="K602" s="29"/>
      <c r="P602" s="22"/>
      <c r="X602" s="22"/>
    </row>
    <row r="603" spans="10:24">
      <c r="J603" s="20" t="e">
        <f>VLOOKUP(G603,MD!M$2:O$93,3,FALSE)</f>
        <v>#N/A</v>
      </c>
      <c r="K603" s="29"/>
      <c r="P603" s="22"/>
      <c r="X603" s="22"/>
    </row>
    <row r="604" spans="10:24">
      <c r="J604" s="20" t="e">
        <f>VLOOKUP(G604,MD!M$2:O$93,3,FALSE)</f>
        <v>#N/A</v>
      </c>
      <c r="K604" s="29"/>
      <c r="P604" s="22"/>
      <c r="X604" s="22"/>
    </row>
    <row r="605" spans="10:24">
      <c r="J605" s="20" t="e">
        <f>VLOOKUP(G605,MD!M$2:O$93,3,FALSE)</f>
        <v>#N/A</v>
      </c>
      <c r="K605" s="29"/>
      <c r="P605" s="22"/>
      <c r="X605" s="22"/>
    </row>
    <row r="606" spans="10:24">
      <c r="J606" s="20" t="e">
        <f>VLOOKUP(G606,MD!M$2:O$93,3,FALSE)</f>
        <v>#N/A</v>
      </c>
      <c r="K606" s="29"/>
      <c r="P606" s="22"/>
      <c r="X606" s="22"/>
    </row>
    <row r="607" spans="10:24">
      <c r="J607" s="20" t="e">
        <f>VLOOKUP(G607,MD!M$2:O$93,3,FALSE)</f>
        <v>#N/A</v>
      </c>
      <c r="K607" s="29"/>
      <c r="P607" s="22"/>
      <c r="X607" s="22"/>
    </row>
    <row r="608" spans="10:24">
      <c r="J608" s="20" t="e">
        <f>VLOOKUP(G608,MD!M$2:O$93,3,FALSE)</f>
        <v>#N/A</v>
      </c>
      <c r="K608" s="29"/>
      <c r="P608" s="22"/>
      <c r="X608" s="22"/>
    </row>
    <row r="609" spans="10:24">
      <c r="J609" s="20" t="e">
        <f>VLOOKUP(G609,MD!M$2:O$93,3,FALSE)</f>
        <v>#N/A</v>
      </c>
      <c r="K609" s="29"/>
      <c r="P609" s="22"/>
      <c r="X609" s="22"/>
    </row>
    <row r="610" spans="10:24">
      <c r="J610" s="20" t="e">
        <f>VLOOKUP(G610,MD!M$2:O$93,3,FALSE)</f>
        <v>#N/A</v>
      </c>
      <c r="K610" s="29"/>
      <c r="P610" s="22"/>
      <c r="X610" s="22"/>
    </row>
    <row r="611" spans="10:24">
      <c r="J611" s="20" t="e">
        <f>VLOOKUP(G611,MD!M$2:O$93,3,FALSE)</f>
        <v>#N/A</v>
      </c>
      <c r="K611" s="29"/>
      <c r="P611" s="22"/>
      <c r="X611" s="22"/>
    </row>
    <row r="612" spans="10:24">
      <c r="J612" s="20" t="e">
        <f>VLOOKUP(G612,MD!M$2:O$93,3,FALSE)</f>
        <v>#N/A</v>
      </c>
      <c r="K612" s="29"/>
      <c r="P612" s="22"/>
      <c r="X612" s="22"/>
    </row>
    <row r="613" spans="10:24">
      <c r="J613" s="20" t="e">
        <f>VLOOKUP(G613,MD!M$2:O$93,3,FALSE)</f>
        <v>#N/A</v>
      </c>
      <c r="K613" s="29"/>
      <c r="P613" s="22"/>
      <c r="X613" s="22"/>
    </row>
    <row r="614" spans="10:24">
      <c r="J614" s="20" t="e">
        <f>VLOOKUP(G614,MD!M$2:O$93,3,FALSE)</f>
        <v>#N/A</v>
      </c>
      <c r="K614" s="29"/>
      <c r="P614" s="22"/>
      <c r="X614" s="22"/>
    </row>
    <row r="615" spans="10:24">
      <c r="J615" s="20" t="e">
        <f>VLOOKUP(G615,MD!M$2:O$93,3,FALSE)</f>
        <v>#N/A</v>
      </c>
      <c r="K615" s="29"/>
      <c r="P615" s="22"/>
      <c r="X615" s="22"/>
    </row>
    <row r="616" spans="10:24">
      <c r="J616" s="20" t="e">
        <f>VLOOKUP(G616,MD!M$2:O$93,3,FALSE)</f>
        <v>#N/A</v>
      </c>
      <c r="K616" s="29"/>
      <c r="P616" s="22"/>
      <c r="X616" s="22"/>
    </row>
    <row r="617" spans="10:24">
      <c r="J617" s="20" t="e">
        <f>VLOOKUP(G617,MD!M$2:O$93,3,FALSE)</f>
        <v>#N/A</v>
      </c>
      <c r="K617" s="29"/>
      <c r="P617" s="22"/>
      <c r="X617" s="22"/>
    </row>
    <row r="618" spans="10:24">
      <c r="J618" s="20" t="e">
        <f>VLOOKUP(G618,MD!M$2:O$93,3,FALSE)</f>
        <v>#N/A</v>
      </c>
      <c r="K618" s="29"/>
      <c r="P618" s="22"/>
      <c r="X618" s="22"/>
    </row>
    <row r="619" spans="10:24">
      <c r="J619" s="20" t="e">
        <f>VLOOKUP(G619,MD!M$2:O$93,3,FALSE)</f>
        <v>#N/A</v>
      </c>
      <c r="K619" s="29"/>
      <c r="P619" s="22"/>
      <c r="X619" s="22"/>
    </row>
    <row r="620" spans="10:24">
      <c r="J620" s="20" t="e">
        <f>VLOOKUP(G620,MD!M$2:O$93,3,FALSE)</f>
        <v>#N/A</v>
      </c>
      <c r="K620" s="29"/>
      <c r="P620" s="22"/>
      <c r="X620" s="22"/>
    </row>
    <row r="621" spans="10:24">
      <c r="J621" s="20" t="e">
        <f>VLOOKUP(G621,MD!M$2:O$93,3,FALSE)</f>
        <v>#N/A</v>
      </c>
      <c r="K621" s="29"/>
      <c r="P621" s="22"/>
      <c r="X621" s="22"/>
    </row>
    <row r="622" spans="10:24">
      <c r="J622" s="20" t="e">
        <f>VLOOKUP(G622,MD!M$2:O$93,3,FALSE)</f>
        <v>#N/A</v>
      </c>
      <c r="K622" s="29"/>
      <c r="P622" s="22"/>
      <c r="X622" s="22"/>
    </row>
    <row r="623" spans="10:24">
      <c r="J623" s="20" t="e">
        <f>VLOOKUP(G623,MD!M$2:O$93,3,FALSE)</f>
        <v>#N/A</v>
      </c>
      <c r="K623" s="29"/>
      <c r="P623" s="22"/>
      <c r="X623" s="22"/>
    </row>
    <row r="624" spans="10:24">
      <c r="J624" s="20" t="e">
        <f>VLOOKUP(G624,MD!M$2:O$93,3,FALSE)</f>
        <v>#N/A</v>
      </c>
      <c r="K624" s="29"/>
      <c r="P624" s="22"/>
      <c r="X624" s="22"/>
    </row>
    <row r="625" spans="10:24">
      <c r="J625" s="20" t="e">
        <f>VLOOKUP(G625,MD!M$2:O$93,3,FALSE)</f>
        <v>#N/A</v>
      </c>
      <c r="K625" s="29"/>
      <c r="P625" s="22"/>
      <c r="X625" s="22"/>
    </row>
    <row r="626" spans="10:24">
      <c r="J626" s="20" t="e">
        <f>VLOOKUP(G626,MD!M$2:O$93,3,FALSE)</f>
        <v>#N/A</v>
      </c>
      <c r="K626" s="29"/>
      <c r="P626" s="22"/>
      <c r="X626" s="22"/>
    </row>
    <row r="627" spans="10:24">
      <c r="J627" s="20" t="e">
        <f>VLOOKUP(G627,MD!M$2:O$93,3,FALSE)</f>
        <v>#N/A</v>
      </c>
      <c r="K627" s="29"/>
      <c r="P627" s="22"/>
      <c r="X627" s="22"/>
    </row>
    <row r="628" spans="10:24">
      <c r="J628" s="20" t="e">
        <f>VLOOKUP(G628,MD!M$2:O$93,3,FALSE)</f>
        <v>#N/A</v>
      </c>
      <c r="K628" s="29"/>
      <c r="P628" s="22"/>
      <c r="X628" s="22"/>
    </row>
    <row r="629" spans="10:24">
      <c r="J629" s="20" t="e">
        <f>VLOOKUP(G629,MD!M$2:O$93,3,FALSE)</f>
        <v>#N/A</v>
      </c>
      <c r="K629" s="29"/>
      <c r="P629" s="22"/>
      <c r="X629" s="22"/>
    </row>
    <row r="630" spans="10:24">
      <c r="J630" s="20" t="e">
        <f>VLOOKUP(G630,MD!M$2:O$93,3,FALSE)</f>
        <v>#N/A</v>
      </c>
      <c r="K630" s="29"/>
      <c r="P630" s="22"/>
      <c r="X630" s="22"/>
    </row>
    <row r="631" spans="10:24">
      <c r="J631" s="20" t="e">
        <f>VLOOKUP(G631,MD!M$2:O$93,3,FALSE)</f>
        <v>#N/A</v>
      </c>
      <c r="K631" s="29"/>
      <c r="P631" s="22"/>
      <c r="X631" s="22"/>
    </row>
    <row r="632" spans="10:24">
      <c r="J632" s="20" t="e">
        <f>VLOOKUP(G632,MD!M$2:O$93,3,FALSE)</f>
        <v>#N/A</v>
      </c>
      <c r="K632" s="29"/>
      <c r="P632" s="22"/>
      <c r="X632" s="22"/>
    </row>
    <row r="633" spans="10:24">
      <c r="J633" s="20" t="e">
        <f>VLOOKUP(G633,MD!M$2:O$93,3,FALSE)</f>
        <v>#N/A</v>
      </c>
      <c r="K633" s="29"/>
      <c r="P633" s="22"/>
      <c r="X633" s="22"/>
    </row>
    <row r="634" spans="10:24">
      <c r="J634" s="20" t="e">
        <f>VLOOKUP(G634,MD!M$2:O$93,3,FALSE)</f>
        <v>#N/A</v>
      </c>
      <c r="K634" s="29"/>
      <c r="P634" s="22"/>
      <c r="X634" s="22"/>
    </row>
    <row r="635" spans="10:24">
      <c r="J635" s="20" t="e">
        <f>VLOOKUP(G635,MD!M$2:O$93,3,FALSE)</f>
        <v>#N/A</v>
      </c>
      <c r="K635" s="29"/>
      <c r="P635" s="22"/>
      <c r="X635" s="22"/>
    </row>
    <row r="636" spans="10:24">
      <c r="J636" s="20" t="e">
        <f>VLOOKUP(G636,MD!M$2:O$93,3,FALSE)</f>
        <v>#N/A</v>
      </c>
      <c r="K636" s="29"/>
      <c r="P636" s="22"/>
      <c r="X636" s="22"/>
    </row>
    <row r="637" spans="10:24">
      <c r="J637" s="20" t="e">
        <f>VLOOKUP(G637,MD!M$2:O$93,3,FALSE)</f>
        <v>#N/A</v>
      </c>
      <c r="K637" s="29"/>
      <c r="P637" s="22"/>
      <c r="X637" s="22"/>
    </row>
    <row r="638" spans="10:24">
      <c r="J638" s="20" t="e">
        <f>VLOOKUP(G638,MD!M$2:O$93,3,FALSE)</f>
        <v>#N/A</v>
      </c>
      <c r="K638" s="29"/>
      <c r="P638" s="22"/>
      <c r="X638" s="22"/>
    </row>
    <row r="639" spans="10:24">
      <c r="J639" s="20" t="e">
        <f>VLOOKUP(G639,MD!M$2:O$93,3,FALSE)</f>
        <v>#N/A</v>
      </c>
      <c r="K639" s="29"/>
      <c r="P639" s="22"/>
      <c r="X639" s="22"/>
    </row>
    <row r="640" spans="10:24">
      <c r="J640" s="20" t="e">
        <f>VLOOKUP(G640,MD!M$2:O$93,3,FALSE)</f>
        <v>#N/A</v>
      </c>
      <c r="K640" s="29"/>
      <c r="P640" s="22"/>
      <c r="X640" s="22"/>
    </row>
    <row r="641" spans="10:24">
      <c r="J641" s="20" t="e">
        <f>VLOOKUP(G641,MD!M$2:O$93,3,FALSE)</f>
        <v>#N/A</v>
      </c>
      <c r="K641" s="29"/>
      <c r="P641" s="22"/>
      <c r="X641" s="22"/>
    </row>
    <row r="642" spans="10:24">
      <c r="J642" s="20" t="e">
        <f>VLOOKUP(G642,MD!M$2:O$93,3,FALSE)</f>
        <v>#N/A</v>
      </c>
      <c r="K642" s="29"/>
      <c r="P642" s="22"/>
      <c r="X642" s="22"/>
    </row>
    <row r="643" spans="10:24">
      <c r="J643" s="20" t="e">
        <f>VLOOKUP(G643,MD!M$2:O$93,3,FALSE)</f>
        <v>#N/A</v>
      </c>
      <c r="K643" s="29"/>
      <c r="P643" s="22"/>
      <c r="X643" s="22"/>
    </row>
    <row r="644" spans="10:24">
      <c r="J644" s="20" t="e">
        <f>VLOOKUP(G644,MD!M$2:O$93,3,FALSE)</f>
        <v>#N/A</v>
      </c>
      <c r="K644" s="29"/>
      <c r="P644" s="22"/>
      <c r="X644" s="22"/>
    </row>
    <row r="645" spans="10:24">
      <c r="J645" s="20" t="e">
        <f>VLOOKUP(G645,MD!M$2:O$93,3,FALSE)</f>
        <v>#N/A</v>
      </c>
      <c r="K645" s="29"/>
      <c r="P645" s="22"/>
      <c r="X645" s="22"/>
    </row>
    <row r="646" spans="10:24">
      <c r="J646" s="20" t="e">
        <f>VLOOKUP(G646,MD!M$2:O$93,3,FALSE)</f>
        <v>#N/A</v>
      </c>
      <c r="K646" s="29"/>
      <c r="P646" s="22"/>
      <c r="X646" s="22"/>
    </row>
    <row r="647" spans="10:24">
      <c r="J647" s="20" t="e">
        <f>VLOOKUP(G647,MD!M$2:O$93,3,FALSE)</f>
        <v>#N/A</v>
      </c>
      <c r="K647" s="29"/>
      <c r="P647" s="22"/>
      <c r="X647" s="22"/>
    </row>
    <row r="648" spans="10:24">
      <c r="J648" s="20" t="e">
        <f>VLOOKUP(G648,MD!M$2:O$93,3,FALSE)</f>
        <v>#N/A</v>
      </c>
      <c r="K648" s="29"/>
      <c r="P648" s="22"/>
      <c r="X648" s="22"/>
    </row>
    <row r="649" spans="10:24">
      <c r="J649" s="20" t="e">
        <f>VLOOKUP(G649,MD!M$2:O$93,3,FALSE)</f>
        <v>#N/A</v>
      </c>
      <c r="K649" s="29"/>
      <c r="P649" s="22"/>
      <c r="X649" s="22"/>
    </row>
    <row r="650" spans="10:24">
      <c r="J650" s="20" t="e">
        <f>VLOOKUP(G650,MD!M$2:O$93,3,FALSE)</f>
        <v>#N/A</v>
      </c>
      <c r="K650" s="29"/>
      <c r="P650" s="22"/>
      <c r="X650" s="22"/>
    </row>
    <row r="651" spans="10:24">
      <c r="J651" s="20" t="e">
        <f>VLOOKUP(G651,MD!M$2:O$93,3,FALSE)</f>
        <v>#N/A</v>
      </c>
      <c r="K651" s="29"/>
      <c r="P651" s="22"/>
      <c r="X651" s="22"/>
    </row>
    <row r="652" spans="10:24">
      <c r="J652" s="20" t="e">
        <f>VLOOKUP(G652,MD!M$2:O$93,3,FALSE)</f>
        <v>#N/A</v>
      </c>
      <c r="K652" s="29"/>
      <c r="P652" s="22"/>
      <c r="X652" s="22"/>
    </row>
    <row r="653" spans="10:24">
      <c r="J653" s="20" t="e">
        <f>VLOOKUP(G653,MD!M$2:O$93,3,FALSE)</f>
        <v>#N/A</v>
      </c>
      <c r="K653" s="29"/>
      <c r="P653" s="22"/>
      <c r="X653" s="22"/>
    </row>
    <row r="654" spans="10:24">
      <c r="J654" s="20" t="e">
        <f>VLOOKUP(G654,MD!M$2:O$93,3,FALSE)</f>
        <v>#N/A</v>
      </c>
      <c r="K654" s="29"/>
      <c r="P654" s="22"/>
      <c r="X654" s="22"/>
    </row>
    <row r="655" spans="10:24">
      <c r="J655" s="20" t="e">
        <f>VLOOKUP(G655,MD!M$2:O$93,3,FALSE)</f>
        <v>#N/A</v>
      </c>
      <c r="K655" s="29"/>
      <c r="P655" s="22"/>
      <c r="X655" s="22"/>
    </row>
    <row r="656" spans="10:24">
      <c r="J656" s="20" t="e">
        <f>VLOOKUP(G656,MD!M$2:O$93,3,FALSE)</f>
        <v>#N/A</v>
      </c>
      <c r="K656" s="29"/>
      <c r="P656" s="22"/>
      <c r="X656" s="22"/>
    </row>
    <row r="657" spans="10:24">
      <c r="J657" s="20" t="e">
        <f>VLOOKUP(G657,MD!M$2:O$93,3,FALSE)</f>
        <v>#N/A</v>
      </c>
      <c r="K657" s="29"/>
      <c r="P657" s="22"/>
      <c r="X657" s="22"/>
    </row>
    <row r="658" spans="10:24">
      <c r="J658" s="20" t="e">
        <f>VLOOKUP(G658,MD!M$2:O$93,3,FALSE)</f>
        <v>#N/A</v>
      </c>
      <c r="K658" s="29"/>
      <c r="P658" s="22"/>
      <c r="X658" s="22"/>
    </row>
    <row r="659" spans="10:24">
      <c r="J659" s="20" t="e">
        <f>VLOOKUP(G659,MD!M$2:O$93,3,FALSE)</f>
        <v>#N/A</v>
      </c>
      <c r="K659" s="29"/>
      <c r="P659" s="22"/>
      <c r="X659" s="22"/>
    </row>
    <row r="660" spans="10:24">
      <c r="J660" s="20" t="e">
        <f>VLOOKUP(G660,MD!M$2:O$93,3,FALSE)</f>
        <v>#N/A</v>
      </c>
      <c r="K660" s="29"/>
      <c r="P660" s="22"/>
      <c r="X660" s="22"/>
    </row>
    <row r="661" spans="10:24">
      <c r="J661" s="20" t="e">
        <f>VLOOKUP(G661,MD!M$2:O$93,3,FALSE)</f>
        <v>#N/A</v>
      </c>
      <c r="K661" s="29"/>
      <c r="P661" s="22"/>
      <c r="X661" s="22"/>
    </row>
    <row r="662" spans="10:24">
      <c r="J662" s="20" t="e">
        <f>VLOOKUP(G662,MD!M$2:O$93,3,FALSE)</f>
        <v>#N/A</v>
      </c>
      <c r="K662" s="29"/>
      <c r="P662" s="22"/>
      <c r="X662" s="22"/>
    </row>
    <row r="663" spans="10:24">
      <c r="J663" s="20" t="e">
        <f>VLOOKUP(G663,MD!M$2:O$93,3,FALSE)</f>
        <v>#N/A</v>
      </c>
      <c r="K663" s="29"/>
      <c r="P663" s="22"/>
      <c r="X663" s="22"/>
    </row>
    <row r="664" spans="10:24">
      <c r="J664" s="20" t="e">
        <f>VLOOKUP(G664,MD!M$2:O$93,3,FALSE)</f>
        <v>#N/A</v>
      </c>
      <c r="K664" s="29"/>
      <c r="P664" s="22"/>
      <c r="X664" s="22"/>
    </row>
    <row r="665" spans="10:24">
      <c r="J665" s="20" t="e">
        <f>VLOOKUP(G665,MD!M$2:O$93,3,FALSE)</f>
        <v>#N/A</v>
      </c>
      <c r="K665" s="29"/>
      <c r="P665" s="22"/>
      <c r="X665" s="22"/>
    </row>
    <row r="666" spans="10:24">
      <c r="J666" s="20" t="e">
        <f>VLOOKUP(G666,MD!M$2:O$93,3,FALSE)</f>
        <v>#N/A</v>
      </c>
      <c r="K666" s="29"/>
      <c r="P666" s="22"/>
      <c r="X666" s="22"/>
    </row>
    <row r="667" spans="10:24">
      <c r="J667" s="20" t="e">
        <f>VLOOKUP(G667,MD!M$2:O$93,3,FALSE)</f>
        <v>#N/A</v>
      </c>
      <c r="K667" s="29"/>
      <c r="P667" s="22"/>
      <c r="X667" s="22"/>
    </row>
    <row r="668" spans="10:24">
      <c r="J668" s="20" t="e">
        <f>VLOOKUP(G668,MD!M$2:O$93,3,FALSE)</f>
        <v>#N/A</v>
      </c>
      <c r="K668" s="29"/>
      <c r="P668" s="22"/>
      <c r="X668" s="22"/>
    </row>
    <row r="669" spans="10:24">
      <c r="J669" s="20" t="e">
        <f>VLOOKUP(G669,MD!M$2:O$93,3,FALSE)</f>
        <v>#N/A</v>
      </c>
      <c r="K669" s="29"/>
      <c r="P669" s="22"/>
      <c r="X669" s="22"/>
    </row>
    <row r="670" spans="10:24">
      <c r="J670" s="20" t="e">
        <f>VLOOKUP(G670,MD!M$2:O$93,3,FALSE)</f>
        <v>#N/A</v>
      </c>
      <c r="K670" s="29"/>
      <c r="P670" s="22"/>
      <c r="X670" s="22"/>
    </row>
    <row r="671" spans="10:24">
      <c r="J671" s="20" t="e">
        <f>VLOOKUP(G671,MD!M$2:O$93,3,FALSE)</f>
        <v>#N/A</v>
      </c>
      <c r="K671" s="29"/>
      <c r="P671" s="22"/>
      <c r="X671" s="22"/>
    </row>
    <row r="672" spans="10:24">
      <c r="J672" s="20" t="e">
        <f>VLOOKUP(G672,MD!M$2:O$93,3,FALSE)</f>
        <v>#N/A</v>
      </c>
      <c r="K672" s="29"/>
      <c r="P672" s="22"/>
      <c r="X672" s="22"/>
    </row>
    <row r="673" spans="10:24">
      <c r="J673" s="20" t="e">
        <f>VLOOKUP(G673,MD!M$2:O$93,3,FALSE)</f>
        <v>#N/A</v>
      </c>
      <c r="K673" s="29"/>
      <c r="P673" s="22"/>
      <c r="X673" s="22"/>
    </row>
    <row r="674" spans="10:24">
      <c r="J674" s="20" t="e">
        <f>VLOOKUP(G674,MD!M$2:O$93,3,FALSE)</f>
        <v>#N/A</v>
      </c>
      <c r="K674" s="29"/>
      <c r="P674" s="22"/>
      <c r="X674" s="22"/>
    </row>
    <row r="675" spans="10:24">
      <c r="J675" s="20" t="e">
        <f>VLOOKUP(G675,MD!M$2:O$93,3,FALSE)</f>
        <v>#N/A</v>
      </c>
      <c r="K675" s="29"/>
      <c r="P675" s="22"/>
      <c r="X675" s="22"/>
    </row>
    <row r="676" spans="10:24">
      <c r="J676" s="20" t="e">
        <f>VLOOKUP(G676,MD!M$2:O$93,3,FALSE)</f>
        <v>#N/A</v>
      </c>
      <c r="K676" s="29"/>
      <c r="P676" s="22"/>
      <c r="X676" s="22"/>
    </row>
    <row r="677" spans="10:24">
      <c r="J677" s="20" t="e">
        <f>VLOOKUP(G677,MD!M$2:O$93,3,FALSE)</f>
        <v>#N/A</v>
      </c>
      <c r="K677" s="29"/>
      <c r="P677" s="22"/>
      <c r="X677" s="22"/>
    </row>
    <row r="678" spans="10:24">
      <c r="J678" s="20" t="e">
        <f>VLOOKUP(G678,MD!M$2:O$93,3,FALSE)</f>
        <v>#N/A</v>
      </c>
      <c r="K678" s="29"/>
      <c r="P678" s="22"/>
      <c r="X678" s="22"/>
    </row>
    <row r="679" spans="10:24">
      <c r="J679" s="20" t="e">
        <f>VLOOKUP(G679,MD!M$2:O$93,3,FALSE)</f>
        <v>#N/A</v>
      </c>
      <c r="K679" s="29"/>
      <c r="P679" s="22"/>
      <c r="X679" s="22"/>
    </row>
    <row r="680" spans="10:24">
      <c r="J680" s="20" t="e">
        <f>VLOOKUP(G680,MD!M$2:O$93,3,FALSE)</f>
        <v>#N/A</v>
      </c>
      <c r="K680" s="29"/>
      <c r="P680" s="22"/>
      <c r="X680" s="22"/>
    </row>
    <row r="681" spans="10:24">
      <c r="J681" s="20" t="e">
        <f>VLOOKUP(G681,MD!M$2:O$93,3,FALSE)</f>
        <v>#N/A</v>
      </c>
      <c r="K681" s="29"/>
      <c r="P681" s="22"/>
      <c r="X681" s="22"/>
    </row>
    <row r="682" spans="10:24">
      <c r="J682" s="20" t="e">
        <f>VLOOKUP(G682,MD!M$2:O$93,3,FALSE)</f>
        <v>#N/A</v>
      </c>
      <c r="K682" s="29"/>
      <c r="P682" s="22"/>
      <c r="X682" s="22"/>
    </row>
    <row r="683" spans="10:24">
      <c r="J683" s="20" t="e">
        <f>VLOOKUP(G683,MD!M$2:O$93,3,FALSE)</f>
        <v>#N/A</v>
      </c>
      <c r="K683" s="29"/>
      <c r="P683" s="22"/>
      <c r="X683" s="22"/>
    </row>
    <row r="684" spans="10:24">
      <c r="J684" s="20" t="e">
        <f>VLOOKUP(G684,MD!M$2:O$93,3,FALSE)</f>
        <v>#N/A</v>
      </c>
      <c r="K684" s="29"/>
      <c r="P684" s="22"/>
      <c r="X684" s="22"/>
    </row>
    <row r="685" spans="10:24">
      <c r="J685" s="20" t="e">
        <f>VLOOKUP(G685,MD!M$2:O$93,3,FALSE)</f>
        <v>#N/A</v>
      </c>
      <c r="K685" s="29"/>
      <c r="P685" s="22"/>
      <c r="X685" s="22"/>
    </row>
    <row r="686" spans="10:24">
      <c r="J686" s="20" t="e">
        <f>VLOOKUP(G686,MD!M$2:O$93,3,FALSE)</f>
        <v>#N/A</v>
      </c>
      <c r="K686" s="29"/>
      <c r="P686" s="22"/>
      <c r="X686" s="22"/>
    </row>
    <row r="687" spans="10:24">
      <c r="J687" s="20" t="e">
        <f>VLOOKUP(G687,MD!M$2:O$93,3,FALSE)</f>
        <v>#N/A</v>
      </c>
      <c r="K687" s="29"/>
      <c r="P687" s="22"/>
      <c r="X687" s="22"/>
    </row>
    <row r="688" spans="10:24">
      <c r="J688" s="20" t="e">
        <f>VLOOKUP(G688,MD!M$2:O$93,3,FALSE)</f>
        <v>#N/A</v>
      </c>
      <c r="K688" s="29"/>
      <c r="P688" s="22"/>
      <c r="X688" s="22"/>
    </row>
    <row r="689" spans="10:24">
      <c r="J689" s="20" t="e">
        <f>VLOOKUP(G689,MD!M$2:O$93,3,FALSE)</f>
        <v>#N/A</v>
      </c>
      <c r="K689" s="29"/>
      <c r="P689" s="22"/>
      <c r="X689" s="22"/>
    </row>
    <row r="690" spans="10:24">
      <c r="J690" s="20" t="e">
        <f>VLOOKUP(G690,MD!M$2:O$93,3,FALSE)</f>
        <v>#N/A</v>
      </c>
      <c r="K690" s="29"/>
      <c r="P690" s="22"/>
      <c r="X690" s="22"/>
    </row>
    <row r="691" spans="10:24">
      <c r="J691" s="20" t="e">
        <f>VLOOKUP(G691,MD!M$2:O$93,3,FALSE)</f>
        <v>#N/A</v>
      </c>
      <c r="K691" s="29"/>
      <c r="P691" s="22"/>
      <c r="X691" s="22"/>
    </row>
    <row r="692" spans="10:24">
      <c r="J692" s="20" t="e">
        <f>VLOOKUP(G692,MD!M$2:O$93,3,FALSE)</f>
        <v>#N/A</v>
      </c>
      <c r="K692" s="29"/>
      <c r="P692" s="22"/>
      <c r="X692" s="22"/>
    </row>
    <row r="693" spans="10:24">
      <c r="J693" s="20" t="e">
        <f>VLOOKUP(G693,MD!M$2:O$93,3,FALSE)</f>
        <v>#N/A</v>
      </c>
      <c r="K693" s="29"/>
      <c r="P693" s="22"/>
      <c r="X693" s="22"/>
    </row>
    <row r="694" spans="10:24">
      <c r="J694" s="20" t="e">
        <f>VLOOKUP(G694,MD!M$2:O$93,3,FALSE)</f>
        <v>#N/A</v>
      </c>
      <c r="K694" s="29"/>
      <c r="P694" s="22"/>
      <c r="X694" s="22"/>
    </row>
    <row r="695" spans="10:24">
      <c r="J695" s="20" t="e">
        <f>VLOOKUP(G695,MD!M$2:O$93,3,FALSE)</f>
        <v>#N/A</v>
      </c>
      <c r="K695" s="29"/>
      <c r="P695" s="22"/>
      <c r="X695" s="22"/>
    </row>
    <row r="696" spans="10:24">
      <c r="J696" s="20" t="e">
        <f>VLOOKUP(G696,MD!M$2:O$93,3,FALSE)</f>
        <v>#N/A</v>
      </c>
      <c r="K696" s="29"/>
      <c r="P696" s="22"/>
      <c r="X696" s="22"/>
    </row>
    <row r="697" spans="10:24">
      <c r="J697" s="20" t="e">
        <f>VLOOKUP(G697,MD!M$2:O$93,3,FALSE)</f>
        <v>#N/A</v>
      </c>
      <c r="K697" s="29"/>
      <c r="P697" s="22"/>
      <c r="X697" s="22"/>
    </row>
    <row r="698" spans="10:24">
      <c r="J698" s="20" t="e">
        <f>VLOOKUP(G698,MD!M$2:O$93,3,FALSE)</f>
        <v>#N/A</v>
      </c>
      <c r="K698" s="29"/>
      <c r="P698" s="22"/>
      <c r="X698" s="22"/>
    </row>
    <row r="699" spans="10:24">
      <c r="J699" s="20" t="e">
        <f>VLOOKUP(G699,MD!M$2:O$93,3,FALSE)</f>
        <v>#N/A</v>
      </c>
      <c r="K699" s="29"/>
      <c r="P699" s="22"/>
      <c r="X699" s="22"/>
    </row>
    <row r="700" spans="10:24">
      <c r="J700" s="20" t="e">
        <f>VLOOKUP(G700,MD!M$2:O$93,3,FALSE)</f>
        <v>#N/A</v>
      </c>
      <c r="K700" s="29"/>
      <c r="P700" s="22"/>
      <c r="X700" s="22"/>
    </row>
    <row r="701" spans="10:24">
      <c r="J701" s="20" t="e">
        <f>VLOOKUP(G701,MD!M$2:O$93,3,FALSE)</f>
        <v>#N/A</v>
      </c>
      <c r="K701" s="29"/>
      <c r="P701" s="22"/>
      <c r="X701" s="22"/>
    </row>
    <row r="702" spans="10:24">
      <c r="J702" s="20" t="e">
        <f>VLOOKUP(G702,MD!M$2:O$93,3,FALSE)</f>
        <v>#N/A</v>
      </c>
      <c r="K702" s="29"/>
      <c r="P702" s="22"/>
      <c r="X702" s="22"/>
    </row>
    <row r="703" spans="10:24">
      <c r="J703" s="20" t="e">
        <f>VLOOKUP(G703,MD!M$2:O$93,3,FALSE)</f>
        <v>#N/A</v>
      </c>
      <c r="K703" s="29"/>
      <c r="P703" s="22"/>
      <c r="X703" s="22"/>
    </row>
    <row r="704" spans="10:24">
      <c r="J704" s="20" t="e">
        <f>VLOOKUP(G704,MD!M$2:O$93,3,FALSE)</f>
        <v>#N/A</v>
      </c>
      <c r="K704" s="29"/>
      <c r="P704" s="22"/>
      <c r="X704" s="22"/>
    </row>
    <row r="705" spans="10:24">
      <c r="J705" s="20" t="e">
        <f>VLOOKUP(G705,MD!M$2:O$93,3,FALSE)</f>
        <v>#N/A</v>
      </c>
      <c r="K705" s="29"/>
      <c r="P705" s="22"/>
      <c r="X705" s="22"/>
    </row>
    <row r="706" spans="10:24">
      <c r="J706" s="20" t="e">
        <f>VLOOKUP(G706,MD!M$2:O$93,3,FALSE)</f>
        <v>#N/A</v>
      </c>
      <c r="K706" s="29"/>
      <c r="P706" s="22"/>
      <c r="X706" s="22"/>
    </row>
    <row r="707" spans="10:24">
      <c r="J707" s="20" t="e">
        <f>VLOOKUP(G707,MD!M$2:O$93,3,FALSE)</f>
        <v>#N/A</v>
      </c>
      <c r="K707" s="29"/>
      <c r="P707" s="22"/>
      <c r="X707" s="22"/>
    </row>
    <row r="708" spans="10:24">
      <c r="J708" s="20" t="e">
        <f>VLOOKUP(G708,MD!M$2:O$93,3,FALSE)</f>
        <v>#N/A</v>
      </c>
      <c r="K708" s="29"/>
      <c r="P708" s="22"/>
      <c r="X708" s="22"/>
    </row>
    <row r="709" spans="10:24">
      <c r="J709" s="20" t="e">
        <f>VLOOKUP(G709,MD!M$2:O$93,3,FALSE)</f>
        <v>#N/A</v>
      </c>
      <c r="K709" s="29"/>
      <c r="P709" s="22"/>
      <c r="X709" s="22"/>
    </row>
    <row r="710" spans="10:24">
      <c r="J710" s="20" t="e">
        <f>VLOOKUP(G710,MD!M$2:O$93,3,FALSE)</f>
        <v>#N/A</v>
      </c>
      <c r="K710" s="29"/>
      <c r="P710" s="22"/>
      <c r="X710" s="22"/>
    </row>
    <row r="711" spans="10:24">
      <c r="J711" s="20" t="e">
        <f>VLOOKUP(G711,MD!M$2:O$93,3,FALSE)</f>
        <v>#N/A</v>
      </c>
      <c r="K711" s="29"/>
      <c r="P711" s="22"/>
      <c r="X711" s="22"/>
    </row>
    <row r="712" spans="10:24">
      <c r="J712" s="20" t="e">
        <f>VLOOKUP(G712,MD!M$2:O$93,3,FALSE)</f>
        <v>#N/A</v>
      </c>
      <c r="K712" s="29"/>
      <c r="P712" s="22"/>
      <c r="X712" s="22"/>
    </row>
    <row r="713" spans="10:24">
      <c r="J713" s="20" t="e">
        <f>VLOOKUP(G713,MD!M$2:O$93,3,FALSE)</f>
        <v>#N/A</v>
      </c>
      <c r="K713" s="29"/>
      <c r="P713" s="22"/>
      <c r="X713" s="22"/>
    </row>
    <row r="714" spans="10:24">
      <c r="J714" s="20" t="e">
        <f>VLOOKUP(G714,MD!M$2:O$93,3,FALSE)</f>
        <v>#N/A</v>
      </c>
      <c r="K714" s="29"/>
      <c r="P714" s="22"/>
      <c r="X714" s="22"/>
    </row>
    <row r="715" spans="10:24">
      <c r="J715" s="20" t="e">
        <f>VLOOKUP(G715,MD!M$2:O$93,3,FALSE)</f>
        <v>#N/A</v>
      </c>
      <c r="K715" s="29"/>
      <c r="P715" s="22"/>
      <c r="X715" s="22"/>
    </row>
    <row r="716" spans="10:24">
      <c r="J716" s="20" t="e">
        <f>VLOOKUP(G716,MD!M$2:O$93,3,FALSE)</f>
        <v>#N/A</v>
      </c>
      <c r="K716" s="29"/>
      <c r="P716" s="22"/>
      <c r="X716" s="22"/>
    </row>
    <row r="717" spans="10:24">
      <c r="J717" s="20" t="e">
        <f>VLOOKUP(G717,MD!M$2:O$93,3,FALSE)</f>
        <v>#N/A</v>
      </c>
      <c r="K717" s="29"/>
      <c r="P717" s="22"/>
      <c r="X717" s="22"/>
    </row>
    <row r="718" spans="10:24">
      <c r="J718" s="20" t="e">
        <f>VLOOKUP(G718,MD!M$2:O$93,3,FALSE)</f>
        <v>#N/A</v>
      </c>
      <c r="K718" s="29"/>
      <c r="P718" s="22"/>
      <c r="X718" s="22"/>
    </row>
    <row r="719" spans="10:24">
      <c r="J719" s="20" t="e">
        <f>VLOOKUP(G719,MD!M$2:O$93,3,FALSE)</f>
        <v>#N/A</v>
      </c>
      <c r="K719" s="29"/>
      <c r="P719" s="22"/>
      <c r="X719" s="22"/>
    </row>
    <row r="720" spans="10:24">
      <c r="J720" s="20" t="e">
        <f>VLOOKUP(G720,MD!M$2:O$93,3,FALSE)</f>
        <v>#N/A</v>
      </c>
      <c r="K720" s="29"/>
      <c r="P720" s="22"/>
      <c r="X720" s="22"/>
    </row>
    <row r="721" spans="10:24">
      <c r="J721" s="20" t="e">
        <f>VLOOKUP(G721,MD!M$2:O$93,3,FALSE)</f>
        <v>#N/A</v>
      </c>
      <c r="K721" s="29"/>
      <c r="P721" s="22"/>
      <c r="X721" s="22"/>
    </row>
    <row r="722" spans="10:24">
      <c r="J722" s="20" t="e">
        <f>VLOOKUP(G722,MD!M$2:O$93,3,FALSE)</f>
        <v>#N/A</v>
      </c>
      <c r="K722" s="29"/>
      <c r="P722" s="22"/>
      <c r="X722" s="22"/>
    </row>
    <row r="723" spans="10:24">
      <c r="J723" s="20" t="e">
        <f>VLOOKUP(G723,MD!M$2:O$93,3,FALSE)</f>
        <v>#N/A</v>
      </c>
      <c r="K723" s="29"/>
      <c r="P723" s="22"/>
      <c r="X723" s="22"/>
    </row>
    <row r="724" spans="10:24">
      <c r="J724" s="20" t="e">
        <f>VLOOKUP(G724,MD!M$2:O$93,3,FALSE)</f>
        <v>#N/A</v>
      </c>
      <c r="K724" s="29"/>
      <c r="P724" s="22"/>
      <c r="X724" s="22"/>
    </row>
    <row r="725" spans="10:24">
      <c r="J725" s="20" t="e">
        <f>VLOOKUP(G725,MD!M$2:O$93,3,FALSE)</f>
        <v>#N/A</v>
      </c>
      <c r="K725" s="29"/>
      <c r="P725" s="22"/>
      <c r="X725" s="22"/>
    </row>
    <row r="726" spans="10:24">
      <c r="J726" s="20" t="e">
        <f>VLOOKUP(G726,MD!M$2:O$93,3,FALSE)</f>
        <v>#N/A</v>
      </c>
      <c r="K726" s="29"/>
      <c r="P726" s="22"/>
      <c r="X726" s="22"/>
    </row>
    <row r="727" spans="10:24">
      <c r="J727" s="20" t="e">
        <f>VLOOKUP(G727,MD!M$2:O$93,3,FALSE)</f>
        <v>#N/A</v>
      </c>
      <c r="K727" s="29"/>
      <c r="P727" s="22"/>
      <c r="X727" s="22"/>
    </row>
    <row r="728" spans="10:24">
      <c r="J728" s="20" t="e">
        <f>VLOOKUP(G728,MD!M$2:O$93,3,FALSE)</f>
        <v>#N/A</v>
      </c>
      <c r="K728" s="29"/>
      <c r="P728" s="22"/>
      <c r="X728" s="22"/>
    </row>
    <row r="729" spans="10:24">
      <c r="J729" s="20" t="e">
        <f>VLOOKUP(G729,MD!M$2:O$93,3,FALSE)</f>
        <v>#N/A</v>
      </c>
      <c r="K729" s="29"/>
      <c r="P729" s="22"/>
      <c r="X729" s="22"/>
    </row>
    <row r="730" spans="10:24">
      <c r="J730" s="20" t="e">
        <f>VLOOKUP(G730,MD!M$2:O$93,3,FALSE)</f>
        <v>#N/A</v>
      </c>
      <c r="K730" s="29"/>
      <c r="P730" s="22"/>
      <c r="X730" s="22"/>
    </row>
    <row r="731" spans="10:24">
      <c r="J731" s="20" t="e">
        <f>VLOOKUP(G731,MD!M$2:O$93,3,FALSE)</f>
        <v>#N/A</v>
      </c>
      <c r="K731" s="29"/>
      <c r="P731" s="22"/>
      <c r="X731" s="22"/>
    </row>
    <row r="732" spans="10:24">
      <c r="J732" s="20" t="e">
        <f>VLOOKUP(G732,MD!M$2:O$93,3,FALSE)</f>
        <v>#N/A</v>
      </c>
      <c r="K732" s="29"/>
      <c r="P732" s="22"/>
      <c r="X732" s="22"/>
    </row>
    <row r="733" spans="10:24">
      <c r="J733" s="20" t="e">
        <f>VLOOKUP(G733,MD!M$2:O$93,3,FALSE)</f>
        <v>#N/A</v>
      </c>
      <c r="K733" s="29"/>
      <c r="P733" s="22"/>
      <c r="X733" s="22"/>
    </row>
    <row r="734" spans="10:24">
      <c r="J734" s="20" t="e">
        <f>VLOOKUP(G734,MD!M$2:O$93,3,FALSE)</f>
        <v>#N/A</v>
      </c>
      <c r="K734" s="29"/>
      <c r="P734" s="22"/>
      <c r="X734" s="22"/>
    </row>
    <row r="735" spans="10:24">
      <c r="J735" s="20" t="e">
        <f>VLOOKUP(G735,MD!M$2:O$93,3,FALSE)</f>
        <v>#N/A</v>
      </c>
      <c r="K735" s="29"/>
      <c r="P735" s="22"/>
      <c r="X735" s="22"/>
    </row>
    <row r="736" spans="10:24">
      <c r="J736" s="20" t="e">
        <f>VLOOKUP(G736,MD!M$2:O$93,3,FALSE)</f>
        <v>#N/A</v>
      </c>
      <c r="K736" s="29"/>
      <c r="P736" s="22"/>
      <c r="X736" s="22"/>
    </row>
    <row r="737" spans="10:24">
      <c r="J737" s="20" t="e">
        <f>VLOOKUP(G737,MD!M$2:O$93,3,FALSE)</f>
        <v>#N/A</v>
      </c>
      <c r="K737" s="29"/>
      <c r="P737" s="22"/>
      <c r="X737" s="22"/>
    </row>
    <row r="738" spans="10:24">
      <c r="J738" s="20" t="e">
        <f>VLOOKUP(G738,MD!M$2:O$93,3,FALSE)</f>
        <v>#N/A</v>
      </c>
      <c r="K738" s="29"/>
      <c r="P738" s="22"/>
      <c r="X738" s="22"/>
    </row>
    <row r="739" spans="10:24">
      <c r="J739" s="20" t="e">
        <f>VLOOKUP(G739,MD!M$2:O$93,3,FALSE)</f>
        <v>#N/A</v>
      </c>
      <c r="K739" s="29"/>
      <c r="P739" s="22"/>
      <c r="X739" s="22"/>
    </row>
    <row r="740" spans="10:24">
      <c r="J740" s="20" t="e">
        <f>VLOOKUP(G740,MD!M$2:O$93,3,FALSE)</f>
        <v>#N/A</v>
      </c>
      <c r="K740" s="29"/>
      <c r="P740" s="22"/>
      <c r="X740" s="22"/>
    </row>
    <row r="741" spans="10:24">
      <c r="J741" s="20" t="e">
        <f>VLOOKUP(G741,MD!M$2:O$93,3,FALSE)</f>
        <v>#N/A</v>
      </c>
      <c r="K741" s="29"/>
      <c r="P741" s="22"/>
      <c r="X741" s="22"/>
    </row>
    <row r="742" spans="10:24">
      <c r="J742" s="20" t="e">
        <f>VLOOKUP(G742,MD!M$2:O$93,3,FALSE)</f>
        <v>#N/A</v>
      </c>
      <c r="K742" s="29"/>
      <c r="P742" s="22"/>
      <c r="X742" s="22"/>
    </row>
    <row r="743" spans="10:24">
      <c r="J743" s="20" t="e">
        <f>VLOOKUP(G743,MD!M$2:O$93,3,FALSE)</f>
        <v>#N/A</v>
      </c>
      <c r="K743" s="29"/>
      <c r="P743" s="22"/>
      <c r="X743" s="22"/>
    </row>
    <row r="744" spans="10:24">
      <c r="J744" s="20" t="e">
        <f>VLOOKUP(G744,MD!M$2:O$93,3,FALSE)</f>
        <v>#N/A</v>
      </c>
      <c r="K744" s="29"/>
      <c r="P744" s="22"/>
      <c r="X744" s="22"/>
    </row>
    <row r="745" spans="10:24">
      <c r="J745" s="20" t="e">
        <f>VLOOKUP(G745,MD!M$2:O$93,3,FALSE)</f>
        <v>#N/A</v>
      </c>
      <c r="K745" s="29"/>
      <c r="P745" s="22"/>
      <c r="X745" s="22"/>
    </row>
    <row r="746" spans="10:24">
      <c r="J746" s="20" t="e">
        <f>VLOOKUP(G746,MD!M$2:O$93,3,FALSE)</f>
        <v>#N/A</v>
      </c>
      <c r="K746" s="29"/>
      <c r="P746" s="22"/>
      <c r="X746" s="22"/>
    </row>
    <row r="747" spans="10:24">
      <c r="J747" s="20" t="e">
        <f>VLOOKUP(G747,MD!M$2:O$93,3,FALSE)</f>
        <v>#N/A</v>
      </c>
      <c r="K747" s="29"/>
      <c r="P747" s="22"/>
      <c r="X747" s="22"/>
    </row>
    <row r="748" spans="10:24">
      <c r="J748" s="20" t="e">
        <f>VLOOKUP(G748,MD!M$2:O$93,3,FALSE)</f>
        <v>#N/A</v>
      </c>
      <c r="K748" s="29"/>
      <c r="P748" s="22"/>
      <c r="X748" s="22"/>
    </row>
    <row r="749" spans="10:24">
      <c r="J749" s="20" t="e">
        <f>VLOOKUP(G749,MD!M$2:O$93,3,FALSE)</f>
        <v>#N/A</v>
      </c>
      <c r="K749" s="29"/>
      <c r="P749" s="22"/>
      <c r="X749" s="22"/>
    </row>
    <row r="750" spans="10:24">
      <c r="J750" s="20" t="e">
        <f>VLOOKUP(G750,MD!M$2:O$93,3,FALSE)</f>
        <v>#N/A</v>
      </c>
      <c r="K750" s="29"/>
      <c r="P750" s="22"/>
      <c r="X750" s="22"/>
    </row>
    <row r="751" spans="10:24">
      <c r="J751" s="20" t="e">
        <f>VLOOKUP(G751,MD!M$2:O$93,3,FALSE)</f>
        <v>#N/A</v>
      </c>
      <c r="K751" s="29"/>
      <c r="P751" s="22"/>
      <c r="X751" s="22"/>
    </row>
    <row r="752" spans="10:24">
      <c r="J752" s="20" t="e">
        <f>VLOOKUP(G752,MD!M$2:O$93,3,FALSE)</f>
        <v>#N/A</v>
      </c>
      <c r="K752" s="29"/>
      <c r="P752" s="22"/>
      <c r="X752" s="22"/>
    </row>
    <row r="753" spans="10:24">
      <c r="J753" s="20" t="e">
        <f>VLOOKUP(G753,MD!M$2:O$93,3,FALSE)</f>
        <v>#N/A</v>
      </c>
      <c r="K753" s="29"/>
      <c r="P753" s="22"/>
      <c r="X753" s="22"/>
    </row>
    <row r="754" spans="10:24">
      <c r="J754" s="20" t="e">
        <f>VLOOKUP(G754,MD!M$2:O$93,3,FALSE)</f>
        <v>#N/A</v>
      </c>
      <c r="K754" s="29"/>
      <c r="P754" s="22"/>
      <c r="X754" s="22"/>
    </row>
    <row r="755" spans="10:24">
      <c r="J755" s="20" t="e">
        <f>VLOOKUP(G755,MD!M$2:O$93,3,FALSE)</f>
        <v>#N/A</v>
      </c>
      <c r="K755" s="29"/>
      <c r="P755" s="22"/>
      <c r="X755" s="22"/>
    </row>
    <row r="756" spans="10:24">
      <c r="J756" s="20" t="e">
        <f>VLOOKUP(G756,MD!M$2:O$93,3,FALSE)</f>
        <v>#N/A</v>
      </c>
      <c r="K756" s="29"/>
      <c r="P756" s="22"/>
      <c r="X756" s="22"/>
    </row>
    <row r="757" spans="10:24">
      <c r="J757" s="20" t="e">
        <f>VLOOKUP(G757,MD!M$2:O$93,3,FALSE)</f>
        <v>#N/A</v>
      </c>
      <c r="K757" s="29"/>
      <c r="P757" s="22"/>
      <c r="X757" s="22"/>
    </row>
    <row r="758" spans="10:24">
      <c r="J758" s="20" t="e">
        <f>VLOOKUP(G758,MD!M$2:O$93,3,FALSE)</f>
        <v>#N/A</v>
      </c>
      <c r="K758" s="29"/>
      <c r="P758" s="22"/>
      <c r="X758" s="22"/>
    </row>
    <row r="759" spans="10:24">
      <c r="J759" s="20" t="e">
        <f>VLOOKUP(G759,MD!M$2:O$93,3,FALSE)</f>
        <v>#N/A</v>
      </c>
      <c r="K759" s="29"/>
      <c r="P759" s="22"/>
      <c r="X759" s="22"/>
    </row>
    <row r="760" spans="10:24">
      <c r="J760" s="20" t="e">
        <f>VLOOKUP(G760,MD!M$2:O$93,3,FALSE)</f>
        <v>#N/A</v>
      </c>
      <c r="K760" s="29"/>
      <c r="P760" s="22"/>
      <c r="X760" s="22"/>
    </row>
    <row r="761" spans="10:24">
      <c r="J761" s="20" t="e">
        <f>VLOOKUP(G761,MD!M$2:O$93,3,FALSE)</f>
        <v>#N/A</v>
      </c>
      <c r="K761" s="29"/>
      <c r="P761" s="22"/>
      <c r="X761" s="22"/>
    </row>
    <row r="762" spans="10:24">
      <c r="J762" s="20" t="e">
        <f>VLOOKUP(G762,MD!M$2:O$93,3,FALSE)</f>
        <v>#N/A</v>
      </c>
      <c r="K762" s="29"/>
      <c r="P762" s="22"/>
      <c r="X762" s="22"/>
    </row>
    <row r="763" spans="10:24">
      <c r="J763" s="20" t="e">
        <f>VLOOKUP(G763,MD!M$2:O$93,3,FALSE)</f>
        <v>#N/A</v>
      </c>
      <c r="K763" s="29"/>
      <c r="P763" s="22"/>
      <c r="X763" s="22"/>
    </row>
    <row r="764" spans="10:24">
      <c r="J764" s="20" t="e">
        <f>VLOOKUP(G764,MD!M$2:O$93,3,FALSE)</f>
        <v>#N/A</v>
      </c>
      <c r="K764" s="29"/>
      <c r="P764" s="22"/>
      <c r="X764" s="22"/>
    </row>
    <row r="765" spans="10:24">
      <c r="J765" s="20" t="e">
        <f>VLOOKUP(G765,MD!M$2:O$93,3,FALSE)</f>
        <v>#N/A</v>
      </c>
      <c r="K765" s="29"/>
      <c r="P765" s="22"/>
      <c r="X765" s="22"/>
    </row>
    <row r="766" spans="10:24">
      <c r="J766" s="20" t="e">
        <f>VLOOKUP(G766,MD!M$2:O$93,3,FALSE)</f>
        <v>#N/A</v>
      </c>
      <c r="K766" s="29"/>
      <c r="P766" s="22"/>
      <c r="X766" s="22"/>
    </row>
    <row r="767" spans="10:24">
      <c r="J767" s="20" t="e">
        <f>VLOOKUP(G767,MD!M$2:O$93,3,FALSE)</f>
        <v>#N/A</v>
      </c>
      <c r="K767" s="29"/>
      <c r="P767" s="22"/>
      <c r="X767" s="22"/>
    </row>
    <row r="768" spans="10:24">
      <c r="J768" s="20" t="e">
        <f>VLOOKUP(G768,MD!M$2:O$93,3,FALSE)</f>
        <v>#N/A</v>
      </c>
      <c r="K768" s="29"/>
      <c r="P768" s="22"/>
      <c r="X768" s="22"/>
    </row>
    <row r="769" spans="10:24">
      <c r="J769" s="20" t="e">
        <f>VLOOKUP(G769,MD!M$2:O$93,3,FALSE)</f>
        <v>#N/A</v>
      </c>
      <c r="K769" s="29"/>
      <c r="P769" s="22"/>
      <c r="X769" s="22"/>
    </row>
    <row r="770" spans="10:24">
      <c r="J770" s="20" t="e">
        <f>VLOOKUP(G770,MD!M$2:O$93,3,FALSE)</f>
        <v>#N/A</v>
      </c>
      <c r="K770" s="29"/>
      <c r="P770" s="22"/>
      <c r="X770" s="22"/>
    </row>
    <row r="771" spans="10:24">
      <c r="J771" s="20" t="e">
        <f>VLOOKUP(G771,MD!M$2:O$93,3,FALSE)</f>
        <v>#N/A</v>
      </c>
      <c r="K771" s="29"/>
      <c r="P771" s="22"/>
      <c r="X771" s="22"/>
    </row>
    <row r="772" spans="10:24">
      <c r="J772" s="20" t="e">
        <f>VLOOKUP(G772,MD!M$2:O$93,3,FALSE)</f>
        <v>#N/A</v>
      </c>
      <c r="K772" s="29"/>
      <c r="P772" s="22"/>
      <c r="X772" s="22"/>
    </row>
    <row r="773" spans="10:24">
      <c r="J773" s="20" t="e">
        <f>VLOOKUP(G773,MD!M$2:O$93,3,FALSE)</f>
        <v>#N/A</v>
      </c>
      <c r="K773" s="29"/>
      <c r="P773" s="22"/>
      <c r="X773" s="22"/>
    </row>
    <row r="774" spans="10:24">
      <c r="J774" s="20" t="e">
        <f>VLOOKUP(G774,MD!M$2:O$93,3,FALSE)</f>
        <v>#N/A</v>
      </c>
      <c r="K774" s="29"/>
      <c r="P774" s="22"/>
      <c r="X774" s="22"/>
    </row>
    <row r="775" spans="10:24">
      <c r="J775" s="20" t="e">
        <f>VLOOKUP(G775,MD!M$2:O$93,3,FALSE)</f>
        <v>#N/A</v>
      </c>
      <c r="K775" s="29"/>
      <c r="P775" s="22"/>
      <c r="X775" s="22"/>
    </row>
    <row r="776" spans="10:24">
      <c r="J776" s="20" t="e">
        <f>VLOOKUP(G776,MD!M$2:O$93,3,FALSE)</f>
        <v>#N/A</v>
      </c>
      <c r="K776" s="29"/>
      <c r="P776" s="22"/>
      <c r="X776" s="22"/>
    </row>
    <row r="777" spans="10:24">
      <c r="J777" s="20" t="e">
        <f>VLOOKUP(G777,MD!M$2:O$93,3,FALSE)</f>
        <v>#N/A</v>
      </c>
      <c r="K777" s="29"/>
      <c r="P777" s="22"/>
      <c r="X777" s="22"/>
    </row>
    <row r="778" spans="10:24">
      <c r="J778" s="20" t="e">
        <f>VLOOKUP(G778,MD!M$2:O$93,3,FALSE)</f>
        <v>#N/A</v>
      </c>
      <c r="K778" s="29"/>
      <c r="P778" s="22"/>
      <c r="X778" s="22"/>
    </row>
    <row r="779" spans="10:24">
      <c r="J779" s="20" t="e">
        <f>VLOOKUP(G779,MD!M$2:O$93,3,FALSE)</f>
        <v>#N/A</v>
      </c>
      <c r="K779" s="29"/>
      <c r="P779" s="22"/>
      <c r="X779" s="22"/>
    </row>
    <row r="780" spans="10:24">
      <c r="J780" s="20" t="e">
        <f>VLOOKUP(G780,MD!M$2:O$93,3,FALSE)</f>
        <v>#N/A</v>
      </c>
      <c r="K780" s="29"/>
      <c r="P780" s="22"/>
      <c r="X780" s="22"/>
    </row>
    <row r="781" spans="10:24">
      <c r="J781" s="20" t="e">
        <f>VLOOKUP(G781,MD!M$2:O$93,3,FALSE)</f>
        <v>#N/A</v>
      </c>
      <c r="K781" s="29"/>
      <c r="P781" s="22"/>
      <c r="X781" s="22"/>
    </row>
    <row r="782" spans="10:24">
      <c r="J782" s="20" t="e">
        <f>VLOOKUP(G782,MD!M$2:O$93,3,FALSE)</f>
        <v>#N/A</v>
      </c>
      <c r="K782" s="29"/>
      <c r="P782" s="22"/>
      <c r="X782" s="22"/>
    </row>
    <row r="783" spans="10:24">
      <c r="J783" s="20" t="e">
        <f>VLOOKUP(G783,MD!M$2:O$93,3,FALSE)</f>
        <v>#N/A</v>
      </c>
      <c r="K783" s="29"/>
      <c r="P783" s="22"/>
      <c r="X783" s="22"/>
    </row>
    <row r="784" spans="10:24">
      <c r="J784" s="20" t="e">
        <f>VLOOKUP(G784,MD!M$2:O$93,3,FALSE)</f>
        <v>#N/A</v>
      </c>
      <c r="K784" s="29"/>
      <c r="P784" s="22"/>
      <c r="X784" s="22"/>
    </row>
    <row r="785" spans="10:24">
      <c r="J785" s="20" t="e">
        <f>VLOOKUP(G785,MD!M$2:O$93,3,FALSE)</f>
        <v>#N/A</v>
      </c>
      <c r="K785" s="29"/>
      <c r="P785" s="22"/>
      <c r="X785" s="22"/>
    </row>
    <row r="786" spans="10:24">
      <c r="J786" s="20" t="e">
        <f>VLOOKUP(G786,MD!M$2:O$93,3,FALSE)</f>
        <v>#N/A</v>
      </c>
      <c r="K786" s="29"/>
      <c r="P786" s="22"/>
      <c r="X786" s="22"/>
    </row>
    <row r="787" spans="10:24">
      <c r="J787" s="20" t="e">
        <f>VLOOKUP(G787,MD!M$2:O$93,3,FALSE)</f>
        <v>#N/A</v>
      </c>
      <c r="K787" s="29"/>
      <c r="P787" s="22"/>
      <c r="X787" s="22"/>
    </row>
    <row r="788" spans="10:24">
      <c r="J788" s="20" t="e">
        <f>VLOOKUP(G788,MD!M$2:O$93,3,FALSE)</f>
        <v>#N/A</v>
      </c>
      <c r="K788" s="29"/>
      <c r="P788" s="22"/>
      <c r="X788" s="22"/>
    </row>
    <row r="789" spans="10:24">
      <c r="J789" s="20" t="e">
        <f>VLOOKUP(G789,MD!M$2:O$93,3,FALSE)</f>
        <v>#N/A</v>
      </c>
      <c r="K789" s="29"/>
      <c r="P789" s="22"/>
      <c r="X789" s="22"/>
    </row>
    <row r="790" spans="10:24">
      <c r="J790" s="20" t="e">
        <f>VLOOKUP(G790,MD!M$2:O$93,3,FALSE)</f>
        <v>#N/A</v>
      </c>
      <c r="K790" s="29"/>
      <c r="P790" s="22"/>
      <c r="X790" s="22"/>
    </row>
    <row r="791" spans="10:24">
      <c r="J791" s="20" t="e">
        <f>VLOOKUP(G791,MD!M$2:O$93,3,FALSE)</f>
        <v>#N/A</v>
      </c>
      <c r="K791" s="29"/>
      <c r="P791" s="22"/>
      <c r="X791" s="22"/>
    </row>
    <row r="792" spans="10:24">
      <c r="J792" s="20" t="e">
        <f>VLOOKUP(G792,MD!M$2:O$93,3,FALSE)</f>
        <v>#N/A</v>
      </c>
      <c r="K792" s="29"/>
      <c r="P792" s="22"/>
      <c r="X792" s="22"/>
    </row>
    <row r="793" spans="10:24">
      <c r="J793" s="20" t="e">
        <f>VLOOKUP(G793,MD!M$2:O$93,3,FALSE)</f>
        <v>#N/A</v>
      </c>
      <c r="K793" s="29"/>
      <c r="P793" s="22"/>
      <c r="X793" s="22"/>
    </row>
    <row r="794" spans="10:24">
      <c r="J794" s="20" t="e">
        <f>VLOOKUP(G794,MD!M$2:O$93,3,FALSE)</f>
        <v>#N/A</v>
      </c>
      <c r="K794" s="29"/>
      <c r="P794" s="22"/>
      <c r="X794" s="22"/>
    </row>
    <row r="795" spans="10:24">
      <c r="J795" s="20" t="e">
        <f>VLOOKUP(G795,MD!M$2:O$93,3,FALSE)</f>
        <v>#N/A</v>
      </c>
      <c r="K795" s="29"/>
      <c r="P795" s="22"/>
      <c r="X795" s="22"/>
    </row>
    <row r="796" spans="10:24">
      <c r="J796" s="20" t="e">
        <f>VLOOKUP(G796,MD!M$2:O$93,3,FALSE)</f>
        <v>#N/A</v>
      </c>
      <c r="K796" s="29"/>
      <c r="P796" s="22"/>
      <c r="X796" s="22"/>
    </row>
    <row r="797" spans="10:24">
      <c r="J797" s="20" t="e">
        <f>VLOOKUP(G797,MD!M$2:O$93,3,FALSE)</f>
        <v>#N/A</v>
      </c>
      <c r="K797" s="29"/>
      <c r="P797" s="22"/>
      <c r="X797" s="22"/>
    </row>
    <row r="798" spans="10:24">
      <c r="J798" s="20" t="e">
        <f>VLOOKUP(G798,MD!M$2:O$93,3,FALSE)</f>
        <v>#N/A</v>
      </c>
      <c r="K798" s="29"/>
      <c r="P798" s="22"/>
      <c r="X798" s="22"/>
    </row>
    <row r="799" spans="10:24">
      <c r="J799" s="20" t="e">
        <f>VLOOKUP(G799,MD!M$2:O$93,3,FALSE)</f>
        <v>#N/A</v>
      </c>
      <c r="K799" s="29"/>
      <c r="P799" s="22"/>
      <c r="X799" s="22"/>
    </row>
    <row r="800" spans="10:24">
      <c r="J800" s="20" t="e">
        <f>VLOOKUP(G800,MD!M$2:O$93,3,FALSE)</f>
        <v>#N/A</v>
      </c>
      <c r="K800" s="29"/>
      <c r="P800" s="22"/>
      <c r="X800" s="22"/>
    </row>
    <row r="801" spans="10:24">
      <c r="J801" s="20" t="e">
        <f>VLOOKUP(G801,MD!M$2:O$93,3,FALSE)</f>
        <v>#N/A</v>
      </c>
      <c r="K801" s="29"/>
      <c r="P801" s="22"/>
      <c r="X801" s="22"/>
    </row>
    <row r="802" spans="10:24">
      <c r="J802" s="20" t="e">
        <f>VLOOKUP(G802,MD!M$2:O$93,3,FALSE)</f>
        <v>#N/A</v>
      </c>
      <c r="K802" s="29"/>
      <c r="P802" s="22"/>
      <c r="X802" s="22"/>
    </row>
    <row r="803" spans="10:24">
      <c r="J803" s="20" t="e">
        <f>VLOOKUP(G803,MD!M$2:O$93,3,FALSE)</f>
        <v>#N/A</v>
      </c>
      <c r="K803" s="29"/>
      <c r="P803" s="22"/>
      <c r="X803" s="22"/>
    </row>
    <row r="804" spans="10:24">
      <c r="J804" s="20" t="e">
        <f>VLOOKUP(G804,MD!M$2:O$93,3,FALSE)</f>
        <v>#N/A</v>
      </c>
      <c r="K804" s="29"/>
      <c r="P804" s="22"/>
      <c r="X804" s="22"/>
    </row>
    <row r="805" spans="10:24">
      <c r="J805" s="20" t="e">
        <f>VLOOKUP(G805,MD!M$2:O$93,3,FALSE)</f>
        <v>#N/A</v>
      </c>
      <c r="K805" s="29"/>
      <c r="P805" s="22"/>
      <c r="X805" s="22"/>
    </row>
    <row r="806" spans="10:24">
      <c r="J806" s="20" t="e">
        <f>VLOOKUP(G806,MD!M$2:O$93,3,FALSE)</f>
        <v>#N/A</v>
      </c>
      <c r="K806" s="29"/>
      <c r="P806" s="22"/>
      <c r="X806" s="22"/>
    </row>
    <row r="807" spans="10:24">
      <c r="J807" s="20" t="e">
        <f>VLOOKUP(G807,MD!M$2:O$93,3,FALSE)</f>
        <v>#N/A</v>
      </c>
      <c r="K807" s="29"/>
      <c r="P807" s="22"/>
      <c r="X807" s="22"/>
    </row>
    <row r="808" spans="10:24">
      <c r="J808" s="20" t="e">
        <f>VLOOKUP(G808,MD!M$2:O$93,3,FALSE)</f>
        <v>#N/A</v>
      </c>
      <c r="K808" s="29"/>
      <c r="P808" s="22"/>
      <c r="X808" s="22"/>
    </row>
    <row r="809" spans="10:24">
      <c r="J809" s="20" t="e">
        <f>VLOOKUP(G809,MD!M$2:O$93,3,FALSE)</f>
        <v>#N/A</v>
      </c>
      <c r="K809" s="29"/>
      <c r="P809" s="22"/>
      <c r="X809" s="22"/>
    </row>
    <row r="810" spans="10:24">
      <c r="J810" s="20" t="e">
        <f>VLOOKUP(G810,MD!M$2:O$93,3,FALSE)</f>
        <v>#N/A</v>
      </c>
      <c r="K810" s="29"/>
      <c r="P810" s="22"/>
      <c r="X810" s="22"/>
    </row>
    <row r="811" spans="10:24">
      <c r="J811" s="20" t="e">
        <f>VLOOKUP(G811,MD!M$2:O$93,3,FALSE)</f>
        <v>#N/A</v>
      </c>
      <c r="K811" s="29"/>
      <c r="P811" s="22"/>
      <c r="X811" s="22"/>
    </row>
    <row r="812" spans="10:24">
      <c r="J812" s="20" t="e">
        <f>VLOOKUP(G812,MD!M$2:O$93,3,FALSE)</f>
        <v>#N/A</v>
      </c>
      <c r="K812" s="29"/>
      <c r="P812" s="22"/>
      <c r="X812" s="22"/>
    </row>
    <row r="813" spans="10:24">
      <c r="J813" s="20" t="e">
        <f>VLOOKUP(G813,MD!M$2:O$93,3,FALSE)</f>
        <v>#N/A</v>
      </c>
      <c r="K813" s="29"/>
      <c r="P813" s="22"/>
      <c r="X813" s="22"/>
    </row>
    <row r="814" spans="10:24">
      <c r="J814" s="20" t="e">
        <f>VLOOKUP(G814,MD!M$2:O$93,3,FALSE)</f>
        <v>#N/A</v>
      </c>
      <c r="K814" s="29"/>
      <c r="P814" s="22"/>
      <c r="X814" s="22"/>
    </row>
    <row r="815" spans="10:24">
      <c r="J815" s="20" t="e">
        <f>VLOOKUP(G815,MD!M$2:O$93,3,FALSE)</f>
        <v>#N/A</v>
      </c>
      <c r="K815" s="29"/>
      <c r="P815" s="22"/>
      <c r="X815" s="22"/>
    </row>
    <row r="816" spans="10:24">
      <c r="J816" s="20" t="e">
        <f>VLOOKUP(G816,MD!M$2:O$93,3,FALSE)</f>
        <v>#N/A</v>
      </c>
      <c r="K816" s="29"/>
      <c r="P816" s="22"/>
      <c r="X816" s="22"/>
    </row>
    <row r="817" spans="10:24">
      <c r="J817" s="20" t="e">
        <f>VLOOKUP(G817,MD!M$2:O$93,3,FALSE)</f>
        <v>#N/A</v>
      </c>
      <c r="K817" s="29"/>
      <c r="P817" s="22"/>
      <c r="X817" s="22"/>
    </row>
    <row r="818" spans="10:24">
      <c r="J818" s="20" t="e">
        <f>VLOOKUP(G818,MD!M$2:O$93,3,FALSE)</f>
        <v>#N/A</v>
      </c>
      <c r="K818" s="29"/>
      <c r="P818" s="22"/>
      <c r="X818" s="22"/>
    </row>
    <row r="819" spans="10:24">
      <c r="J819" s="20" t="e">
        <f>VLOOKUP(G819,MD!M$2:O$93,3,FALSE)</f>
        <v>#N/A</v>
      </c>
      <c r="K819" s="29"/>
      <c r="P819" s="22"/>
      <c r="X819" s="22"/>
    </row>
    <row r="820" spans="10:24">
      <c r="J820" s="20" t="e">
        <f>VLOOKUP(G820,MD!M$2:O$93,3,FALSE)</f>
        <v>#N/A</v>
      </c>
      <c r="K820" s="29"/>
      <c r="P820" s="22"/>
      <c r="X820" s="22"/>
    </row>
    <row r="821" spans="10:24">
      <c r="J821" s="20" t="e">
        <f>VLOOKUP(G821,MD!M$2:O$93,3,FALSE)</f>
        <v>#N/A</v>
      </c>
      <c r="K821" s="29"/>
      <c r="P821" s="22"/>
      <c r="X821" s="22"/>
    </row>
    <row r="822" spans="10:24">
      <c r="J822" s="20" t="e">
        <f>VLOOKUP(G822,MD!M$2:O$93,3,FALSE)</f>
        <v>#N/A</v>
      </c>
      <c r="K822" s="29"/>
      <c r="P822" s="22"/>
      <c r="X822" s="22"/>
    </row>
    <row r="823" spans="10:24">
      <c r="J823" s="20" t="e">
        <f>VLOOKUP(G823,MD!M$2:O$93,3,FALSE)</f>
        <v>#N/A</v>
      </c>
      <c r="K823" s="29"/>
      <c r="P823" s="22"/>
      <c r="X823" s="22"/>
    </row>
    <row r="824" spans="10:24">
      <c r="J824" s="20" t="e">
        <f>VLOOKUP(G824,MD!M$2:O$93,3,FALSE)</f>
        <v>#N/A</v>
      </c>
      <c r="K824" s="29"/>
      <c r="P824" s="22"/>
      <c r="X824" s="22"/>
    </row>
    <row r="825" spans="10:24">
      <c r="J825" s="20" t="e">
        <f>VLOOKUP(G825,MD!M$2:O$93,3,FALSE)</f>
        <v>#N/A</v>
      </c>
      <c r="K825" s="29"/>
      <c r="P825" s="22"/>
      <c r="X825" s="22"/>
    </row>
    <row r="826" spans="10:24">
      <c r="J826" s="20" t="e">
        <f>VLOOKUP(G826,MD!M$2:O$93,3,FALSE)</f>
        <v>#N/A</v>
      </c>
      <c r="K826" s="29"/>
      <c r="P826" s="22"/>
      <c r="X826" s="22"/>
    </row>
    <row r="827" spans="10:24">
      <c r="J827" s="20" t="e">
        <f>VLOOKUP(G827,MD!M$2:O$93,3,FALSE)</f>
        <v>#N/A</v>
      </c>
      <c r="K827" s="29"/>
      <c r="P827" s="22"/>
      <c r="X827" s="22"/>
    </row>
    <row r="828" spans="10:24">
      <c r="J828" s="20" t="e">
        <f>VLOOKUP(G828,MD!M$2:O$93,3,FALSE)</f>
        <v>#N/A</v>
      </c>
      <c r="K828" s="29"/>
      <c r="P828" s="22"/>
      <c r="X828" s="22"/>
    </row>
    <row r="829" spans="10:24">
      <c r="J829" s="20" t="e">
        <f>VLOOKUP(G829,MD!M$2:O$93,3,FALSE)</f>
        <v>#N/A</v>
      </c>
      <c r="K829" s="29"/>
      <c r="P829" s="22"/>
      <c r="X829" s="22"/>
    </row>
    <row r="830" spans="10:24">
      <c r="J830" s="20" t="e">
        <f>VLOOKUP(G830,MD!M$2:O$93,3,FALSE)</f>
        <v>#N/A</v>
      </c>
      <c r="K830" s="29"/>
      <c r="P830" s="22"/>
      <c r="X830" s="22"/>
    </row>
    <row r="831" spans="10:24">
      <c r="J831" s="20" t="e">
        <f>VLOOKUP(G831,MD!M$2:O$93,3,FALSE)</f>
        <v>#N/A</v>
      </c>
      <c r="K831" s="29"/>
      <c r="P831" s="22"/>
      <c r="X831" s="22"/>
    </row>
    <row r="832" spans="10:24">
      <c r="J832" s="20" t="e">
        <f>VLOOKUP(G832,MD!M$2:O$93,3,FALSE)</f>
        <v>#N/A</v>
      </c>
      <c r="K832" s="29"/>
      <c r="P832" s="22"/>
      <c r="X832" s="22"/>
    </row>
    <row r="833" spans="10:24">
      <c r="J833" s="20" t="e">
        <f>VLOOKUP(G833,MD!M$2:O$93,3,FALSE)</f>
        <v>#N/A</v>
      </c>
      <c r="K833" s="29"/>
      <c r="P833" s="22"/>
      <c r="X833" s="22"/>
    </row>
    <row r="834" spans="10:24">
      <c r="J834" s="20" t="e">
        <f>VLOOKUP(G834,MD!M$2:O$93,3,FALSE)</f>
        <v>#N/A</v>
      </c>
      <c r="K834" s="29"/>
      <c r="P834" s="22"/>
      <c r="X834" s="22"/>
    </row>
    <row r="835" spans="10:24">
      <c r="J835" s="20" t="e">
        <f>VLOOKUP(G835,MD!M$2:O$93,3,FALSE)</f>
        <v>#N/A</v>
      </c>
      <c r="K835" s="29"/>
      <c r="P835" s="22"/>
      <c r="X835" s="22"/>
    </row>
    <row r="836" spans="10:24">
      <c r="J836" s="20" t="e">
        <f>VLOOKUP(G836,MD!M$2:O$93,3,FALSE)</f>
        <v>#N/A</v>
      </c>
      <c r="K836" s="29"/>
      <c r="P836" s="22"/>
      <c r="X836" s="22"/>
    </row>
    <row r="837" spans="10:24">
      <c r="J837" s="20" t="e">
        <f>VLOOKUP(G837,MD!M$2:O$93,3,FALSE)</f>
        <v>#N/A</v>
      </c>
      <c r="K837" s="29"/>
      <c r="P837" s="22"/>
      <c r="X837" s="22"/>
    </row>
    <row r="838" spans="10:24">
      <c r="J838" s="20" t="e">
        <f>VLOOKUP(G838,MD!M$2:O$93,3,FALSE)</f>
        <v>#N/A</v>
      </c>
      <c r="K838" s="29"/>
      <c r="P838" s="22"/>
      <c r="X838" s="22"/>
    </row>
    <row r="839" spans="10:24">
      <c r="J839" s="20" t="e">
        <f>VLOOKUP(G839,MD!M$2:O$93,3,FALSE)</f>
        <v>#N/A</v>
      </c>
      <c r="K839" s="29"/>
      <c r="P839" s="22"/>
      <c r="X839" s="22"/>
    </row>
    <row r="840" spans="10:24">
      <c r="J840" s="20" t="e">
        <f>VLOOKUP(G840,MD!M$2:O$93,3,FALSE)</f>
        <v>#N/A</v>
      </c>
      <c r="K840" s="29"/>
      <c r="P840" s="22"/>
      <c r="X840" s="22"/>
    </row>
    <row r="841" spans="10:24">
      <c r="J841" s="20" t="e">
        <f>VLOOKUP(G841,MD!M$2:O$93,3,FALSE)</f>
        <v>#N/A</v>
      </c>
      <c r="K841" s="29"/>
      <c r="P841" s="22"/>
      <c r="X841" s="22"/>
    </row>
    <row r="842" spans="10:24">
      <c r="J842" s="20" t="e">
        <f>VLOOKUP(G842,MD!M$2:O$93,3,FALSE)</f>
        <v>#N/A</v>
      </c>
      <c r="K842" s="29"/>
      <c r="P842" s="22"/>
      <c r="X842" s="22"/>
    </row>
    <row r="843" spans="10:24">
      <c r="J843" s="20" t="e">
        <f>VLOOKUP(G843,MD!M$2:O$93,3,FALSE)</f>
        <v>#N/A</v>
      </c>
      <c r="K843" s="29"/>
      <c r="P843" s="22"/>
      <c r="X843" s="22"/>
    </row>
    <row r="844" spans="10:24">
      <c r="J844" s="20" t="e">
        <f>VLOOKUP(G844,MD!M$2:O$93,3,FALSE)</f>
        <v>#N/A</v>
      </c>
      <c r="K844" s="29"/>
      <c r="P844" s="22"/>
      <c r="X844" s="22"/>
    </row>
    <row r="845" spans="10:24">
      <c r="J845" s="20" t="e">
        <f>VLOOKUP(G845,MD!M$2:O$93,3,FALSE)</f>
        <v>#N/A</v>
      </c>
      <c r="K845" s="29"/>
      <c r="P845" s="22"/>
      <c r="X845" s="22"/>
    </row>
    <row r="846" spans="10:24">
      <c r="J846" s="20" t="e">
        <f>VLOOKUP(G846,MD!M$2:O$93,3,FALSE)</f>
        <v>#N/A</v>
      </c>
      <c r="K846" s="29"/>
      <c r="P846" s="22"/>
      <c r="X846" s="22"/>
    </row>
    <row r="847" spans="10:24">
      <c r="J847" s="20" t="e">
        <f>VLOOKUP(G847,MD!M$2:O$93,3,FALSE)</f>
        <v>#N/A</v>
      </c>
      <c r="K847" s="29"/>
      <c r="P847" s="22"/>
      <c r="X847" s="22"/>
    </row>
    <row r="848" spans="10:24">
      <c r="J848" s="20" t="e">
        <f>VLOOKUP(G848,MD!M$2:O$93,3,FALSE)</f>
        <v>#N/A</v>
      </c>
      <c r="K848" s="29"/>
      <c r="P848" s="22"/>
      <c r="X848" s="22"/>
    </row>
    <row r="849" spans="10:24">
      <c r="J849" s="20" t="e">
        <f>VLOOKUP(G849,MD!M$2:O$93,3,FALSE)</f>
        <v>#N/A</v>
      </c>
      <c r="K849" s="29"/>
      <c r="P849" s="22"/>
      <c r="X849" s="22"/>
    </row>
    <row r="850" spans="10:24">
      <c r="J850" s="20" t="e">
        <f>VLOOKUP(G850,MD!M$2:O$93,3,FALSE)</f>
        <v>#N/A</v>
      </c>
      <c r="K850" s="29"/>
      <c r="P850" s="22"/>
      <c r="X850" s="22"/>
    </row>
    <row r="851" spans="10:24">
      <c r="J851" s="20" t="e">
        <f>VLOOKUP(G851,MD!M$2:O$93,3,FALSE)</f>
        <v>#N/A</v>
      </c>
      <c r="K851" s="29"/>
      <c r="P851" s="22"/>
      <c r="X851" s="22"/>
    </row>
    <row r="852" spans="10:24">
      <c r="J852" s="20" t="e">
        <f>VLOOKUP(G852,MD!M$2:O$93,3,FALSE)</f>
        <v>#N/A</v>
      </c>
      <c r="K852" s="29"/>
      <c r="P852" s="22"/>
      <c r="X852" s="22"/>
    </row>
    <row r="853" spans="10:24">
      <c r="J853" s="20" t="e">
        <f>VLOOKUP(G853,MD!M$2:O$93,3,FALSE)</f>
        <v>#N/A</v>
      </c>
      <c r="K853" s="29"/>
      <c r="P853" s="22"/>
      <c r="X853" s="22"/>
    </row>
    <row r="854" spans="10:24">
      <c r="J854" s="20" t="e">
        <f>VLOOKUP(G854,MD!M$2:O$93,3,FALSE)</f>
        <v>#N/A</v>
      </c>
      <c r="K854" s="29"/>
      <c r="P854" s="22"/>
      <c r="X854" s="22"/>
    </row>
    <row r="855" spans="10:24">
      <c r="J855" s="20" t="e">
        <f>VLOOKUP(G855,MD!M$2:O$93,3,FALSE)</f>
        <v>#N/A</v>
      </c>
      <c r="K855" s="29"/>
      <c r="P855" s="22"/>
      <c r="X855" s="22"/>
    </row>
    <row r="856" spans="10:24">
      <c r="J856" s="20" t="e">
        <f>VLOOKUP(G856,MD!M$2:O$93,3,FALSE)</f>
        <v>#N/A</v>
      </c>
      <c r="K856" s="29"/>
      <c r="P856" s="22"/>
      <c r="X856" s="22"/>
    </row>
    <row r="857" spans="10:24">
      <c r="J857" s="20" t="e">
        <f>VLOOKUP(G857,MD!M$2:O$93,3,FALSE)</f>
        <v>#N/A</v>
      </c>
      <c r="K857" s="29"/>
      <c r="P857" s="22"/>
      <c r="X857" s="22"/>
    </row>
    <row r="858" spans="10:24">
      <c r="J858" s="20" t="e">
        <f>VLOOKUP(G858,MD!M$2:O$93,3,FALSE)</f>
        <v>#N/A</v>
      </c>
      <c r="K858" s="29"/>
      <c r="P858" s="22"/>
      <c r="X858" s="22"/>
    </row>
    <row r="859" spans="10:24">
      <c r="J859" s="20" t="e">
        <f>VLOOKUP(G859,MD!M$2:O$93,3,FALSE)</f>
        <v>#N/A</v>
      </c>
      <c r="K859" s="29"/>
      <c r="P859" s="22"/>
      <c r="X859" s="22"/>
    </row>
    <row r="860" spans="10:24">
      <c r="J860" s="20" t="e">
        <f>VLOOKUP(G860,MD!M$2:O$93,3,FALSE)</f>
        <v>#N/A</v>
      </c>
      <c r="K860" s="29"/>
      <c r="P860" s="22"/>
      <c r="X860" s="22"/>
    </row>
    <row r="861" spans="10:24">
      <c r="J861" s="20" t="e">
        <f>VLOOKUP(G861,MD!M$2:O$93,3,FALSE)</f>
        <v>#N/A</v>
      </c>
      <c r="K861" s="29"/>
      <c r="P861" s="22"/>
      <c r="X861" s="22"/>
    </row>
    <row r="862" spans="10:24">
      <c r="J862" s="20" t="e">
        <f>VLOOKUP(G862,MD!M$2:O$93,3,FALSE)</f>
        <v>#N/A</v>
      </c>
      <c r="K862" s="29"/>
      <c r="P862" s="22"/>
      <c r="X862" s="22"/>
    </row>
    <row r="863" spans="10:24">
      <c r="J863" s="20" t="e">
        <f>VLOOKUP(G863,MD!M$2:O$93,3,FALSE)</f>
        <v>#N/A</v>
      </c>
      <c r="K863" s="29"/>
      <c r="P863" s="22"/>
      <c r="X863" s="22"/>
    </row>
    <row r="864" spans="10:24">
      <c r="J864" s="20" t="e">
        <f>VLOOKUP(G864,MD!M$2:O$93,3,FALSE)</f>
        <v>#N/A</v>
      </c>
      <c r="K864" s="29"/>
      <c r="P864" s="22"/>
      <c r="X864" s="22"/>
    </row>
    <row r="865" spans="10:24">
      <c r="J865" s="20" t="e">
        <f>VLOOKUP(G865,MD!M$2:O$93,3,FALSE)</f>
        <v>#N/A</v>
      </c>
      <c r="K865" s="29"/>
      <c r="P865" s="22"/>
      <c r="X865" s="22"/>
    </row>
    <row r="866" spans="10:24">
      <c r="J866" s="20" t="e">
        <f>VLOOKUP(G866,MD!M$2:O$93,3,FALSE)</f>
        <v>#N/A</v>
      </c>
      <c r="K866" s="29"/>
      <c r="P866" s="22"/>
      <c r="X866" s="22"/>
    </row>
    <row r="867" spans="10:24">
      <c r="J867" s="20" t="e">
        <f>VLOOKUP(G867,MD!M$2:O$93,3,FALSE)</f>
        <v>#N/A</v>
      </c>
      <c r="K867" s="29"/>
      <c r="P867" s="22"/>
      <c r="X867" s="22"/>
    </row>
    <row r="868" spans="10:24">
      <c r="J868" s="20" t="e">
        <f>VLOOKUP(G868,MD!M$2:O$93,3,FALSE)</f>
        <v>#N/A</v>
      </c>
      <c r="K868" s="29"/>
      <c r="P868" s="22"/>
      <c r="X868" s="22"/>
    </row>
    <row r="869" spans="10:24">
      <c r="J869" s="20" t="e">
        <f>VLOOKUP(G869,MD!M$2:O$93,3,FALSE)</f>
        <v>#N/A</v>
      </c>
      <c r="K869" s="29"/>
      <c r="P869" s="22"/>
      <c r="X869" s="22"/>
    </row>
    <row r="870" spans="10:24">
      <c r="J870" s="20" t="e">
        <f>VLOOKUP(G870,MD!M$2:O$93,3,FALSE)</f>
        <v>#N/A</v>
      </c>
      <c r="K870" s="29"/>
      <c r="P870" s="22"/>
      <c r="X870" s="22"/>
    </row>
    <row r="871" spans="10:24">
      <c r="J871" s="20" t="e">
        <f>VLOOKUP(G871,MD!M$2:O$93,3,FALSE)</f>
        <v>#N/A</v>
      </c>
      <c r="K871" s="29"/>
      <c r="P871" s="22"/>
      <c r="X871" s="22"/>
    </row>
    <row r="872" spans="10:24">
      <c r="J872" s="20" t="e">
        <f>VLOOKUP(G872,MD!M$2:O$93,3,FALSE)</f>
        <v>#N/A</v>
      </c>
      <c r="K872" s="29"/>
      <c r="P872" s="22"/>
      <c r="X872" s="22"/>
    </row>
    <row r="873" spans="10:24">
      <c r="J873" s="20" t="e">
        <f>VLOOKUP(G873,MD!M$2:O$93,3,FALSE)</f>
        <v>#N/A</v>
      </c>
      <c r="K873" s="29"/>
      <c r="P873" s="22"/>
      <c r="X873" s="22"/>
    </row>
    <row r="874" spans="10:24">
      <c r="J874" s="20" t="e">
        <f>VLOOKUP(G874,MD!M$2:O$93,3,FALSE)</f>
        <v>#N/A</v>
      </c>
      <c r="K874" s="29"/>
      <c r="P874" s="22"/>
      <c r="X874" s="22"/>
    </row>
    <row r="875" spans="10:24">
      <c r="J875" s="20" t="e">
        <f>VLOOKUP(G875,MD!M$2:O$93,3,FALSE)</f>
        <v>#N/A</v>
      </c>
      <c r="K875" s="29"/>
      <c r="P875" s="22"/>
      <c r="X875" s="22"/>
    </row>
    <row r="876" spans="10:24">
      <c r="J876" s="20" t="e">
        <f>VLOOKUP(G876,MD!M$2:O$93,3,FALSE)</f>
        <v>#N/A</v>
      </c>
      <c r="K876" s="29"/>
      <c r="P876" s="22"/>
      <c r="X876" s="22"/>
    </row>
    <row r="877" spans="10:24">
      <c r="J877" s="20" t="e">
        <f>VLOOKUP(G877,MD!M$2:O$93,3,FALSE)</f>
        <v>#N/A</v>
      </c>
      <c r="K877" s="29"/>
      <c r="P877" s="22"/>
      <c r="X877" s="22"/>
    </row>
    <row r="878" spans="10:24">
      <c r="J878" s="20" t="e">
        <f>VLOOKUP(G878,MD!M$2:O$93,3,FALSE)</f>
        <v>#N/A</v>
      </c>
      <c r="K878" s="29"/>
      <c r="P878" s="22"/>
      <c r="X878" s="22"/>
    </row>
    <row r="879" spans="10:24">
      <c r="J879" s="20" t="e">
        <f>VLOOKUP(G879,MD!M$2:O$93,3,FALSE)</f>
        <v>#N/A</v>
      </c>
      <c r="K879" s="29"/>
      <c r="P879" s="22"/>
      <c r="X879" s="22"/>
    </row>
    <row r="880" spans="10:24">
      <c r="J880" s="20" t="e">
        <f>VLOOKUP(G880,MD!M$2:O$93,3,FALSE)</f>
        <v>#N/A</v>
      </c>
      <c r="K880" s="29"/>
      <c r="P880" s="22"/>
      <c r="X880" s="22"/>
    </row>
    <row r="881" spans="10:24">
      <c r="J881" s="20" t="e">
        <f>VLOOKUP(G881,MD!M$2:O$93,3,FALSE)</f>
        <v>#N/A</v>
      </c>
      <c r="K881" s="29"/>
      <c r="P881" s="22"/>
      <c r="X881" s="22"/>
    </row>
    <row r="882" spans="10:24">
      <c r="J882" s="20" t="e">
        <f>VLOOKUP(G882,MD!M$2:O$93,3,FALSE)</f>
        <v>#N/A</v>
      </c>
      <c r="K882" s="29"/>
      <c r="P882" s="22"/>
      <c r="X882" s="22"/>
    </row>
    <row r="883" spans="10:24">
      <c r="J883" s="20" t="e">
        <f>VLOOKUP(G883,MD!M$2:O$93,3,FALSE)</f>
        <v>#N/A</v>
      </c>
      <c r="K883" s="29"/>
      <c r="P883" s="22"/>
      <c r="X883" s="22"/>
    </row>
    <row r="884" spans="10:24">
      <c r="J884" s="20" t="e">
        <f>VLOOKUP(G884,MD!M$2:O$93,3,FALSE)</f>
        <v>#N/A</v>
      </c>
      <c r="K884" s="29"/>
      <c r="P884" s="22"/>
      <c r="X884" s="22"/>
    </row>
    <row r="885" spans="10:24">
      <c r="J885" s="20" t="e">
        <f>VLOOKUP(G885,MD!M$2:O$93,3,FALSE)</f>
        <v>#N/A</v>
      </c>
      <c r="K885" s="29"/>
      <c r="P885" s="22"/>
      <c r="X885" s="22"/>
    </row>
    <row r="886" spans="10:24">
      <c r="J886" s="20" t="e">
        <f>VLOOKUP(G886,MD!M$2:O$93,3,FALSE)</f>
        <v>#N/A</v>
      </c>
      <c r="K886" s="29"/>
      <c r="P886" s="22"/>
      <c r="X886" s="22"/>
    </row>
    <row r="887" spans="10:24">
      <c r="J887" s="20" t="e">
        <f>VLOOKUP(G887,MD!M$2:O$93,3,FALSE)</f>
        <v>#N/A</v>
      </c>
      <c r="K887" s="29"/>
      <c r="P887" s="22"/>
      <c r="X887" s="22"/>
    </row>
    <row r="888" spans="10:24">
      <c r="J888" s="20" t="e">
        <f>VLOOKUP(G888,MD!M$2:O$93,3,FALSE)</f>
        <v>#N/A</v>
      </c>
      <c r="K888" s="29"/>
      <c r="P888" s="22"/>
      <c r="X888" s="22"/>
    </row>
    <row r="889" spans="10:24">
      <c r="J889" s="20" t="e">
        <f>VLOOKUP(G889,MD!M$2:O$93,3,FALSE)</f>
        <v>#N/A</v>
      </c>
      <c r="K889" s="29"/>
      <c r="P889" s="22"/>
      <c r="X889" s="22"/>
    </row>
    <row r="890" spans="10:24">
      <c r="J890" s="20" t="e">
        <f>VLOOKUP(G890,MD!M$2:O$93,3,FALSE)</f>
        <v>#N/A</v>
      </c>
      <c r="K890" s="29"/>
      <c r="P890" s="22"/>
      <c r="X890" s="22"/>
    </row>
    <row r="891" spans="10:24">
      <c r="J891" s="20" t="e">
        <f>VLOOKUP(G891,MD!M$2:O$93,3,FALSE)</f>
        <v>#N/A</v>
      </c>
      <c r="K891" s="29"/>
      <c r="P891" s="22"/>
      <c r="X891" s="22"/>
    </row>
    <row r="892" spans="10:24">
      <c r="J892" s="20" t="e">
        <f>VLOOKUP(G892,MD!M$2:O$93,3,FALSE)</f>
        <v>#N/A</v>
      </c>
      <c r="K892" s="29"/>
      <c r="P892" s="22"/>
      <c r="X892" s="22"/>
    </row>
    <row r="893" spans="10:24">
      <c r="J893" s="20" t="e">
        <f>VLOOKUP(G893,MD!M$2:O$93,3,FALSE)</f>
        <v>#N/A</v>
      </c>
      <c r="K893" s="29"/>
      <c r="P893" s="22"/>
      <c r="X893" s="22"/>
    </row>
    <row r="894" spans="10:24">
      <c r="J894" s="20" t="e">
        <f>VLOOKUP(G894,MD!M$2:O$93,3,FALSE)</f>
        <v>#N/A</v>
      </c>
      <c r="K894" s="29"/>
      <c r="P894" s="22"/>
      <c r="X894" s="22"/>
    </row>
    <row r="895" spans="10:24">
      <c r="J895" s="20" t="e">
        <f>VLOOKUP(G895,MD!M$2:O$93,3,FALSE)</f>
        <v>#N/A</v>
      </c>
      <c r="K895" s="29"/>
      <c r="P895" s="22"/>
      <c r="X895" s="22"/>
    </row>
    <row r="896" spans="10:24">
      <c r="J896" s="20" t="e">
        <f>VLOOKUP(G896,MD!M$2:O$93,3,FALSE)</f>
        <v>#N/A</v>
      </c>
      <c r="K896" s="29"/>
      <c r="P896" s="22"/>
      <c r="X896" s="22"/>
    </row>
    <row r="897" spans="10:24">
      <c r="J897" s="20" t="e">
        <f>VLOOKUP(G897,MD!M$2:O$93,3,FALSE)</f>
        <v>#N/A</v>
      </c>
      <c r="K897" s="29"/>
      <c r="P897" s="22"/>
      <c r="X897" s="22"/>
    </row>
    <row r="898" spans="10:24">
      <c r="J898" s="20" t="e">
        <f>VLOOKUP(G898,MD!M$2:O$93,3,FALSE)</f>
        <v>#N/A</v>
      </c>
      <c r="K898" s="29"/>
      <c r="P898" s="22"/>
      <c r="X898" s="22"/>
    </row>
    <row r="899" spans="10:24">
      <c r="J899" s="20" t="e">
        <f>VLOOKUP(G899,MD!M$2:O$93,3,FALSE)</f>
        <v>#N/A</v>
      </c>
      <c r="K899" s="29"/>
      <c r="P899" s="22"/>
      <c r="X899" s="22"/>
    </row>
    <row r="900" spans="10:24">
      <c r="J900" s="20" t="e">
        <f>VLOOKUP(G900,MD!M$2:O$93,3,FALSE)</f>
        <v>#N/A</v>
      </c>
      <c r="K900" s="29"/>
      <c r="P900" s="22"/>
      <c r="X900" s="22"/>
    </row>
    <row r="901" spans="10:24">
      <c r="J901" s="20" t="e">
        <f>VLOOKUP(G901,MD!M$2:O$93,3,FALSE)</f>
        <v>#N/A</v>
      </c>
      <c r="K901" s="29"/>
      <c r="P901" s="22"/>
      <c r="X901" s="22"/>
    </row>
    <row r="902" spans="10:24">
      <c r="J902" s="20" t="e">
        <f>VLOOKUP(G902,MD!M$2:O$93,3,FALSE)</f>
        <v>#N/A</v>
      </c>
      <c r="K902" s="29"/>
      <c r="P902" s="22"/>
      <c r="X902" s="22"/>
    </row>
    <row r="903" spans="10:24">
      <c r="J903" s="20" t="e">
        <f>VLOOKUP(G903,MD!M$2:O$93,3,FALSE)</f>
        <v>#N/A</v>
      </c>
      <c r="K903" s="29"/>
      <c r="P903" s="22"/>
      <c r="X903" s="22"/>
    </row>
    <row r="904" spans="10:24">
      <c r="J904" s="20" t="e">
        <f>VLOOKUP(G904,MD!M$2:O$93,3,FALSE)</f>
        <v>#N/A</v>
      </c>
      <c r="K904" s="29"/>
      <c r="P904" s="22"/>
      <c r="X904" s="22"/>
    </row>
    <row r="905" spans="10:24">
      <c r="J905" s="20" t="e">
        <f>VLOOKUP(G905,MD!M$2:O$93,3,FALSE)</f>
        <v>#N/A</v>
      </c>
      <c r="K905" s="29"/>
      <c r="P905" s="22"/>
      <c r="X905" s="22"/>
    </row>
    <row r="906" spans="10:24">
      <c r="J906" s="20" t="e">
        <f>VLOOKUP(G906,MD!M$2:O$93,3,FALSE)</f>
        <v>#N/A</v>
      </c>
      <c r="K906" s="29"/>
      <c r="P906" s="22"/>
      <c r="X906" s="22"/>
    </row>
    <row r="907" spans="10:24">
      <c r="J907" s="20" t="e">
        <f>VLOOKUP(G907,MD!M$2:O$93,3,FALSE)</f>
        <v>#N/A</v>
      </c>
      <c r="K907" s="29"/>
      <c r="P907" s="22"/>
      <c r="X907" s="22"/>
    </row>
    <row r="908" spans="10:24">
      <c r="J908" s="20" t="e">
        <f>VLOOKUP(G908,MD!M$2:O$93,3,FALSE)</f>
        <v>#N/A</v>
      </c>
      <c r="K908" s="29"/>
      <c r="P908" s="22"/>
      <c r="X908" s="22"/>
    </row>
    <row r="909" spans="10:24">
      <c r="J909" s="20" t="e">
        <f>VLOOKUP(G909,MD!M$2:O$93,3,FALSE)</f>
        <v>#N/A</v>
      </c>
      <c r="K909" s="29"/>
      <c r="P909" s="22"/>
      <c r="X909" s="22"/>
    </row>
    <row r="910" spans="10:24">
      <c r="J910" s="20" t="e">
        <f>VLOOKUP(G910,MD!M$2:O$93,3,FALSE)</f>
        <v>#N/A</v>
      </c>
      <c r="K910" s="29"/>
      <c r="P910" s="22"/>
      <c r="X910" s="22"/>
    </row>
    <row r="911" spans="10:24">
      <c r="J911" s="20" t="e">
        <f>VLOOKUP(G911,MD!M$2:O$93,3,FALSE)</f>
        <v>#N/A</v>
      </c>
      <c r="K911" s="29"/>
      <c r="P911" s="22"/>
      <c r="X911" s="22"/>
    </row>
    <row r="912" spans="10:24">
      <c r="J912" s="20" t="e">
        <f>VLOOKUP(G912,MD!M$2:O$93,3,FALSE)</f>
        <v>#N/A</v>
      </c>
      <c r="K912" s="29"/>
      <c r="P912" s="22"/>
      <c r="X912" s="22"/>
    </row>
    <row r="913" spans="10:24">
      <c r="J913" s="20" t="e">
        <f>VLOOKUP(G913,MD!M$2:O$93,3,FALSE)</f>
        <v>#N/A</v>
      </c>
      <c r="K913" s="29"/>
      <c r="P913" s="22"/>
      <c r="X913" s="22"/>
    </row>
    <row r="914" spans="10:24">
      <c r="J914" s="20" t="e">
        <f>VLOOKUP(G914,MD!M$2:O$93,3,FALSE)</f>
        <v>#N/A</v>
      </c>
      <c r="K914" s="29"/>
      <c r="P914" s="22"/>
      <c r="X914" s="22"/>
    </row>
    <row r="915" spans="10:24">
      <c r="J915" s="20" t="e">
        <f>VLOOKUP(G915,MD!M$2:O$93,3,FALSE)</f>
        <v>#N/A</v>
      </c>
      <c r="K915" s="29"/>
      <c r="P915" s="22"/>
      <c r="X915" s="22"/>
    </row>
    <row r="916" spans="10:24">
      <c r="J916" s="20" t="e">
        <f>VLOOKUP(G916,MD!M$2:O$93,3,FALSE)</f>
        <v>#N/A</v>
      </c>
      <c r="K916" s="29"/>
      <c r="P916" s="22"/>
      <c r="X916" s="22"/>
    </row>
    <row r="917" spans="10:24">
      <c r="J917" s="20" t="e">
        <f>VLOOKUP(G917,MD!M$2:O$93,3,FALSE)</f>
        <v>#N/A</v>
      </c>
      <c r="K917" s="29"/>
      <c r="P917" s="22"/>
      <c r="X917" s="22"/>
    </row>
    <row r="918" spans="10:24">
      <c r="J918" s="20" t="e">
        <f>VLOOKUP(G918,MD!M$2:O$93,3,FALSE)</f>
        <v>#N/A</v>
      </c>
      <c r="K918" s="29"/>
      <c r="P918" s="22"/>
      <c r="X918" s="22"/>
    </row>
    <row r="919" spans="10:24">
      <c r="J919" s="20" t="e">
        <f>VLOOKUP(G919,MD!M$2:O$93,3,FALSE)</f>
        <v>#N/A</v>
      </c>
      <c r="K919" s="29"/>
      <c r="P919" s="22"/>
      <c r="X919" s="22"/>
    </row>
    <row r="920" spans="10:24">
      <c r="J920" s="20" t="e">
        <f>VLOOKUP(G920,MD!M$2:O$93,3,FALSE)</f>
        <v>#N/A</v>
      </c>
      <c r="K920" s="29"/>
      <c r="P920" s="22"/>
      <c r="X920" s="22"/>
    </row>
    <row r="921" spans="10:24">
      <c r="J921" s="20" t="e">
        <f>VLOOKUP(G921,MD!M$2:O$93,3,FALSE)</f>
        <v>#N/A</v>
      </c>
      <c r="K921" s="29"/>
      <c r="P921" s="22"/>
      <c r="X921" s="22"/>
    </row>
    <row r="922" spans="10:24">
      <c r="J922" s="20" t="e">
        <f>VLOOKUP(G922,MD!M$2:O$93,3,FALSE)</f>
        <v>#N/A</v>
      </c>
      <c r="K922" s="29"/>
      <c r="P922" s="22"/>
      <c r="X922" s="22"/>
    </row>
    <row r="923" spans="10:24">
      <c r="J923" s="20" t="e">
        <f>VLOOKUP(G923,MD!M$2:O$93,3,FALSE)</f>
        <v>#N/A</v>
      </c>
      <c r="K923" s="29"/>
      <c r="P923" s="22"/>
      <c r="X923" s="22"/>
    </row>
    <row r="924" spans="10:24">
      <c r="J924" s="20" t="e">
        <f>VLOOKUP(G924,MD!M$2:O$93,3,FALSE)</f>
        <v>#N/A</v>
      </c>
      <c r="K924" s="29"/>
      <c r="P924" s="22"/>
      <c r="X924" s="22"/>
    </row>
    <row r="925" spans="10:24">
      <c r="J925" s="20" t="e">
        <f>VLOOKUP(G925,MD!M$2:O$93,3,FALSE)</f>
        <v>#N/A</v>
      </c>
      <c r="K925" s="29"/>
      <c r="P925" s="22"/>
      <c r="X925" s="22"/>
    </row>
    <row r="926" spans="10:24">
      <c r="J926" s="20" t="e">
        <f>VLOOKUP(G926,MD!M$2:O$93,3,FALSE)</f>
        <v>#N/A</v>
      </c>
      <c r="K926" s="29"/>
      <c r="P926" s="22"/>
      <c r="X926" s="22"/>
    </row>
    <row r="927" spans="10:24">
      <c r="J927" s="20" t="e">
        <f>VLOOKUP(G927,MD!M$2:O$93,3,FALSE)</f>
        <v>#N/A</v>
      </c>
      <c r="K927" s="29"/>
      <c r="P927" s="22"/>
      <c r="X927" s="22"/>
    </row>
    <row r="928" spans="10:24">
      <c r="J928" s="20" t="e">
        <f>VLOOKUP(G928,MD!M$2:O$93,3,FALSE)</f>
        <v>#N/A</v>
      </c>
      <c r="K928" s="29"/>
      <c r="P928" s="22"/>
      <c r="X928" s="22"/>
    </row>
    <row r="929" spans="10:24">
      <c r="J929" s="20" t="e">
        <f>VLOOKUP(G929,MD!M$2:O$93,3,FALSE)</f>
        <v>#N/A</v>
      </c>
      <c r="K929" s="29"/>
      <c r="P929" s="22"/>
      <c r="X929" s="22"/>
    </row>
    <row r="930" spans="10:24">
      <c r="J930" s="20" t="e">
        <f>VLOOKUP(G930,MD!M$2:O$93,3,FALSE)</f>
        <v>#N/A</v>
      </c>
      <c r="K930" s="29"/>
      <c r="P930" s="22"/>
      <c r="X930" s="22"/>
    </row>
    <row r="931" spans="10:24">
      <c r="J931" s="20" t="e">
        <f>VLOOKUP(G931,MD!M$2:O$93,3,FALSE)</f>
        <v>#N/A</v>
      </c>
      <c r="K931" s="29"/>
      <c r="P931" s="22"/>
      <c r="X931" s="22"/>
    </row>
    <row r="932" spans="10:24">
      <c r="J932" s="20" t="e">
        <f>VLOOKUP(G932,MD!M$2:O$93,3,FALSE)</f>
        <v>#N/A</v>
      </c>
      <c r="K932" s="29"/>
      <c r="P932" s="22"/>
      <c r="X932" s="22"/>
    </row>
    <row r="933" spans="10:24">
      <c r="J933" s="20" t="e">
        <f>VLOOKUP(G933,MD!M$2:O$93,3,FALSE)</f>
        <v>#N/A</v>
      </c>
      <c r="K933" s="29"/>
      <c r="P933" s="22"/>
      <c r="X933" s="22"/>
    </row>
    <row r="934" spans="10:24">
      <c r="J934" s="20" t="e">
        <f>VLOOKUP(G934,MD!M$2:O$93,3,FALSE)</f>
        <v>#N/A</v>
      </c>
      <c r="K934" s="29"/>
      <c r="P934" s="22"/>
      <c r="X934" s="22"/>
    </row>
    <row r="935" spans="10:24">
      <c r="J935" s="20" t="e">
        <f>VLOOKUP(G935,MD!M$2:O$93,3,FALSE)</f>
        <v>#N/A</v>
      </c>
      <c r="K935" s="29"/>
      <c r="P935" s="22"/>
      <c r="X935" s="22"/>
    </row>
    <row r="936" spans="10:24">
      <c r="J936" s="20" t="e">
        <f>VLOOKUP(G936,MD!M$2:O$93,3,FALSE)</f>
        <v>#N/A</v>
      </c>
      <c r="K936" s="29"/>
      <c r="P936" s="22"/>
      <c r="X936" s="22"/>
    </row>
    <row r="937" spans="10:24">
      <c r="J937" s="20" t="e">
        <f>VLOOKUP(G937,MD!M$2:O$93,3,FALSE)</f>
        <v>#N/A</v>
      </c>
      <c r="K937" s="29"/>
      <c r="P937" s="22"/>
      <c r="X937" s="22"/>
    </row>
    <row r="938" spans="10:24">
      <c r="J938" s="20" t="e">
        <f>VLOOKUP(G938,MD!M$2:O$93,3,FALSE)</f>
        <v>#N/A</v>
      </c>
      <c r="K938" s="29"/>
      <c r="P938" s="22"/>
      <c r="X938" s="22"/>
    </row>
    <row r="939" spans="10:24">
      <c r="J939" s="20" t="e">
        <f>VLOOKUP(G939,MD!M$2:O$93,3,FALSE)</f>
        <v>#N/A</v>
      </c>
      <c r="K939" s="29"/>
      <c r="P939" s="22"/>
      <c r="X939" s="22"/>
    </row>
    <row r="940" spans="10:24">
      <c r="J940" s="20" t="e">
        <f>VLOOKUP(G940,MD!M$2:O$93,3,FALSE)</f>
        <v>#N/A</v>
      </c>
      <c r="K940" s="29"/>
      <c r="P940" s="22"/>
      <c r="X940" s="22"/>
    </row>
    <row r="941" spans="10:24">
      <c r="J941" s="20" t="e">
        <f>VLOOKUP(G941,MD!M$2:O$93,3,FALSE)</f>
        <v>#N/A</v>
      </c>
      <c r="K941" s="29"/>
      <c r="P941" s="22"/>
      <c r="X941" s="22"/>
    </row>
    <row r="942" spans="10:24">
      <c r="J942" s="20" t="e">
        <f>VLOOKUP(G942,MD!M$2:O$93,3,FALSE)</f>
        <v>#N/A</v>
      </c>
      <c r="K942" s="29"/>
      <c r="P942" s="22"/>
      <c r="X942" s="22"/>
    </row>
    <row r="943" spans="10:24">
      <c r="J943" s="20" t="e">
        <f>VLOOKUP(G943,MD!M$2:O$93,3,FALSE)</f>
        <v>#N/A</v>
      </c>
      <c r="K943" s="29"/>
      <c r="P943" s="22"/>
      <c r="X943" s="22"/>
    </row>
    <row r="944" spans="10:24">
      <c r="J944" s="20" t="e">
        <f>VLOOKUP(G944,MD!M$2:O$93,3,FALSE)</f>
        <v>#N/A</v>
      </c>
      <c r="K944" s="29"/>
      <c r="P944" s="22"/>
      <c r="X944" s="22"/>
    </row>
    <row r="945" spans="10:24">
      <c r="J945" s="20" t="e">
        <f>VLOOKUP(G945,MD!M$2:O$93,3,FALSE)</f>
        <v>#N/A</v>
      </c>
      <c r="K945" s="29"/>
      <c r="P945" s="22"/>
      <c r="X945" s="22"/>
    </row>
    <row r="946" spans="10:24">
      <c r="J946" s="20" t="e">
        <f>VLOOKUP(G946,MD!M$2:O$93,3,FALSE)</f>
        <v>#N/A</v>
      </c>
      <c r="K946" s="29"/>
      <c r="P946" s="22"/>
      <c r="X946" s="22"/>
    </row>
    <row r="947" spans="10:24">
      <c r="J947" s="20" t="e">
        <f>VLOOKUP(G947,MD!M$2:O$93,3,FALSE)</f>
        <v>#N/A</v>
      </c>
      <c r="K947" s="29"/>
      <c r="P947" s="22"/>
      <c r="X947" s="22"/>
    </row>
    <row r="948" spans="10:24">
      <c r="J948" s="20" t="e">
        <f>VLOOKUP(G948,MD!M$2:O$93,3,FALSE)</f>
        <v>#N/A</v>
      </c>
      <c r="K948" s="29"/>
      <c r="P948" s="22"/>
      <c r="X948" s="22"/>
    </row>
    <row r="949" spans="10:24">
      <c r="J949" s="20" t="e">
        <f>VLOOKUP(G949,MD!M$2:O$93,3,FALSE)</f>
        <v>#N/A</v>
      </c>
      <c r="K949" s="29"/>
      <c r="P949" s="22"/>
      <c r="X949" s="22"/>
    </row>
    <row r="950" spans="10:24">
      <c r="J950" s="20" t="e">
        <f>VLOOKUP(G950,MD!M$2:O$93,3,FALSE)</f>
        <v>#N/A</v>
      </c>
      <c r="K950" s="29"/>
      <c r="P950" s="22"/>
      <c r="X950" s="22"/>
    </row>
    <row r="951" spans="10:24">
      <c r="J951" s="20" t="e">
        <f>VLOOKUP(G951,MD!M$2:O$93,3,FALSE)</f>
        <v>#N/A</v>
      </c>
      <c r="K951" s="29"/>
      <c r="P951" s="22"/>
      <c r="X951" s="22"/>
    </row>
    <row r="952" spans="10:24">
      <c r="J952" s="20" t="e">
        <f>VLOOKUP(G952,MD!M$2:O$93,3,FALSE)</f>
        <v>#N/A</v>
      </c>
      <c r="K952" s="29"/>
      <c r="P952" s="22"/>
      <c r="X952" s="22"/>
    </row>
    <row r="953" spans="10:24">
      <c r="J953" s="20" t="e">
        <f>VLOOKUP(G953,MD!M$2:O$93,3,FALSE)</f>
        <v>#N/A</v>
      </c>
      <c r="K953" s="29"/>
      <c r="P953" s="22"/>
      <c r="X953" s="22"/>
    </row>
    <row r="954" spans="10:24">
      <c r="J954" s="20" t="e">
        <f>VLOOKUP(G954,MD!M$2:O$93,3,FALSE)</f>
        <v>#N/A</v>
      </c>
      <c r="K954" s="29"/>
      <c r="P954" s="22"/>
      <c r="X954" s="22"/>
    </row>
    <row r="955" spans="10:24">
      <c r="J955" s="20" t="e">
        <f>VLOOKUP(G955,MD!M$2:O$93,3,FALSE)</f>
        <v>#N/A</v>
      </c>
      <c r="K955" s="29"/>
      <c r="P955" s="22"/>
      <c r="X955" s="22"/>
    </row>
    <row r="956" spans="10:24">
      <c r="J956" s="20" t="e">
        <f>VLOOKUP(G956,MD!M$2:O$93,3,FALSE)</f>
        <v>#N/A</v>
      </c>
      <c r="K956" s="29"/>
      <c r="P956" s="22"/>
      <c r="X956" s="22"/>
    </row>
    <row r="957" spans="10:24">
      <c r="J957" s="20" t="e">
        <f>VLOOKUP(G957,MD!M$2:O$93,3,FALSE)</f>
        <v>#N/A</v>
      </c>
      <c r="K957" s="29"/>
      <c r="P957" s="22"/>
      <c r="X957" s="22"/>
    </row>
    <row r="958" spans="10:24">
      <c r="J958" s="20" t="e">
        <f>VLOOKUP(G958,MD!M$2:O$93,3,FALSE)</f>
        <v>#N/A</v>
      </c>
      <c r="K958" s="29"/>
      <c r="P958" s="22"/>
      <c r="X958" s="22"/>
    </row>
    <row r="959" spans="10:24">
      <c r="J959" s="20" t="e">
        <f>VLOOKUP(G959,MD!M$2:O$93,3,FALSE)</f>
        <v>#N/A</v>
      </c>
      <c r="K959" s="29"/>
      <c r="P959" s="22"/>
      <c r="X959" s="22"/>
    </row>
    <row r="960" spans="10:24">
      <c r="J960" s="20" t="e">
        <f>VLOOKUP(G960,MD!M$2:O$93,3,FALSE)</f>
        <v>#N/A</v>
      </c>
      <c r="K960" s="29"/>
      <c r="P960" s="22"/>
      <c r="X960" s="22"/>
    </row>
    <row r="961" spans="10:24">
      <c r="J961" s="20" t="e">
        <f>VLOOKUP(G961,MD!M$2:O$93,3,FALSE)</f>
        <v>#N/A</v>
      </c>
      <c r="K961" s="29"/>
      <c r="P961" s="22"/>
      <c r="X961" s="22"/>
    </row>
    <row r="962" spans="10:24">
      <c r="J962" s="20" t="e">
        <f>VLOOKUP(G962,MD!M$2:O$93,3,FALSE)</f>
        <v>#N/A</v>
      </c>
      <c r="K962" s="29"/>
      <c r="P962" s="22"/>
      <c r="X962" s="22"/>
    </row>
    <row r="963" spans="10:24">
      <c r="J963" s="20" t="e">
        <f>VLOOKUP(G963,MD!M$2:O$93,3,FALSE)</f>
        <v>#N/A</v>
      </c>
      <c r="K963" s="29"/>
      <c r="P963" s="22"/>
      <c r="X963" s="22"/>
    </row>
    <row r="964" spans="10:24">
      <c r="J964" s="20" t="e">
        <f>VLOOKUP(G964,MD!M$2:O$93,3,FALSE)</f>
        <v>#N/A</v>
      </c>
      <c r="K964" s="29"/>
      <c r="P964" s="22"/>
      <c r="X964" s="22"/>
    </row>
    <row r="965" spans="10:24">
      <c r="J965" s="20" t="e">
        <f>VLOOKUP(G965,MD!M$2:O$93,3,FALSE)</f>
        <v>#N/A</v>
      </c>
      <c r="K965" s="29"/>
      <c r="P965" s="22"/>
      <c r="X965" s="22"/>
    </row>
    <row r="966" spans="10:24">
      <c r="J966" s="20" t="e">
        <f>VLOOKUP(G966,MD!M$2:O$93,3,FALSE)</f>
        <v>#N/A</v>
      </c>
      <c r="K966" s="29"/>
      <c r="P966" s="22"/>
      <c r="X966" s="22"/>
    </row>
    <row r="967" spans="10:24">
      <c r="J967" s="20" t="e">
        <f>VLOOKUP(G967,MD!M$2:O$93,3,FALSE)</f>
        <v>#N/A</v>
      </c>
      <c r="K967" s="29"/>
      <c r="P967" s="22"/>
      <c r="X967" s="22"/>
    </row>
    <row r="968" spans="10:24">
      <c r="J968" s="20" t="e">
        <f>VLOOKUP(G968,MD!M$2:O$93,3,FALSE)</f>
        <v>#N/A</v>
      </c>
      <c r="K968" s="29"/>
      <c r="P968" s="22"/>
      <c r="X968" s="22"/>
    </row>
    <row r="969" spans="10:24">
      <c r="J969" s="20" t="e">
        <f>VLOOKUP(G969,MD!M$2:O$93,3,FALSE)</f>
        <v>#N/A</v>
      </c>
      <c r="K969" s="29"/>
      <c r="P969" s="22"/>
      <c r="X969" s="22"/>
    </row>
    <row r="970" spans="10:24">
      <c r="J970" s="20" t="e">
        <f>VLOOKUP(G970,MD!M$2:O$93,3,FALSE)</f>
        <v>#N/A</v>
      </c>
      <c r="K970" s="29"/>
      <c r="P970" s="22"/>
      <c r="X970" s="22"/>
    </row>
    <row r="971" spans="10:24">
      <c r="J971" s="20" t="e">
        <f>VLOOKUP(G971,MD!M$2:O$93,3,FALSE)</f>
        <v>#N/A</v>
      </c>
      <c r="K971" s="29"/>
      <c r="P971" s="22"/>
      <c r="X971" s="22"/>
    </row>
    <row r="972" spans="10:24">
      <c r="J972" s="20" t="e">
        <f>VLOOKUP(G972,MD!M$2:O$93,3,FALSE)</f>
        <v>#N/A</v>
      </c>
      <c r="K972" s="29"/>
      <c r="P972" s="22"/>
      <c r="X972" s="22"/>
    </row>
    <row r="973" spans="10:24">
      <c r="J973" s="20" t="e">
        <f>VLOOKUP(G973,MD!M$2:O$93,3,FALSE)</f>
        <v>#N/A</v>
      </c>
      <c r="K973" s="29"/>
      <c r="P973" s="22"/>
      <c r="X973" s="22"/>
    </row>
    <row r="974" spans="10:24">
      <c r="J974" s="20" t="e">
        <f>VLOOKUP(G974,MD!M$2:O$93,3,FALSE)</f>
        <v>#N/A</v>
      </c>
      <c r="K974" s="29"/>
      <c r="P974" s="22"/>
      <c r="X974" s="22"/>
    </row>
    <row r="975" spans="10:24">
      <c r="J975" s="20" t="e">
        <f>VLOOKUP(G975,MD!M$2:O$93,3,FALSE)</f>
        <v>#N/A</v>
      </c>
      <c r="K975" s="29"/>
      <c r="P975" s="22"/>
      <c r="X975" s="22"/>
    </row>
    <row r="976" spans="10:24">
      <c r="J976" s="20" t="e">
        <f>VLOOKUP(G976,MD!M$2:O$93,3,FALSE)</f>
        <v>#N/A</v>
      </c>
      <c r="K976" s="29"/>
      <c r="P976" s="22"/>
      <c r="X976" s="22"/>
    </row>
    <row r="977" spans="10:24">
      <c r="J977" s="20" t="e">
        <f>VLOOKUP(G977,MD!M$2:O$93,3,FALSE)</f>
        <v>#N/A</v>
      </c>
      <c r="K977" s="29"/>
      <c r="P977" s="22"/>
      <c r="X977" s="22"/>
    </row>
    <row r="978" spans="10:24">
      <c r="J978" s="20" t="e">
        <f>VLOOKUP(G978,MD!M$2:O$93,3,FALSE)</f>
        <v>#N/A</v>
      </c>
      <c r="K978" s="29"/>
      <c r="P978" s="22"/>
      <c r="X978" s="22"/>
    </row>
    <row r="979" spans="10:24">
      <c r="J979" s="20" t="e">
        <f>VLOOKUP(G979,MD!M$2:O$93,3,FALSE)</f>
        <v>#N/A</v>
      </c>
      <c r="K979" s="29"/>
      <c r="P979" s="22"/>
      <c r="X979" s="22"/>
    </row>
    <row r="980" spans="10:24">
      <c r="J980" s="20" t="e">
        <f>VLOOKUP(G980,MD!M$2:O$93,3,FALSE)</f>
        <v>#N/A</v>
      </c>
      <c r="K980" s="29"/>
      <c r="P980" s="22"/>
      <c r="X980" s="22"/>
    </row>
    <row r="981" spans="10:24">
      <c r="J981" s="20" t="e">
        <f>VLOOKUP(G981,MD!M$2:O$93,3,FALSE)</f>
        <v>#N/A</v>
      </c>
      <c r="K981" s="29"/>
      <c r="P981" s="22"/>
      <c r="X981" s="22"/>
    </row>
    <row r="982" spans="10:24">
      <c r="J982" s="20" t="e">
        <f>VLOOKUP(G982,MD!M$2:O$93,3,FALSE)</f>
        <v>#N/A</v>
      </c>
      <c r="K982" s="29"/>
      <c r="P982" s="22"/>
      <c r="X982" s="22"/>
    </row>
    <row r="983" spans="10:24">
      <c r="J983" s="20" t="e">
        <f>VLOOKUP(G983,MD!M$2:O$93,3,FALSE)</f>
        <v>#N/A</v>
      </c>
      <c r="K983" s="29"/>
      <c r="P983" s="22"/>
      <c r="X983" s="22"/>
    </row>
    <row r="984" spans="10:24">
      <c r="J984" s="20" t="e">
        <f>VLOOKUP(G984,MD!M$2:O$93,3,FALSE)</f>
        <v>#N/A</v>
      </c>
      <c r="K984" s="29"/>
      <c r="P984" s="22"/>
      <c r="X984" s="22"/>
    </row>
    <row r="985" spans="10:24">
      <c r="J985" s="20" t="e">
        <f>VLOOKUP(G985,MD!M$2:O$93,3,FALSE)</f>
        <v>#N/A</v>
      </c>
      <c r="K985" s="29"/>
      <c r="P985" s="22"/>
      <c r="X985" s="22"/>
    </row>
    <row r="986" spans="10:24">
      <c r="J986" s="20" t="e">
        <f>VLOOKUP(G986,MD!M$2:O$93,3,FALSE)</f>
        <v>#N/A</v>
      </c>
      <c r="K986" s="29"/>
      <c r="P986" s="22"/>
      <c r="X986" s="22"/>
    </row>
    <row r="987" spans="10:24">
      <c r="J987" s="20" t="e">
        <f>VLOOKUP(G987,MD!M$2:O$93,3,FALSE)</f>
        <v>#N/A</v>
      </c>
      <c r="K987" s="29"/>
      <c r="P987" s="22"/>
      <c r="X987" s="22"/>
    </row>
    <row r="988" spans="10:24">
      <c r="J988" s="20" t="e">
        <f>VLOOKUP(G988,MD!M$2:O$93,3,FALSE)</f>
        <v>#N/A</v>
      </c>
      <c r="K988" s="29"/>
      <c r="P988" s="22"/>
      <c r="X988" s="22"/>
    </row>
    <row r="989" spans="10:24">
      <c r="J989" s="20" t="e">
        <f>VLOOKUP(G989,MD!M$2:O$93,3,FALSE)</f>
        <v>#N/A</v>
      </c>
      <c r="K989" s="29"/>
      <c r="P989" s="22"/>
      <c r="X989" s="22"/>
    </row>
    <row r="990" spans="10:24">
      <c r="J990" s="20" t="e">
        <f>VLOOKUP(G990,MD!M$2:O$93,3,FALSE)</f>
        <v>#N/A</v>
      </c>
      <c r="K990" s="29"/>
      <c r="P990" s="22"/>
      <c r="X990" s="22"/>
    </row>
    <row r="991" spans="10:24">
      <c r="J991" s="20" t="e">
        <f>VLOOKUP(G991,MD!M$2:O$93,3,FALSE)</f>
        <v>#N/A</v>
      </c>
      <c r="K991" s="29"/>
      <c r="P991" s="22"/>
      <c r="X991" s="22"/>
    </row>
    <row r="992" spans="10:24">
      <c r="J992" s="20" t="e">
        <f>VLOOKUP(G992,MD!M$2:O$93,3,FALSE)</f>
        <v>#N/A</v>
      </c>
      <c r="K992" s="29"/>
      <c r="P992" s="22"/>
      <c r="X992" s="22"/>
    </row>
    <row r="993" spans="10:24">
      <c r="J993" s="20" t="e">
        <f>VLOOKUP(G993,MD!M$2:O$93,3,FALSE)</f>
        <v>#N/A</v>
      </c>
      <c r="K993" s="29"/>
      <c r="P993" s="22"/>
      <c r="X993" s="22"/>
    </row>
    <row r="994" spans="10:24">
      <c r="J994" s="20" t="e">
        <f>VLOOKUP(G994,MD!M$2:O$93,3,FALSE)</f>
        <v>#N/A</v>
      </c>
      <c r="K994" s="29"/>
      <c r="P994" s="22"/>
      <c r="X994" s="22"/>
    </row>
    <row r="995" spans="10:24">
      <c r="J995" s="20" t="e">
        <f>VLOOKUP(G995,MD!M$2:O$93,3,FALSE)</f>
        <v>#N/A</v>
      </c>
      <c r="K995" s="29"/>
      <c r="P995" s="22"/>
      <c r="X995" s="22"/>
    </row>
    <row r="996" spans="10:24">
      <c r="J996" s="20" t="e">
        <f>VLOOKUP(G996,MD!M$2:O$93,3,FALSE)</f>
        <v>#N/A</v>
      </c>
      <c r="K996" s="29"/>
      <c r="P996" s="22"/>
      <c r="X996" s="22"/>
    </row>
    <row r="997" spans="10:24">
      <c r="J997" s="20" t="e">
        <f>VLOOKUP(G997,MD!M$2:O$93,3,FALSE)</f>
        <v>#N/A</v>
      </c>
      <c r="K997" s="29"/>
      <c r="P997" s="22"/>
      <c r="X997" s="22"/>
    </row>
    <row r="998" spans="10:24">
      <c r="J998" s="20" t="e">
        <f>VLOOKUP(G998,MD!M$2:O$93,3,FALSE)</f>
        <v>#N/A</v>
      </c>
      <c r="K998" s="29"/>
      <c r="P998" s="22"/>
      <c r="X998" s="22"/>
    </row>
    <row r="999" spans="10:24">
      <c r="J999" s="20" t="e">
        <f>VLOOKUP(G999,MD!M$2:O$93,3,FALSE)</f>
        <v>#N/A</v>
      </c>
      <c r="K999" s="29"/>
      <c r="P999" s="22"/>
      <c r="X999" s="22"/>
    </row>
    <row r="1000" spans="10:24">
      <c r="J1000" s="20" t="e">
        <f>VLOOKUP(G1000,MD!M$2:O$93,3,FALSE)</f>
        <v>#N/A</v>
      </c>
      <c r="K1000" s="29"/>
      <c r="P1000" s="22"/>
      <c r="X1000" s="22"/>
    </row>
    <row r="1001" spans="10:24">
      <c r="J1001" s="20" t="e">
        <f>VLOOKUP(G1001,MD!M$2:O$93,3,FALSE)</f>
        <v>#N/A</v>
      </c>
      <c r="K1001" s="29"/>
      <c r="P1001" s="22"/>
      <c r="X1001" s="22"/>
    </row>
    <row r="1002" spans="10:24">
      <c r="J1002" s="20" t="e">
        <f>VLOOKUP(G1002,MD!M$2:O$93,3,FALSE)</f>
        <v>#N/A</v>
      </c>
      <c r="K1002" s="29"/>
      <c r="P1002" s="22"/>
      <c r="X1002" s="22"/>
    </row>
    <row r="1003" spans="10:24">
      <c r="J1003" s="20" t="e">
        <f>VLOOKUP(G1003,MD!M$2:O$93,3,FALSE)</f>
        <v>#N/A</v>
      </c>
      <c r="K1003" s="29"/>
      <c r="P1003" s="22"/>
      <c r="X1003" s="22"/>
    </row>
    <row r="1004" spans="10:24">
      <c r="J1004" s="20" t="e">
        <f>VLOOKUP(G1004,MD!M$2:O$93,3,FALSE)</f>
        <v>#N/A</v>
      </c>
      <c r="K1004" s="29"/>
      <c r="P1004" s="22"/>
      <c r="X1004" s="22"/>
    </row>
    <row r="1005" spans="10:24">
      <c r="J1005" s="20" t="e">
        <f>VLOOKUP(G1005,MD!M$2:O$93,3,FALSE)</f>
        <v>#N/A</v>
      </c>
      <c r="K1005" s="29"/>
      <c r="P1005" s="22"/>
      <c r="X1005" s="22"/>
    </row>
    <row r="1006" spans="10:24">
      <c r="J1006" s="20" t="e">
        <f>VLOOKUP(G1006,MD!M$2:O$93,3,FALSE)</f>
        <v>#N/A</v>
      </c>
      <c r="K1006" s="29"/>
      <c r="P1006" s="22"/>
      <c r="X1006" s="22"/>
    </row>
    <row r="1007" spans="10:24">
      <c r="J1007" s="20" t="e">
        <f>VLOOKUP(G1007,MD!M$2:O$93,3,FALSE)</f>
        <v>#N/A</v>
      </c>
      <c r="K1007" s="29"/>
      <c r="P1007" s="22"/>
      <c r="X1007" s="22"/>
    </row>
    <row r="1008" spans="10:24">
      <c r="J1008" s="20" t="e">
        <f>VLOOKUP(G1008,MD!M$2:O$93,3,FALSE)</f>
        <v>#N/A</v>
      </c>
      <c r="K1008" s="29"/>
      <c r="P1008" s="22"/>
      <c r="X1008" s="22"/>
    </row>
  </sheetData>
  <autoFilter ref="A1:G1008"/>
  <phoneticPr fontId="15" type="noConversion"/>
  <dataValidations count="2">
    <dataValidation type="list" allowBlank="1" showInputMessage="1" showErrorMessage="1" sqref="F2:F1008">
      <formula1>Listes_des_grandes_opérations</formula1>
    </dataValidation>
    <dataValidation type="list" allowBlank="1" showInputMessage="1" showErrorMessage="1" sqref="G2:G1008">
      <formula1>INDIRECT($F2)</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sheetPr codeName="Feuil6"/>
  <dimension ref="A1:AE996"/>
  <sheetViews>
    <sheetView zoomScale="85" zoomScaleNormal="85" workbookViewId="0">
      <pane xSplit="5" ySplit="1" topLeftCell="F32" activePane="bottomRight" state="frozenSplit"/>
      <selection pane="topRight" activeCell="E1" sqref="E1"/>
      <selection pane="bottomLeft"/>
      <selection pane="bottomRight" activeCell="G50" sqref="G50"/>
    </sheetView>
  </sheetViews>
  <sheetFormatPr baseColWidth="10" defaultRowHeight="15"/>
  <cols>
    <col min="1" max="1" width="12.7109375" style="50" bestFit="1" customWidth="1"/>
    <col min="2" max="2" width="8.42578125" style="50" bestFit="1" customWidth="1"/>
    <col min="3" max="3" width="7.42578125" style="49" bestFit="1" customWidth="1"/>
    <col min="4" max="4" width="7.42578125" style="49" customWidth="1"/>
    <col min="5" max="5" width="11.5703125" style="47" bestFit="1" customWidth="1"/>
    <col min="6" max="6" width="16.42578125" style="18" bestFit="1" customWidth="1"/>
    <col min="7" max="7" width="46" style="18" customWidth="1"/>
    <col min="8" max="8" width="33.7109375" style="27" bestFit="1" customWidth="1"/>
    <col min="9" max="9" width="11.42578125" style="24"/>
    <col min="10" max="10" width="11.42578125" style="21"/>
    <col min="11" max="11" width="13.28515625" style="30" bestFit="1" customWidth="1"/>
    <col min="12" max="12" width="37.42578125" style="27" bestFit="1" customWidth="1"/>
    <col min="13" max="15" width="11.42578125" style="44"/>
    <col min="16" max="16" width="13.28515625" style="44" bestFit="1" customWidth="1"/>
    <col min="17" max="20" width="11.42578125" style="25"/>
    <col min="21" max="23" width="11.42578125" style="44"/>
    <col min="24" max="24" width="13.28515625" style="44" bestFit="1" customWidth="1"/>
    <col min="25" max="28" width="11.42578125" style="25"/>
  </cols>
  <sheetData>
    <row r="1" spans="1:31" s="1" customFormat="1">
      <c r="A1" s="45" t="s">
        <v>126</v>
      </c>
      <c r="B1" s="45" t="s">
        <v>0</v>
      </c>
      <c r="C1" s="46" t="s">
        <v>3</v>
      </c>
      <c r="D1" s="69" t="s">
        <v>198</v>
      </c>
      <c r="E1" s="45" t="s">
        <v>125</v>
      </c>
      <c r="F1" s="17" t="s">
        <v>1</v>
      </c>
      <c r="G1" s="17" t="s">
        <v>4</v>
      </c>
      <c r="H1" s="26" t="s">
        <v>96</v>
      </c>
      <c r="I1" s="23" t="s">
        <v>5</v>
      </c>
      <c r="J1" s="19" t="s">
        <v>6</v>
      </c>
      <c r="K1" s="28" t="s">
        <v>7</v>
      </c>
      <c r="L1" s="26" t="s">
        <v>127</v>
      </c>
      <c r="M1" s="16" t="s">
        <v>9</v>
      </c>
      <c r="N1" s="16" t="s">
        <v>10</v>
      </c>
      <c r="O1" s="16" t="s">
        <v>11</v>
      </c>
      <c r="P1" s="16" t="s">
        <v>8</v>
      </c>
      <c r="Q1" s="23" t="s">
        <v>14</v>
      </c>
      <c r="R1" s="23" t="s">
        <v>15</v>
      </c>
      <c r="S1" s="23" t="s">
        <v>16</v>
      </c>
      <c r="T1" s="23" t="s">
        <v>12</v>
      </c>
      <c r="U1" s="16" t="s">
        <v>18</v>
      </c>
      <c r="V1" s="16" t="s">
        <v>19</v>
      </c>
      <c r="W1" s="16" t="s">
        <v>20</v>
      </c>
      <c r="X1" s="16" t="s">
        <v>13</v>
      </c>
      <c r="Y1" s="23" t="s">
        <v>21</v>
      </c>
      <c r="Z1" s="23" t="s">
        <v>22</v>
      </c>
      <c r="AA1" s="23" t="s">
        <v>23</v>
      </c>
      <c r="AB1" s="23" t="s">
        <v>17</v>
      </c>
    </row>
    <row r="2" spans="1:31" s="5" customFormat="1">
      <c r="A2" s="47" t="s">
        <v>121</v>
      </c>
      <c r="B2" s="47" t="s">
        <v>122</v>
      </c>
      <c r="C2" s="48">
        <v>43033</v>
      </c>
      <c r="D2" s="64">
        <v>43</v>
      </c>
      <c r="E2" s="47" t="s">
        <v>123</v>
      </c>
      <c r="F2" s="18" t="s">
        <v>83</v>
      </c>
      <c r="G2" s="18" t="s">
        <v>26</v>
      </c>
      <c r="H2" s="27" t="s">
        <v>134</v>
      </c>
      <c r="I2" s="24">
        <v>1</v>
      </c>
      <c r="J2" s="20" t="str">
        <f>VLOOKUP(G2,MD!M$2:O$93,3,FALSE)</f>
        <v>ha</v>
      </c>
      <c r="K2" s="29">
        <v>1</v>
      </c>
      <c r="L2" s="27"/>
      <c r="M2" s="22"/>
      <c r="N2" s="22"/>
      <c r="O2" s="22"/>
      <c r="P2" s="22"/>
      <c r="Q2" s="24"/>
      <c r="R2" s="24"/>
      <c r="S2" s="24"/>
      <c r="T2" s="24"/>
      <c r="U2" s="22"/>
      <c r="V2" s="22"/>
      <c r="W2" s="22"/>
      <c r="X2" s="22"/>
      <c r="Y2" s="24"/>
      <c r="Z2" s="24"/>
      <c r="AA2" s="24"/>
      <c r="AB2" s="24"/>
    </row>
    <row r="3" spans="1:31">
      <c r="A3" s="47" t="s">
        <v>121</v>
      </c>
      <c r="B3" s="47" t="s">
        <v>122</v>
      </c>
      <c r="C3" s="48">
        <v>43033</v>
      </c>
      <c r="D3" s="64">
        <v>43</v>
      </c>
      <c r="E3" s="47" t="s">
        <v>123</v>
      </c>
      <c r="F3" s="18" t="s">
        <v>84</v>
      </c>
      <c r="G3" s="18" t="s">
        <v>76</v>
      </c>
      <c r="H3" s="27" t="s">
        <v>135</v>
      </c>
      <c r="I3" s="24">
        <v>1</v>
      </c>
      <c r="J3" s="20" t="str">
        <f>VLOOKUP(G3,MD!M$2:O$93,3,FALSE)</f>
        <v>ha</v>
      </c>
      <c r="K3" s="29">
        <v>1</v>
      </c>
      <c r="M3" s="22"/>
      <c r="U3" s="22"/>
    </row>
    <row r="4" spans="1:31">
      <c r="A4" s="47" t="s">
        <v>121</v>
      </c>
      <c r="B4" s="47" t="s">
        <v>122</v>
      </c>
      <c r="C4" s="48">
        <v>43033</v>
      </c>
      <c r="D4" s="64">
        <v>43</v>
      </c>
      <c r="E4" s="47" t="s">
        <v>123</v>
      </c>
      <c r="F4" s="18" t="s">
        <v>87</v>
      </c>
      <c r="G4" s="18" t="s">
        <v>94</v>
      </c>
      <c r="H4" s="27" t="s">
        <v>159</v>
      </c>
      <c r="I4" s="24">
        <v>325</v>
      </c>
      <c r="J4" s="20" t="str">
        <f>VLOOKUP(G4,MD!M$2:O$93,3,FALSE)</f>
        <v>gr./m2</v>
      </c>
      <c r="K4" s="29">
        <v>1</v>
      </c>
      <c r="L4" s="27" t="s">
        <v>162</v>
      </c>
      <c r="M4" s="22"/>
      <c r="U4" s="22"/>
    </row>
    <row r="5" spans="1:31">
      <c r="A5" s="47" t="s">
        <v>121</v>
      </c>
      <c r="B5" s="47" t="s">
        <v>122</v>
      </c>
      <c r="C5" s="48">
        <v>43173</v>
      </c>
      <c r="D5" s="64">
        <v>11</v>
      </c>
      <c r="E5" s="47" t="s">
        <v>121</v>
      </c>
      <c r="F5" s="18" t="s">
        <v>85</v>
      </c>
      <c r="G5" s="18" t="s">
        <v>68</v>
      </c>
      <c r="H5" s="27" t="s">
        <v>29</v>
      </c>
      <c r="I5" s="24">
        <v>1</v>
      </c>
      <c r="J5" s="20" t="str">
        <f>VLOOKUP(G5,MD!M$2:O$93,3,FALSE)</f>
        <v>ha</v>
      </c>
      <c r="K5" s="29">
        <v>0.96</v>
      </c>
      <c r="M5" s="22"/>
      <c r="U5" s="22"/>
    </row>
    <row r="6" spans="1:31" s="59" customFormat="1">
      <c r="A6" s="47" t="s">
        <v>121</v>
      </c>
      <c r="B6" s="47" t="s">
        <v>122</v>
      </c>
      <c r="C6" s="48">
        <v>43173</v>
      </c>
      <c r="D6" s="64">
        <v>11</v>
      </c>
      <c r="E6" s="47" t="s">
        <v>121</v>
      </c>
      <c r="F6" s="18" t="s">
        <v>88</v>
      </c>
      <c r="G6" s="18" t="s">
        <v>181</v>
      </c>
      <c r="H6" s="27" t="s">
        <v>193</v>
      </c>
      <c r="I6" s="24">
        <v>750</v>
      </c>
      <c r="J6" s="20" t="str">
        <f>VLOOKUP(G6,MD!M$2:O$93,3,FALSE)</f>
        <v>kg/ha</v>
      </c>
      <c r="K6" s="29">
        <v>0.96</v>
      </c>
      <c r="L6" s="27" t="s">
        <v>180</v>
      </c>
      <c r="M6" s="22"/>
      <c r="N6" s="44"/>
      <c r="O6" s="44"/>
      <c r="P6" s="44"/>
      <c r="Q6" s="25"/>
      <c r="R6" s="25"/>
      <c r="S6" s="25"/>
      <c r="T6" s="25"/>
      <c r="U6" s="22"/>
      <c r="V6" s="44"/>
      <c r="W6" s="44"/>
      <c r="X6" s="44"/>
      <c r="Y6" s="25"/>
      <c r="Z6" s="25"/>
      <c r="AA6" s="25"/>
      <c r="AB6" s="25"/>
    </row>
    <row r="7" spans="1:31" s="59" customFormat="1">
      <c r="A7" s="47" t="s">
        <v>121</v>
      </c>
      <c r="B7" s="47" t="s">
        <v>122</v>
      </c>
      <c r="C7" s="48">
        <v>43294</v>
      </c>
      <c r="D7" s="64">
        <v>28</v>
      </c>
      <c r="E7" s="47" t="s">
        <v>121</v>
      </c>
      <c r="F7" s="18" t="s">
        <v>86</v>
      </c>
      <c r="G7" s="18" t="s">
        <v>55</v>
      </c>
      <c r="H7" s="27"/>
      <c r="I7" s="24">
        <v>1</v>
      </c>
      <c r="J7" s="20" t="str">
        <f>VLOOKUP(G7,MD!M$2:O$93,3,FALSE)</f>
        <v>ha</v>
      </c>
      <c r="K7" s="29">
        <v>1</v>
      </c>
      <c r="L7" s="27"/>
      <c r="M7" s="22"/>
      <c r="N7" s="44"/>
      <c r="O7" s="44"/>
      <c r="P7" s="44"/>
      <c r="Q7" s="25"/>
      <c r="R7" s="25"/>
      <c r="S7" s="25"/>
      <c r="T7" s="25"/>
      <c r="U7" s="22"/>
      <c r="V7" s="44"/>
      <c r="W7" s="44"/>
      <c r="X7" s="44"/>
      <c r="Y7" s="25"/>
      <c r="Z7" s="25"/>
      <c r="AA7" s="25"/>
      <c r="AB7" s="25"/>
    </row>
    <row r="8" spans="1:31" s="59" customFormat="1">
      <c r="A8" s="47" t="s">
        <v>121</v>
      </c>
      <c r="B8" s="47" t="s">
        <v>122</v>
      </c>
      <c r="C8" s="48">
        <v>43294</v>
      </c>
      <c r="D8" s="64">
        <v>28</v>
      </c>
      <c r="E8" s="47" t="s">
        <v>121</v>
      </c>
      <c r="F8" s="18" t="s">
        <v>2</v>
      </c>
      <c r="G8" s="18" t="s">
        <v>115</v>
      </c>
      <c r="H8" s="27" t="s">
        <v>285</v>
      </c>
      <c r="I8" s="24">
        <v>57</v>
      </c>
      <c r="J8" s="20" t="str">
        <f>VLOOKUP(G8,MD!M$2:O$93,3,FALSE)</f>
        <v>Qtx/ha</v>
      </c>
      <c r="K8" s="29">
        <v>1</v>
      </c>
      <c r="L8" s="27" t="s">
        <v>290</v>
      </c>
      <c r="M8" s="22"/>
      <c r="N8" s="44"/>
      <c r="O8" s="44"/>
      <c r="P8" s="44"/>
      <c r="Q8" s="25"/>
      <c r="R8" s="25"/>
      <c r="S8" s="25"/>
      <c r="T8" s="25"/>
      <c r="U8" s="22"/>
      <c r="V8" s="44"/>
      <c r="W8" s="44"/>
      <c r="X8" s="44"/>
      <c r="Y8" s="25"/>
      <c r="Z8" s="25"/>
      <c r="AA8" s="25"/>
      <c r="AB8" s="25"/>
    </row>
    <row r="9" spans="1:31">
      <c r="A9" s="47" t="s">
        <v>301</v>
      </c>
      <c r="B9" s="47" t="s">
        <v>270</v>
      </c>
      <c r="C9" s="48">
        <v>43305</v>
      </c>
      <c r="D9" s="64">
        <f t="shared" ref="D9:D15" si="0">WEEKNUM(C9)</f>
        <v>30</v>
      </c>
      <c r="E9" s="47" t="s">
        <v>123</v>
      </c>
      <c r="F9" s="18" t="s">
        <v>83</v>
      </c>
      <c r="G9" s="18" t="s">
        <v>37</v>
      </c>
      <c r="I9" s="24">
        <v>1</v>
      </c>
      <c r="J9" s="20" t="str">
        <f>VLOOKUP(G9,MD!M$2:O$93,3,FALSE)</f>
        <v>ha</v>
      </c>
      <c r="K9" s="29">
        <v>1</v>
      </c>
      <c r="L9" s="27" t="s">
        <v>283</v>
      </c>
      <c r="M9" s="22"/>
      <c r="U9" s="22"/>
    </row>
    <row r="10" spans="1:31">
      <c r="A10" s="47" t="s">
        <v>301</v>
      </c>
      <c r="B10" s="47" t="s">
        <v>270</v>
      </c>
      <c r="C10" s="48">
        <v>43312</v>
      </c>
      <c r="D10" s="64">
        <f t="shared" si="0"/>
        <v>31</v>
      </c>
      <c r="E10" s="47" t="s">
        <v>123</v>
      </c>
      <c r="F10" s="18" t="s">
        <v>83</v>
      </c>
      <c r="G10" s="18" t="s">
        <v>78</v>
      </c>
      <c r="I10" s="24">
        <v>1</v>
      </c>
      <c r="J10" s="20" t="str">
        <f>VLOOKUP(G10,MD!M$2:O$93,3,FALSE)</f>
        <v>ha</v>
      </c>
      <c r="K10" s="29">
        <v>1</v>
      </c>
      <c r="M10" s="22"/>
      <c r="U10" s="22"/>
    </row>
    <row r="11" spans="1:31">
      <c r="A11" s="47" t="s">
        <v>301</v>
      </c>
      <c r="B11" s="47" t="s">
        <v>270</v>
      </c>
      <c r="C11" s="48">
        <v>43409</v>
      </c>
      <c r="D11" s="64">
        <f t="shared" si="0"/>
        <v>45</v>
      </c>
      <c r="E11" s="47" t="s">
        <v>123</v>
      </c>
      <c r="F11" s="18" t="s">
        <v>83</v>
      </c>
      <c r="G11" s="18" t="s">
        <v>63</v>
      </c>
      <c r="I11" s="24">
        <v>1</v>
      </c>
      <c r="J11" s="20" t="str">
        <f>VLOOKUP(G11,MD!M$2:O$93,3,FALSE)</f>
        <v>ha</v>
      </c>
      <c r="K11" s="29">
        <v>1</v>
      </c>
      <c r="M11" s="22"/>
      <c r="U11" s="22"/>
    </row>
    <row r="12" spans="1:31">
      <c r="A12" s="47" t="s">
        <v>301</v>
      </c>
      <c r="B12" s="47" t="s">
        <v>270</v>
      </c>
      <c r="C12" s="48">
        <v>43410</v>
      </c>
      <c r="D12" s="64">
        <f t="shared" si="0"/>
        <v>45</v>
      </c>
      <c r="E12" s="47" t="s">
        <v>123</v>
      </c>
      <c r="F12" s="18" t="s">
        <v>84</v>
      </c>
      <c r="G12" s="18" t="s">
        <v>76</v>
      </c>
      <c r="I12" s="24">
        <v>1</v>
      </c>
      <c r="J12" s="20" t="str">
        <f>VLOOKUP(G12,MD!M$2:O$93,3,FALSE)</f>
        <v>ha</v>
      </c>
      <c r="K12" s="29">
        <v>1</v>
      </c>
      <c r="M12" s="22"/>
      <c r="U12" s="22"/>
    </row>
    <row r="13" spans="1:31">
      <c r="A13" s="47" t="s">
        <v>301</v>
      </c>
      <c r="B13" s="47" t="s">
        <v>270</v>
      </c>
      <c r="C13" s="48">
        <v>43410</v>
      </c>
      <c r="D13" s="64">
        <f t="shared" si="0"/>
        <v>45</v>
      </c>
      <c r="E13" s="47" t="s">
        <v>123</v>
      </c>
      <c r="F13" s="18" t="s">
        <v>87</v>
      </c>
      <c r="G13" s="18" t="s">
        <v>94</v>
      </c>
      <c r="H13" s="27" t="s">
        <v>594</v>
      </c>
      <c r="I13" s="24">
        <v>360</v>
      </c>
      <c r="J13" s="20" t="str">
        <f>VLOOKUP(G13,MD!M$2:O$93,3,FALSE)</f>
        <v>gr./m2</v>
      </c>
      <c r="K13" s="29">
        <v>1</v>
      </c>
      <c r="M13" s="22"/>
      <c r="U13" s="22"/>
      <c r="AC13" s="59"/>
      <c r="AD13" s="59"/>
      <c r="AE13" s="59"/>
    </row>
    <row r="14" spans="1:31" s="59" customFormat="1">
      <c r="A14" s="47" t="s">
        <v>301</v>
      </c>
      <c r="B14" s="47" t="s">
        <v>270</v>
      </c>
      <c r="C14" s="48">
        <v>43521</v>
      </c>
      <c r="D14" s="64">
        <f t="shared" si="0"/>
        <v>9</v>
      </c>
      <c r="E14" s="47" t="s">
        <v>301</v>
      </c>
      <c r="F14" s="18" t="s">
        <v>85</v>
      </c>
      <c r="G14" s="18" t="s">
        <v>214</v>
      </c>
      <c r="H14" s="27"/>
      <c r="I14" s="24">
        <v>1</v>
      </c>
      <c r="J14" s="20" t="str">
        <f>VLOOKUP(G14,MD!M$2:O$93,3,FALSE)</f>
        <v>ha</v>
      </c>
      <c r="K14" s="29">
        <v>0.96</v>
      </c>
      <c r="L14" s="27"/>
      <c r="M14" s="22"/>
      <c r="N14" s="44"/>
      <c r="O14" s="44"/>
      <c r="P14" s="44"/>
      <c r="Q14" s="25"/>
      <c r="R14" s="25"/>
      <c r="S14" s="25"/>
      <c r="T14" s="25"/>
      <c r="U14" s="22"/>
      <c r="V14" s="44"/>
      <c r="W14" s="44"/>
      <c r="X14" s="44"/>
      <c r="Y14" s="25"/>
      <c r="Z14" s="25"/>
      <c r="AA14" s="25"/>
      <c r="AB14" s="25"/>
    </row>
    <row r="15" spans="1:31" s="59" customFormat="1">
      <c r="A15" s="47" t="s">
        <v>301</v>
      </c>
      <c r="B15" s="47" t="s">
        <v>270</v>
      </c>
      <c r="C15" s="48">
        <v>43521</v>
      </c>
      <c r="D15" s="64">
        <f t="shared" si="0"/>
        <v>9</v>
      </c>
      <c r="E15" s="47" t="s">
        <v>301</v>
      </c>
      <c r="F15" s="18" t="s">
        <v>88</v>
      </c>
      <c r="G15" s="18" t="s">
        <v>181</v>
      </c>
      <c r="H15" s="27" t="s">
        <v>417</v>
      </c>
      <c r="I15" s="58">
        <v>733</v>
      </c>
      <c r="J15" s="20" t="str">
        <f>VLOOKUP(G15,MD!M$2:O$93,3,FALSE)</f>
        <v>kg/ha</v>
      </c>
      <c r="K15" s="29">
        <v>0.96</v>
      </c>
      <c r="L15" s="27" t="s">
        <v>408</v>
      </c>
      <c r="M15" s="22"/>
      <c r="N15" s="44"/>
      <c r="O15" s="44"/>
      <c r="P15" s="44"/>
      <c r="Q15" s="25"/>
      <c r="R15" s="25"/>
      <c r="S15" s="25"/>
      <c r="T15" s="25"/>
      <c r="U15" s="22"/>
      <c r="V15" s="44"/>
      <c r="W15" s="44"/>
      <c r="X15" s="44"/>
      <c r="Y15" s="25"/>
      <c r="Z15" s="25"/>
      <c r="AA15" s="25"/>
      <c r="AB15" s="25"/>
    </row>
    <row r="16" spans="1:31" s="59" customFormat="1">
      <c r="A16" s="47" t="s">
        <v>301</v>
      </c>
      <c r="B16" s="47" t="s">
        <v>270</v>
      </c>
      <c r="C16" s="48">
        <v>43670</v>
      </c>
      <c r="D16" s="64">
        <f t="shared" ref="D16:D28" si="1">WEEKNUM(C16)</f>
        <v>30</v>
      </c>
      <c r="E16" s="47" t="s">
        <v>301</v>
      </c>
      <c r="F16" s="18" t="s">
        <v>86</v>
      </c>
      <c r="G16" s="18" t="s">
        <v>55</v>
      </c>
      <c r="H16" s="27"/>
      <c r="I16" s="24">
        <v>1</v>
      </c>
      <c r="J16" s="20" t="str">
        <f>VLOOKUP(G16,MD!M$2:O$93,3,FALSE)</f>
        <v>ha</v>
      </c>
      <c r="K16" s="29">
        <v>1</v>
      </c>
      <c r="L16" s="27"/>
      <c r="M16" s="22"/>
      <c r="N16" s="44"/>
      <c r="O16" s="44"/>
      <c r="P16" s="44"/>
      <c r="Q16" s="25"/>
      <c r="R16" s="25"/>
      <c r="S16" s="25"/>
      <c r="T16" s="25"/>
      <c r="U16" s="22"/>
      <c r="V16" s="44"/>
      <c r="W16" s="44"/>
      <c r="X16" s="44"/>
      <c r="Y16" s="25"/>
      <c r="Z16" s="25"/>
      <c r="AA16" s="25"/>
      <c r="AB16" s="25"/>
    </row>
    <row r="17" spans="1:31" s="59" customFormat="1">
      <c r="A17" s="47" t="s">
        <v>301</v>
      </c>
      <c r="B17" s="47" t="s">
        <v>270</v>
      </c>
      <c r="C17" s="48">
        <v>43670</v>
      </c>
      <c r="D17" s="64">
        <f t="shared" si="1"/>
        <v>30</v>
      </c>
      <c r="E17" s="47" t="s">
        <v>301</v>
      </c>
      <c r="F17" s="18" t="s">
        <v>2</v>
      </c>
      <c r="G17" s="18" t="s">
        <v>115</v>
      </c>
      <c r="H17" s="27" t="s">
        <v>285</v>
      </c>
      <c r="I17" s="24">
        <v>77</v>
      </c>
      <c r="J17" s="20" t="str">
        <f>VLOOKUP(G17,MD!M$2:O$93,3,FALSE)</f>
        <v>Qtx/ha</v>
      </c>
      <c r="K17" s="29">
        <v>1</v>
      </c>
      <c r="L17" s="27" t="s">
        <v>565</v>
      </c>
      <c r="M17" s="22"/>
      <c r="N17" s="44"/>
      <c r="O17" s="44"/>
      <c r="P17" s="44"/>
      <c r="Q17" s="25"/>
      <c r="R17" s="25"/>
      <c r="S17" s="25"/>
      <c r="T17" s="25"/>
      <c r="U17" s="22"/>
      <c r="V17" s="44"/>
      <c r="W17" s="44"/>
      <c r="X17" s="44"/>
      <c r="Y17" s="25"/>
      <c r="Z17" s="25"/>
      <c r="AA17" s="25"/>
      <c r="AB17" s="25"/>
    </row>
    <row r="18" spans="1:31">
      <c r="A18" s="47" t="s">
        <v>566</v>
      </c>
      <c r="B18" s="47" t="s">
        <v>554</v>
      </c>
      <c r="C18" s="48">
        <v>43672</v>
      </c>
      <c r="D18" s="64">
        <f t="shared" si="1"/>
        <v>30</v>
      </c>
      <c r="E18" s="47" t="s">
        <v>123</v>
      </c>
      <c r="F18" s="18" t="s">
        <v>83</v>
      </c>
      <c r="G18" s="18" t="s">
        <v>77</v>
      </c>
      <c r="I18" s="24">
        <v>1</v>
      </c>
      <c r="J18" s="20" t="str">
        <f>VLOOKUP(G18,MD!M$2:O$93,3,FALSE)</f>
        <v>ha</v>
      </c>
      <c r="K18" s="29">
        <v>1</v>
      </c>
      <c r="M18" s="22"/>
      <c r="U18" s="22"/>
      <c r="AC18" s="59"/>
      <c r="AD18" s="59"/>
      <c r="AE18" s="59"/>
    </row>
    <row r="19" spans="1:31">
      <c r="A19" s="47" t="s">
        <v>566</v>
      </c>
      <c r="B19" s="47" t="s">
        <v>554</v>
      </c>
      <c r="C19" s="48">
        <v>43733</v>
      </c>
      <c r="D19" s="64">
        <f t="shared" si="1"/>
        <v>39</v>
      </c>
      <c r="E19" s="47" t="s">
        <v>123</v>
      </c>
      <c r="F19" s="18" t="s">
        <v>83</v>
      </c>
      <c r="G19" s="18" t="s">
        <v>78</v>
      </c>
      <c r="I19" s="24">
        <v>1</v>
      </c>
      <c r="J19" s="20" t="str">
        <f>VLOOKUP(G19,MD!M$2:O$93,3,FALSE)</f>
        <v>ha</v>
      </c>
      <c r="K19" s="29">
        <v>1</v>
      </c>
      <c r="M19" s="22"/>
      <c r="U19" s="22"/>
      <c r="AC19" s="59"/>
      <c r="AD19" s="59"/>
      <c r="AE19" s="59"/>
    </row>
    <row r="20" spans="1:31" s="59" customFormat="1">
      <c r="A20" s="47" t="s">
        <v>566</v>
      </c>
      <c r="B20" s="47" t="s">
        <v>554</v>
      </c>
      <c r="C20" s="48">
        <v>43767</v>
      </c>
      <c r="D20" s="64">
        <f t="shared" si="1"/>
        <v>44</v>
      </c>
      <c r="E20" s="47" t="s">
        <v>566</v>
      </c>
      <c r="F20" s="18" t="s">
        <v>83</v>
      </c>
      <c r="G20" s="18" t="s">
        <v>26</v>
      </c>
      <c r="H20" s="27"/>
      <c r="I20" s="24">
        <v>1</v>
      </c>
      <c r="J20" s="20" t="str">
        <f>VLOOKUP(G20,MD!M$2:O$93,3,FALSE)</f>
        <v>ha</v>
      </c>
      <c r="K20" s="29">
        <v>1</v>
      </c>
      <c r="L20" s="27"/>
      <c r="M20" s="22"/>
      <c r="N20" s="44"/>
      <c r="O20" s="44"/>
      <c r="P20" s="44"/>
      <c r="Q20" s="25"/>
      <c r="R20" s="25"/>
      <c r="S20" s="25"/>
      <c r="T20" s="25"/>
      <c r="U20" s="22"/>
      <c r="V20" s="44"/>
      <c r="W20" s="44"/>
      <c r="X20" s="44"/>
      <c r="Y20" s="25"/>
      <c r="Z20" s="25"/>
      <c r="AA20" s="25"/>
      <c r="AB20" s="25"/>
    </row>
    <row r="21" spans="1:31">
      <c r="A21" s="47" t="s">
        <v>566</v>
      </c>
      <c r="B21" s="47" t="s">
        <v>554</v>
      </c>
      <c r="C21" s="48">
        <v>43767</v>
      </c>
      <c r="D21" s="64">
        <f t="shared" si="1"/>
        <v>44</v>
      </c>
      <c r="E21" s="47" t="s">
        <v>566</v>
      </c>
      <c r="F21" s="18" t="s">
        <v>84</v>
      </c>
      <c r="G21" s="18" t="s">
        <v>76</v>
      </c>
      <c r="I21" s="24">
        <v>1</v>
      </c>
      <c r="J21" s="20" t="str">
        <f>VLOOKUP(G21,MD!M$2:O$93,3,FALSE)</f>
        <v>ha</v>
      </c>
      <c r="K21" s="29">
        <v>1</v>
      </c>
      <c r="M21" s="22"/>
      <c r="U21" s="22"/>
      <c r="AC21" s="59"/>
      <c r="AD21" s="59"/>
      <c r="AE21" s="59"/>
    </row>
    <row r="22" spans="1:31" s="59" customFormat="1">
      <c r="A22" s="47" t="s">
        <v>566</v>
      </c>
      <c r="B22" s="47" t="s">
        <v>554</v>
      </c>
      <c r="C22" s="48">
        <v>43767</v>
      </c>
      <c r="D22" s="64">
        <f t="shared" si="1"/>
        <v>44</v>
      </c>
      <c r="E22" s="47" t="s">
        <v>566</v>
      </c>
      <c r="F22" s="18" t="s">
        <v>87</v>
      </c>
      <c r="G22" s="18" t="s">
        <v>94</v>
      </c>
      <c r="H22" s="27" t="s">
        <v>674</v>
      </c>
      <c r="I22" s="58">
        <f>130/10*1000/451</f>
        <v>28.824833702882483</v>
      </c>
      <c r="J22" s="20" t="str">
        <f>VLOOKUP(G22,MD!M$2:O$93,3,FALSE)</f>
        <v>gr./m2</v>
      </c>
      <c r="K22" s="29">
        <v>1</v>
      </c>
      <c r="L22" s="27" t="s">
        <v>673</v>
      </c>
      <c r="M22" s="22"/>
      <c r="N22" s="44"/>
      <c r="O22" s="44"/>
      <c r="P22" s="44"/>
      <c r="Q22" s="25"/>
      <c r="R22" s="25"/>
      <c r="S22" s="25"/>
      <c r="T22" s="25"/>
      <c r="U22" s="22"/>
      <c r="V22" s="44"/>
      <c r="W22" s="44"/>
      <c r="X22" s="44"/>
      <c r="Y22" s="25"/>
      <c r="Z22" s="25"/>
      <c r="AA22" s="25"/>
      <c r="AB22" s="25"/>
    </row>
    <row r="23" spans="1:31">
      <c r="A23" s="47" t="s">
        <v>566</v>
      </c>
      <c r="B23" s="47" t="s">
        <v>554</v>
      </c>
      <c r="C23" s="48">
        <v>43905</v>
      </c>
      <c r="D23" s="64">
        <f t="shared" si="1"/>
        <v>12</v>
      </c>
      <c r="E23" s="47" t="s">
        <v>566</v>
      </c>
      <c r="F23" s="18" t="s">
        <v>83</v>
      </c>
      <c r="G23" s="18" t="s">
        <v>32</v>
      </c>
      <c r="I23" s="24">
        <v>1</v>
      </c>
      <c r="J23" s="20" t="str">
        <f>VLOOKUP(G23,MD!M$2:O$93,3,FALSE)</f>
        <v>ha</v>
      </c>
      <c r="K23" s="29">
        <v>1</v>
      </c>
      <c r="M23" s="22"/>
      <c r="U23" s="22"/>
    </row>
    <row r="24" spans="1:31" s="59" customFormat="1">
      <c r="A24" s="47" t="s">
        <v>566</v>
      </c>
      <c r="B24" s="47" t="s">
        <v>554</v>
      </c>
      <c r="C24" s="48">
        <v>44033</v>
      </c>
      <c r="D24" s="64">
        <f t="shared" ref="D24:D25" si="2">WEEKNUM(C24)</f>
        <v>30</v>
      </c>
      <c r="E24" s="47" t="s">
        <v>566</v>
      </c>
      <c r="F24" s="18" t="s">
        <v>86</v>
      </c>
      <c r="G24" s="18" t="s">
        <v>55</v>
      </c>
      <c r="H24" s="27"/>
      <c r="I24" s="24">
        <v>1</v>
      </c>
      <c r="J24" s="20" t="str">
        <f>VLOOKUP(G24,MD!M$2:O$93,3,FALSE)</f>
        <v>ha</v>
      </c>
      <c r="K24" s="29">
        <v>1</v>
      </c>
      <c r="L24" s="27"/>
      <c r="M24" s="22"/>
      <c r="N24" s="44"/>
      <c r="O24" s="44"/>
      <c r="P24" s="44"/>
      <c r="Q24" s="25"/>
      <c r="R24" s="25"/>
      <c r="S24" s="25"/>
      <c r="T24" s="25"/>
      <c r="U24" s="22"/>
      <c r="V24" s="44"/>
      <c r="W24" s="44"/>
      <c r="X24" s="44"/>
      <c r="Y24" s="25"/>
      <c r="Z24" s="25"/>
      <c r="AA24" s="25"/>
      <c r="AB24" s="25"/>
    </row>
    <row r="25" spans="1:31">
      <c r="A25" s="47" t="s">
        <v>566</v>
      </c>
      <c r="B25" s="47" t="s">
        <v>554</v>
      </c>
      <c r="C25" s="48">
        <v>44033</v>
      </c>
      <c r="D25" s="64">
        <f t="shared" si="2"/>
        <v>30</v>
      </c>
      <c r="E25" s="47" t="s">
        <v>566</v>
      </c>
      <c r="F25" s="18" t="s">
        <v>2</v>
      </c>
      <c r="G25" s="18" t="s">
        <v>115</v>
      </c>
      <c r="H25" s="27" t="s">
        <v>285</v>
      </c>
      <c r="I25" s="24">
        <v>15</v>
      </c>
      <c r="J25" s="20" t="str">
        <f>VLOOKUP(G25,MD!M$2:O$93,3,FALSE)</f>
        <v>Qtx/ha</v>
      </c>
      <c r="K25" s="29">
        <v>1</v>
      </c>
      <c r="M25" s="22"/>
      <c r="U25" s="22"/>
    </row>
    <row r="26" spans="1:31">
      <c r="A26" s="47" t="s">
        <v>121</v>
      </c>
      <c r="B26" s="47" t="s">
        <v>836</v>
      </c>
      <c r="C26" s="48">
        <v>44058</v>
      </c>
      <c r="D26" s="64">
        <f t="shared" si="1"/>
        <v>33</v>
      </c>
      <c r="E26" s="47" t="s">
        <v>123</v>
      </c>
      <c r="F26" s="18" t="s">
        <v>83</v>
      </c>
      <c r="G26" s="18" t="s">
        <v>57</v>
      </c>
      <c r="I26" s="24">
        <v>1</v>
      </c>
      <c r="J26" s="20" t="str">
        <f>VLOOKUP(G26,MD!M$2:O$93,3,FALSE)</f>
        <v>ha</v>
      </c>
      <c r="K26" s="29">
        <v>1</v>
      </c>
      <c r="M26" s="22"/>
      <c r="U26" s="22"/>
    </row>
    <row r="27" spans="1:31" s="59" customFormat="1">
      <c r="A27" s="47" t="s">
        <v>121</v>
      </c>
      <c r="B27" s="47" t="s">
        <v>833</v>
      </c>
      <c r="C27" s="48">
        <v>44058</v>
      </c>
      <c r="D27" s="64">
        <f t="shared" ref="D27" si="3">WEEKNUM(C27)</f>
        <v>33</v>
      </c>
      <c r="E27" s="47" t="s">
        <v>123</v>
      </c>
      <c r="F27" s="18" t="s">
        <v>84</v>
      </c>
      <c r="G27" s="18" t="s">
        <v>221</v>
      </c>
      <c r="H27" s="27"/>
      <c r="I27" s="24">
        <v>1</v>
      </c>
      <c r="J27" s="20" t="str">
        <f>VLOOKUP(G27,MD!M$2:O$93,3,FALSE)</f>
        <v>ha</v>
      </c>
      <c r="K27" s="29">
        <v>1</v>
      </c>
      <c r="L27" s="27"/>
      <c r="M27" s="22"/>
      <c r="N27" s="44"/>
      <c r="O27" s="44"/>
      <c r="P27" s="44"/>
      <c r="Q27" s="25"/>
      <c r="R27" s="25"/>
      <c r="S27" s="25"/>
      <c r="T27" s="25"/>
      <c r="U27" s="22"/>
      <c r="V27" s="44"/>
      <c r="W27" s="44"/>
      <c r="X27" s="44"/>
      <c r="Y27" s="25"/>
      <c r="Z27" s="25"/>
      <c r="AA27" s="25"/>
      <c r="AB27" s="25"/>
    </row>
    <row r="28" spans="1:31">
      <c r="A28" s="47" t="s">
        <v>121</v>
      </c>
      <c r="B28" s="47" t="s">
        <v>836</v>
      </c>
      <c r="C28" s="48">
        <v>44058</v>
      </c>
      <c r="D28" s="64">
        <f t="shared" si="1"/>
        <v>33</v>
      </c>
      <c r="E28" s="47" t="s">
        <v>123</v>
      </c>
      <c r="F28" s="18" t="s">
        <v>87</v>
      </c>
      <c r="G28" s="18" t="s">
        <v>94</v>
      </c>
      <c r="H28" s="27" t="s">
        <v>834</v>
      </c>
      <c r="I28" s="24">
        <f>1000/5.6*0.7</f>
        <v>125</v>
      </c>
      <c r="J28" s="20" t="str">
        <f>VLOOKUP(G28,MD!M$2:O$93,3,FALSE)</f>
        <v>gr./m2</v>
      </c>
      <c r="K28" s="29">
        <v>1</v>
      </c>
      <c r="L28" s="27" t="s">
        <v>840</v>
      </c>
      <c r="M28" s="22"/>
      <c r="U28" s="22"/>
    </row>
    <row r="29" spans="1:31">
      <c r="A29" s="47" t="s">
        <v>121</v>
      </c>
      <c r="B29" s="47" t="s">
        <v>836</v>
      </c>
      <c r="C29" s="48">
        <v>44139</v>
      </c>
      <c r="D29" s="64">
        <f t="shared" ref="D29:D30" si="4">WEEKNUM(C29)</f>
        <v>45</v>
      </c>
      <c r="E29" s="47" t="s">
        <v>881</v>
      </c>
      <c r="F29" s="18" t="s">
        <v>86</v>
      </c>
      <c r="G29" s="18" t="s">
        <v>73</v>
      </c>
      <c r="H29" s="27" t="s">
        <v>882</v>
      </c>
      <c r="I29" s="24">
        <v>1</v>
      </c>
      <c r="J29" s="20" t="str">
        <f>VLOOKUP(G29,MD!M$2:O$93,3,FALSE)</f>
        <v>ha</v>
      </c>
      <c r="K29" s="29">
        <v>1</v>
      </c>
      <c r="M29" s="22"/>
      <c r="U29" s="22"/>
    </row>
    <row r="30" spans="1:31" s="59" customFormat="1">
      <c r="A30" s="47" t="s">
        <v>847</v>
      </c>
      <c r="B30" s="47" t="s">
        <v>836</v>
      </c>
      <c r="C30" s="48">
        <v>44139</v>
      </c>
      <c r="D30" s="64">
        <f t="shared" si="4"/>
        <v>45</v>
      </c>
      <c r="E30" s="47" t="s">
        <v>121</v>
      </c>
      <c r="F30" s="18" t="s">
        <v>83</v>
      </c>
      <c r="G30" s="18" t="s">
        <v>63</v>
      </c>
      <c r="H30" s="27"/>
      <c r="I30" s="24">
        <v>1</v>
      </c>
      <c r="J30" s="20" t="str">
        <f>VLOOKUP(G30,MD!M$2:O$93,3,FALSE)</f>
        <v>ha</v>
      </c>
      <c r="K30" s="29">
        <v>1</v>
      </c>
      <c r="L30" s="27"/>
      <c r="M30" s="25"/>
      <c r="N30" s="25"/>
      <c r="O30" s="25"/>
      <c r="P30" s="22"/>
      <c r="Q30" s="44"/>
      <c r="R30" s="44"/>
      <c r="S30" s="44"/>
      <c r="T30" s="25"/>
      <c r="U30" s="25"/>
      <c r="V30" s="25"/>
      <c r="W30" s="25"/>
      <c r="X30" s="22"/>
      <c r="Y30" s="44"/>
      <c r="Z30" s="44"/>
      <c r="AA30" s="44"/>
      <c r="AB30" s="25"/>
      <c r="AC30" s="25"/>
      <c r="AD30" s="25"/>
      <c r="AE30" s="25"/>
    </row>
    <row r="31" spans="1:31" s="59" customFormat="1">
      <c r="A31" s="47" t="s">
        <v>847</v>
      </c>
      <c r="B31" s="47" t="s">
        <v>836</v>
      </c>
      <c r="C31" s="48">
        <v>44139</v>
      </c>
      <c r="D31" s="64">
        <f t="shared" ref="D31:D33" si="5">WEEKNUM(C31)</f>
        <v>45</v>
      </c>
      <c r="E31" s="47" t="s">
        <v>121</v>
      </c>
      <c r="F31" s="18" t="s">
        <v>84</v>
      </c>
      <c r="G31" s="18" t="s">
        <v>76</v>
      </c>
      <c r="H31" s="27"/>
      <c r="I31" s="24">
        <v>1</v>
      </c>
      <c r="J31" s="20" t="str">
        <f>VLOOKUP(G31,MD!M$2:O$93,3,FALSE)</f>
        <v>ha</v>
      </c>
      <c r="K31" s="29">
        <v>1</v>
      </c>
      <c r="L31" s="27"/>
      <c r="M31" s="22"/>
      <c r="N31" s="22"/>
      <c r="O31" s="22"/>
      <c r="P31" s="22"/>
      <c r="Q31" s="25"/>
      <c r="R31" s="25"/>
      <c r="S31" s="25"/>
      <c r="T31" s="25"/>
      <c r="U31" s="25"/>
      <c r="V31" s="25"/>
      <c r="W31" s="25"/>
      <c r="X31" s="22"/>
      <c r="Y31" s="44"/>
      <c r="Z31" s="44"/>
      <c r="AA31" s="44"/>
      <c r="AB31" s="25"/>
      <c r="AC31" s="25"/>
      <c r="AD31" s="25"/>
      <c r="AE31" s="25"/>
    </row>
    <row r="32" spans="1:31" s="59" customFormat="1">
      <c r="A32" s="47" t="s">
        <v>847</v>
      </c>
      <c r="B32" s="47" t="s">
        <v>836</v>
      </c>
      <c r="C32" s="48">
        <v>44139</v>
      </c>
      <c r="D32" s="64">
        <f t="shared" si="5"/>
        <v>45</v>
      </c>
      <c r="E32" s="47" t="s">
        <v>121</v>
      </c>
      <c r="F32" s="18" t="s">
        <v>87</v>
      </c>
      <c r="G32" s="18" t="s">
        <v>94</v>
      </c>
      <c r="H32" s="27" t="s">
        <v>924</v>
      </c>
      <c r="I32" s="24">
        <v>330</v>
      </c>
      <c r="J32" s="20" t="str">
        <f>VLOOKUP(G32,MD!M$2:O$93,3,FALSE)</f>
        <v>gr./m2</v>
      </c>
      <c r="K32" s="29">
        <v>1</v>
      </c>
      <c r="L32" s="27"/>
      <c r="M32" s="22"/>
      <c r="N32" s="22"/>
      <c r="O32" s="22"/>
      <c r="P32" s="22"/>
      <c r="Q32" s="25"/>
      <c r="R32" s="25"/>
      <c r="S32" s="25"/>
      <c r="T32" s="25"/>
      <c r="U32" s="25"/>
      <c r="V32" s="25"/>
      <c r="W32" s="25"/>
      <c r="X32" s="22"/>
      <c r="Y32" s="44"/>
      <c r="Z32" s="44"/>
      <c r="AA32" s="44"/>
      <c r="AB32" s="25"/>
      <c r="AC32" s="25"/>
      <c r="AD32" s="25"/>
      <c r="AE32" s="25"/>
    </row>
    <row r="33" spans="1:31" s="59" customFormat="1">
      <c r="A33" s="47" t="s">
        <v>847</v>
      </c>
      <c r="B33" s="47" t="s">
        <v>836</v>
      </c>
      <c r="C33" s="48">
        <v>44141</v>
      </c>
      <c r="D33" s="64">
        <f t="shared" si="5"/>
        <v>45</v>
      </c>
      <c r="E33" s="47" t="s">
        <v>121</v>
      </c>
      <c r="F33" s="18" t="s">
        <v>83</v>
      </c>
      <c r="G33" s="18" t="s">
        <v>56</v>
      </c>
      <c r="H33" s="27"/>
      <c r="I33" s="24">
        <v>1</v>
      </c>
      <c r="J33" s="20" t="str">
        <f>VLOOKUP(G33,MD!M$2:O$93,3,FALSE)</f>
        <v>ha</v>
      </c>
      <c r="K33" s="29">
        <v>1</v>
      </c>
      <c r="L33" s="27"/>
      <c r="M33" s="22"/>
      <c r="N33" s="22"/>
      <c r="O33" s="22"/>
      <c r="P33" s="22"/>
      <c r="Q33" s="25"/>
      <c r="R33" s="25"/>
      <c r="S33" s="25"/>
      <c r="T33" s="25"/>
      <c r="U33" s="25"/>
      <c r="V33" s="25"/>
      <c r="W33" s="25"/>
      <c r="X33" s="22"/>
      <c r="Y33" s="44"/>
      <c r="Z33" s="44"/>
      <c r="AA33" s="44"/>
      <c r="AB33" s="25"/>
      <c r="AC33" s="25"/>
      <c r="AD33" s="25"/>
      <c r="AE33" s="25"/>
    </row>
    <row r="34" spans="1:31">
      <c r="A34" s="47" t="s">
        <v>847</v>
      </c>
      <c r="B34" s="47" t="s">
        <v>878</v>
      </c>
      <c r="C34" s="48">
        <v>44238</v>
      </c>
      <c r="D34" s="64">
        <f t="shared" ref="D34:D38" si="6">WEEKNUM(C34)</f>
        <v>7</v>
      </c>
      <c r="E34" s="47" t="s">
        <v>121</v>
      </c>
      <c r="F34" s="18" t="s">
        <v>85</v>
      </c>
      <c r="G34" s="18" t="s">
        <v>214</v>
      </c>
      <c r="I34" s="24">
        <v>1</v>
      </c>
      <c r="J34" s="20" t="str">
        <f>VLOOKUP(G34,MD!M$2:O$93,3,FALSE)</f>
        <v>ha</v>
      </c>
      <c r="K34" s="29">
        <v>1</v>
      </c>
      <c r="M34" s="22"/>
      <c r="N34" s="22"/>
      <c r="O34" s="22"/>
      <c r="P34" s="22"/>
      <c r="U34" s="22"/>
    </row>
    <row r="35" spans="1:31">
      <c r="A35" s="47" t="s">
        <v>847</v>
      </c>
      <c r="B35" s="47" t="s">
        <v>879</v>
      </c>
      <c r="C35" s="48">
        <v>44238</v>
      </c>
      <c r="D35" s="64">
        <f t="shared" si="6"/>
        <v>7</v>
      </c>
      <c r="E35" s="47" t="s">
        <v>121</v>
      </c>
      <c r="F35" s="18" t="s">
        <v>88</v>
      </c>
      <c r="G35" s="18" t="s">
        <v>181</v>
      </c>
      <c r="H35" s="27" t="s">
        <v>970</v>
      </c>
      <c r="I35" s="24">
        <v>400</v>
      </c>
      <c r="J35" s="20" t="str">
        <f>VLOOKUP(G35,MD!M$2:O$93,3,FALSE)</f>
        <v>kg/ha</v>
      </c>
      <c r="K35" s="29">
        <v>1</v>
      </c>
      <c r="L35" s="27" t="s">
        <v>885</v>
      </c>
      <c r="M35" s="22"/>
      <c r="N35" s="22"/>
      <c r="O35" s="22"/>
      <c r="P35" s="22"/>
      <c r="U35" s="22"/>
    </row>
    <row r="36" spans="1:31">
      <c r="A36" s="47" t="s">
        <v>847</v>
      </c>
      <c r="B36" s="47" t="s">
        <v>883</v>
      </c>
      <c r="C36" s="48">
        <v>44256</v>
      </c>
      <c r="D36" s="64">
        <f t="shared" si="6"/>
        <v>10</v>
      </c>
      <c r="E36" s="47" t="s">
        <v>121</v>
      </c>
      <c r="F36" s="18" t="s">
        <v>83</v>
      </c>
      <c r="G36" s="18" t="s">
        <v>32</v>
      </c>
      <c r="I36" s="24">
        <v>1</v>
      </c>
      <c r="J36" s="20" t="str">
        <f>VLOOKUP(G36,MD!M$2:O$93,3,FALSE)</f>
        <v>ha</v>
      </c>
      <c r="K36" s="29">
        <v>1</v>
      </c>
      <c r="M36" s="22"/>
      <c r="N36" s="22"/>
      <c r="O36" s="22"/>
      <c r="P36" s="22"/>
      <c r="U36" s="22"/>
    </row>
    <row r="37" spans="1:31">
      <c r="A37" s="47" t="s">
        <v>847</v>
      </c>
      <c r="B37" s="47" t="s">
        <v>884</v>
      </c>
      <c r="C37" s="48">
        <v>44263</v>
      </c>
      <c r="D37" s="64">
        <f t="shared" si="6"/>
        <v>11</v>
      </c>
      <c r="E37" s="47" t="s">
        <v>121</v>
      </c>
      <c r="F37" s="18" t="s">
        <v>83</v>
      </c>
      <c r="G37" s="18" t="s">
        <v>32</v>
      </c>
      <c r="I37" s="24">
        <v>1</v>
      </c>
      <c r="J37" s="20" t="str">
        <f>VLOOKUP(G37,MD!M$2:O$93,3,FALSE)</f>
        <v>ha</v>
      </c>
      <c r="K37" s="29">
        <v>1</v>
      </c>
      <c r="L37" s="27" t="s">
        <v>886</v>
      </c>
      <c r="M37" s="22"/>
      <c r="U37" s="22"/>
    </row>
    <row r="38" spans="1:31" s="59" customFormat="1">
      <c r="A38" s="47" t="s">
        <v>121</v>
      </c>
      <c r="B38" s="47" t="s">
        <v>836</v>
      </c>
      <c r="C38" s="48">
        <v>44368</v>
      </c>
      <c r="D38" s="64">
        <f t="shared" si="6"/>
        <v>26</v>
      </c>
      <c r="E38" s="47" t="s">
        <v>121</v>
      </c>
      <c r="F38" s="18" t="s">
        <v>86</v>
      </c>
      <c r="G38" s="18"/>
      <c r="H38" s="27" t="s">
        <v>925</v>
      </c>
      <c r="I38" s="24">
        <v>120</v>
      </c>
      <c r="J38" s="20" t="s">
        <v>926</v>
      </c>
      <c r="K38" s="29">
        <v>1</v>
      </c>
      <c r="L38" s="27"/>
      <c r="M38" s="25"/>
      <c r="N38" s="25"/>
      <c r="O38" s="25"/>
      <c r="P38" s="22"/>
      <c r="Q38" s="44"/>
      <c r="R38" s="44"/>
      <c r="S38" s="44"/>
      <c r="T38" s="25"/>
      <c r="U38" s="25"/>
      <c r="V38" s="25"/>
      <c r="W38" s="25"/>
      <c r="X38" s="22"/>
      <c r="Y38" s="44"/>
      <c r="Z38" s="44"/>
      <c r="AA38" s="44"/>
      <c r="AB38" s="25"/>
      <c r="AC38" s="25"/>
      <c r="AD38" s="25"/>
      <c r="AE38" s="25"/>
    </row>
    <row r="39" spans="1:31">
      <c r="A39" s="47" t="s">
        <v>121</v>
      </c>
      <c r="B39" s="47" t="s">
        <v>836</v>
      </c>
      <c r="C39" s="48">
        <v>44382</v>
      </c>
      <c r="D39" s="64">
        <f t="shared" ref="D39:D50" si="7">WEEKNUM(C39)</f>
        <v>28</v>
      </c>
      <c r="E39" s="47" t="s">
        <v>121</v>
      </c>
      <c r="F39" s="18" t="s">
        <v>86</v>
      </c>
      <c r="G39" s="18" t="s">
        <v>971</v>
      </c>
      <c r="H39" s="27" t="s">
        <v>972</v>
      </c>
      <c r="I39" s="24">
        <v>0.3</v>
      </c>
      <c r="J39" s="20" t="str">
        <f>VLOOKUP(G39,MD!M$2:O$93,3,FALSE)</f>
        <v>ha</v>
      </c>
      <c r="K39" s="29">
        <f>0.3/1.15</f>
        <v>0.2608695652173913</v>
      </c>
      <c r="M39" s="22"/>
      <c r="U39" s="22"/>
    </row>
    <row r="40" spans="1:31" s="59" customFormat="1">
      <c r="A40" s="47" t="s">
        <v>121</v>
      </c>
      <c r="B40" s="47" t="s">
        <v>836</v>
      </c>
      <c r="C40" s="48">
        <v>44408</v>
      </c>
      <c r="D40" s="64">
        <f t="shared" si="7"/>
        <v>31</v>
      </c>
      <c r="E40" s="47" t="s">
        <v>121</v>
      </c>
      <c r="F40" s="18" t="s">
        <v>86</v>
      </c>
      <c r="G40" s="18" t="s">
        <v>55</v>
      </c>
      <c r="H40" s="27"/>
      <c r="I40" s="24">
        <v>1</v>
      </c>
      <c r="J40" s="20" t="str">
        <f>VLOOKUP(G40,MD!M$2:O$93,3,FALSE)</f>
        <v>ha</v>
      </c>
      <c r="K40" s="29">
        <v>1</v>
      </c>
      <c r="L40" s="27"/>
      <c r="M40" s="25"/>
      <c r="N40" s="25"/>
      <c r="O40" s="25"/>
      <c r="P40" s="22"/>
      <c r="Q40" s="44"/>
      <c r="R40" s="44"/>
      <c r="S40" s="44"/>
      <c r="T40" s="25"/>
      <c r="U40" s="25"/>
      <c r="V40" s="25"/>
      <c r="W40" s="25"/>
      <c r="X40" s="22"/>
      <c r="Y40" s="44"/>
      <c r="Z40" s="44"/>
      <c r="AA40" s="44"/>
      <c r="AB40" s="25"/>
      <c r="AC40" s="25"/>
      <c r="AD40" s="25"/>
      <c r="AE40" s="25"/>
    </row>
    <row r="41" spans="1:31" s="59" customFormat="1">
      <c r="A41" s="47" t="s">
        <v>121</v>
      </c>
      <c r="B41" s="47" t="s">
        <v>836</v>
      </c>
      <c r="C41" s="48">
        <v>44408</v>
      </c>
      <c r="D41" s="64">
        <f t="shared" si="7"/>
        <v>31</v>
      </c>
      <c r="E41" s="47" t="s">
        <v>121</v>
      </c>
      <c r="F41" s="18" t="s">
        <v>2</v>
      </c>
      <c r="G41" s="18" t="s">
        <v>115</v>
      </c>
      <c r="H41" s="27" t="s">
        <v>285</v>
      </c>
      <c r="I41" s="24">
        <v>64</v>
      </c>
      <c r="J41" s="20" t="str">
        <f>VLOOKUP(G41,MD!M$2:O$93,3,FALSE)</f>
        <v>Qtx/ha</v>
      </c>
      <c r="K41" s="29">
        <v>1</v>
      </c>
      <c r="L41" s="27" t="s">
        <v>980</v>
      </c>
      <c r="M41" s="25"/>
      <c r="N41" s="25"/>
      <c r="O41" s="25"/>
      <c r="P41" s="22"/>
      <c r="Q41" s="44"/>
      <c r="R41" s="44"/>
      <c r="S41" s="44"/>
      <c r="T41" s="25"/>
      <c r="U41" s="25"/>
      <c r="V41" s="25"/>
      <c r="W41" s="25"/>
      <c r="X41" s="22"/>
      <c r="Y41" s="44"/>
      <c r="Z41" s="44"/>
      <c r="AA41" s="44"/>
      <c r="AB41" s="25"/>
      <c r="AC41" s="25"/>
      <c r="AD41" s="25"/>
      <c r="AE41" s="25"/>
    </row>
    <row r="42" spans="1:31" s="59" customFormat="1">
      <c r="A42" s="47" t="s">
        <v>835</v>
      </c>
      <c r="B42" s="47" t="s">
        <v>986</v>
      </c>
      <c r="C42" s="48">
        <v>44415</v>
      </c>
      <c r="D42" s="64">
        <f t="shared" si="7"/>
        <v>32</v>
      </c>
      <c r="E42" s="47" t="s">
        <v>123</v>
      </c>
      <c r="F42" s="18" t="s">
        <v>83</v>
      </c>
      <c r="G42" s="18" t="s">
        <v>77</v>
      </c>
      <c r="H42" s="27"/>
      <c r="I42" s="24">
        <v>1</v>
      </c>
      <c r="J42" s="20" t="str">
        <f>VLOOKUP(G42,MD!M$2:O$93,3,FALSE)</f>
        <v>ha</v>
      </c>
      <c r="K42" s="29">
        <v>1</v>
      </c>
      <c r="L42" s="27"/>
      <c r="M42" s="25"/>
      <c r="N42" s="25"/>
      <c r="O42" s="25"/>
      <c r="P42" s="22"/>
      <c r="Q42" s="44"/>
      <c r="R42" s="44"/>
      <c r="S42" s="44"/>
      <c r="T42" s="25"/>
      <c r="U42" s="25"/>
      <c r="V42" s="25"/>
      <c r="W42" s="25"/>
      <c r="X42" s="22"/>
      <c r="Y42" s="44"/>
      <c r="Z42" s="44"/>
      <c r="AA42" s="44"/>
      <c r="AB42" s="25"/>
      <c r="AC42" s="25"/>
      <c r="AD42" s="25"/>
      <c r="AE42" s="25"/>
    </row>
    <row r="43" spans="1:31" s="59" customFormat="1">
      <c r="A43" s="47" t="s">
        <v>835</v>
      </c>
      <c r="B43" s="47" t="s">
        <v>986</v>
      </c>
      <c r="C43" s="48">
        <v>44417</v>
      </c>
      <c r="D43" s="64">
        <f t="shared" si="7"/>
        <v>33</v>
      </c>
      <c r="E43" s="47" t="s">
        <v>123</v>
      </c>
      <c r="F43" s="18" t="s">
        <v>84</v>
      </c>
      <c r="G43" s="18" t="s">
        <v>76</v>
      </c>
      <c r="H43" s="27"/>
      <c r="I43" s="24">
        <v>1</v>
      </c>
      <c r="J43" s="20" t="str">
        <f>VLOOKUP(G43,MD!M$2:O$93,3,FALSE)</f>
        <v>ha</v>
      </c>
      <c r="K43" s="29">
        <v>1</v>
      </c>
      <c r="L43" s="27" t="s">
        <v>987</v>
      </c>
      <c r="M43" s="25"/>
      <c r="N43" s="25"/>
      <c r="O43" s="25"/>
      <c r="P43" s="22"/>
      <c r="Q43" s="44"/>
      <c r="R43" s="44"/>
      <c r="S43" s="44"/>
      <c r="T43" s="25"/>
      <c r="U43" s="25"/>
      <c r="V43" s="25"/>
      <c r="W43" s="25"/>
      <c r="X43" s="22"/>
      <c r="Y43" s="44"/>
      <c r="Z43" s="44"/>
      <c r="AA43" s="44"/>
      <c r="AB43" s="25"/>
      <c r="AC43" s="25"/>
      <c r="AD43" s="25"/>
      <c r="AE43" s="25"/>
    </row>
    <row r="44" spans="1:31" s="59" customFormat="1">
      <c r="A44" s="47" t="s">
        <v>835</v>
      </c>
      <c r="B44" s="47" t="s">
        <v>986</v>
      </c>
      <c r="C44" s="48">
        <v>44417</v>
      </c>
      <c r="D44" s="64">
        <f t="shared" si="7"/>
        <v>33</v>
      </c>
      <c r="E44" s="47" t="s">
        <v>123</v>
      </c>
      <c r="F44" s="18" t="s">
        <v>87</v>
      </c>
      <c r="G44" s="18" t="s">
        <v>94</v>
      </c>
      <c r="H44" s="27" t="s">
        <v>994</v>
      </c>
      <c r="I44" s="24">
        <v>4</v>
      </c>
      <c r="J44" s="95" t="s">
        <v>106</v>
      </c>
      <c r="K44" s="29">
        <v>1</v>
      </c>
      <c r="L44" s="27"/>
      <c r="M44" s="25"/>
      <c r="N44" s="25"/>
      <c r="O44" s="25"/>
      <c r="P44" s="22"/>
      <c r="Q44" s="44"/>
      <c r="R44" s="44"/>
      <c r="S44" s="44"/>
      <c r="T44" s="25"/>
      <c r="U44" s="25"/>
      <c r="V44" s="25"/>
      <c r="W44" s="25"/>
      <c r="X44" s="22"/>
      <c r="Y44" s="44"/>
      <c r="Z44" s="44"/>
      <c r="AA44" s="44"/>
      <c r="AB44" s="25"/>
      <c r="AC44" s="25"/>
      <c r="AD44" s="25"/>
      <c r="AE44" s="25"/>
    </row>
    <row r="45" spans="1:31" s="59" customFormat="1">
      <c r="A45" s="47" t="s">
        <v>835</v>
      </c>
      <c r="B45" s="47" t="s">
        <v>986</v>
      </c>
      <c r="C45" s="48">
        <v>44417</v>
      </c>
      <c r="D45" s="64">
        <f t="shared" si="7"/>
        <v>33</v>
      </c>
      <c r="E45" s="47" t="s">
        <v>123</v>
      </c>
      <c r="F45" s="18" t="s">
        <v>87</v>
      </c>
      <c r="G45" s="18" t="s">
        <v>94</v>
      </c>
      <c r="H45" s="27" t="s">
        <v>272</v>
      </c>
      <c r="I45" s="24">
        <v>12</v>
      </c>
      <c r="J45" s="95" t="s">
        <v>106</v>
      </c>
      <c r="K45" s="29">
        <v>1</v>
      </c>
      <c r="L45" s="27"/>
      <c r="M45" s="25"/>
      <c r="N45" s="25"/>
      <c r="O45" s="25"/>
      <c r="P45" s="22"/>
      <c r="Q45" s="44"/>
      <c r="R45" s="44"/>
      <c r="S45" s="44"/>
      <c r="T45" s="25"/>
      <c r="U45" s="25"/>
      <c r="V45" s="25"/>
      <c r="W45" s="25"/>
      <c r="X45" s="22"/>
      <c r="Y45" s="44"/>
      <c r="Z45" s="44"/>
      <c r="AA45" s="44"/>
      <c r="AB45" s="25"/>
      <c r="AC45" s="25"/>
      <c r="AD45" s="25"/>
      <c r="AE45" s="25"/>
    </row>
    <row r="46" spans="1:31">
      <c r="A46" s="47" t="s">
        <v>835</v>
      </c>
      <c r="B46" s="47" t="s">
        <v>986</v>
      </c>
      <c r="C46" s="48">
        <v>44505</v>
      </c>
      <c r="D46" s="64">
        <f t="shared" si="7"/>
        <v>45</v>
      </c>
      <c r="E46" s="47" t="s">
        <v>993</v>
      </c>
      <c r="F46" s="18" t="s">
        <v>86</v>
      </c>
      <c r="G46" s="18" t="s">
        <v>48</v>
      </c>
      <c r="I46" s="24">
        <v>1</v>
      </c>
      <c r="J46" s="20" t="str">
        <f>VLOOKUP(G46,MD!M$2:O$93,3,FALSE)</f>
        <v>ha</v>
      </c>
      <c r="K46" s="29">
        <v>1</v>
      </c>
      <c r="M46" s="22"/>
      <c r="U46" s="22"/>
    </row>
    <row r="47" spans="1:31">
      <c r="A47" s="47" t="s">
        <v>835</v>
      </c>
      <c r="B47" s="47" t="s">
        <v>986</v>
      </c>
      <c r="C47" s="48">
        <v>44673</v>
      </c>
      <c r="D47" s="64">
        <f t="shared" si="7"/>
        <v>17</v>
      </c>
      <c r="E47" s="47" t="s">
        <v>1017</v>
      </c>
      <c r="F47" s="18" t="s">
        <v>85</v>
      </c>
      <c r="G47" s="18" t="s">
        <v>214</v>
      </c>
      <c r="J47" s="20" t="str">
        <f>VLOOKUP(G47,MD!M$2:O$93,3,FALSE)</f>
        <v>ha</v>
      </c>
      <c r="K47" s="29">
        <v>1</v>
      </c>
      <c r="M47" s="22"/>
      <c r="U47" s="22"/>
    </row>
    <row r="48" spans="1:31">
      <c r="A48" s="47" t="s">
        <v>835</v>
      </c>
      <c r="B48" s="47" t="s">
        <v>986</v>
      </c>
      <c r="C48" s="48">
        <v>44673</v>
      </c>
      <c r="D48" s="64">
        <f t="shared" si="7"/>
        <v>17</v>
      </c>
      <c r="E48" s="47" t="s">
        <v>1017</v>
      </c>
      <c r="F48" s="18" t="s">
        <v>88</v>
      </c>
      <c r="G48" s="18" t="s">
        <v>181</v>
      </c>
      <c r="I48" s="24">
        <v>800</v>
      </c>
      <c r="J48" s="20" t="str">
        <f>VLOOKUP(G48,MD!M$2:O$93,3,FALSE)</f>
        <v>kg/ha</v>
      </c>
      <c r="K48" s="29">
        <v>1</v>
      </c>
      <c r="M48" s="22"/>
      <c r="U48" s="22"/>
    </row>
    <row r="49" spans="1:21">
      <c r="A49" s="47" t="s">
        <v>835</v>
      </c>
      <c r="B49" s="47" t="s">
        <v>986</v>
      </c>
      <c r="C49" s="48">
        <v>44674</v>
      </c>
      <c r="D49" s="64">
        <f t="shared" si="7"/>
        <v>17</v>
      </c>
      <c r="E49" s="47" t="s">
        <v>1017</v>
      </c>
      <c r="F49" s="18" t="s">
        <v>86</v>
      </c>
      <c r="G49" s="18" t="s">
        <v>48</v>
      </c>
      <c r="I49" s="24">
        <v>1</v>
      </c>
      <c r="J49" s="20" t="str">
        <f>VLOOKUP(G49,MD!M$2:O$93,3,FALSE)</f>
        <v>ha</v>
      </c>
      <c r="K49" s="29">
        <v>1</v>
      </c>
      <c r="M49" s="22"/>
      <c r="U49" s="22"/>
    </row>
    <row r="50" spans="1:21">
      <c r="A50" s="47" t="s">
        <v>835</v>
      </c>
      <c r="B50" s="47" t="s">
        <v>986</v>
      </c>
      <c r="C50" s="48">
        <v>44674</v>
      </c>
      <c r="D50" s="64">
        <f t="shared" si="7"/>
        <v>17</v>
      </c>
      <c r="E50" s="47" t="s">
        <v>1017</v>
      </c>
      <c r="F50" s="18" t="s">
        <v>83</v>
      </c>
      <c r="G50" s="18" t="s">
        <v>63</v>
      </c>
      <c r="I50" s="24">
        <v>1</v>
      </c>
      <c r="J50" s="20" t="str">
        <f>VLOOKUP(G50,MD!M$2:O$93,3,FALSE)</f>
        <v>ha</v>
      </c>
      <c r="K50" s="29">
        <v>1</v>
      </c>
      <c r="M50" s="22"/>
      <c r="U50" s="22"/>
    </row>
    <row r="51" spans="1:21">
      <c r="A51" s="47" t="s">
        <v>835</v>
      </c>
      <c r="B51" s="47" t="s">
        <v>986</v>
      </c>
      <c r="C51" s="48">
        <v>44674</v>
      </c>
      <c r="D51" s="64">
        <f t="shared" ref="D51:D53" si="8">WEEKNUM(C51)</f>
        <v>17</v>
      </c>
      <c r="E51" s="47" t="s">
        <v>123</v>
      </c>
      <c r="F51" s="18" t="s">
        <v>83</v>
      </c>
      <c r="G51" s="18" t="s">
        <v>38</v>
      </c>
      <c r="I51" s="24">
        <v>1</v>
      </c>
      <c r="J51" s="20" t="str">
        <f>VLOOKUP(G51,MD!M$2:O$93,3,FALSE)</f>
        <v>ha</v>
      </c>
      <c r="K51" s="29">
        <v>1</v>
      </c>
      <c r="M51" s="22"/>
      <c r="U51" s="22"/>
    </row>
    <row r="52" spans="1:21">
      <c r="A52" s="47"/>
      <c r="B52" s="47"/>
      <c r="C52" s="48"/>
      <c r="D52" s="64">
        <f t="shared" si="8"/>
        <v>0</v>
      </c>
      <c r="E52" s="47" t="s">
        <v>123</v>
      </c>
      <c r="F52" s="18" t="s">
        <v>83</v>
      </c>
      <c r="G52" s="18" t="s">
        <v>60</v>
      </c>
      <c r="I52" s="24">
        <v>1</v>
      </c>
      <c r="J52" s="20" t="str">
        <f>VLOOKUP(G52,MD!M$2:O$93,3,FALSE)</f>
        <v>ha</v>
      </c>
      <c r="K52" s="29">
        <v>1</v>
      </c>
      <c r="M52" s="22"/>
      <c r="U52" s="22"/>
    </row>
    <row r="53" spans="1:21">
      <c r="A53" s="47"/>
      <c r="B53" s="47"/>
      <c r="C53" s="48">
        <v>44686</v>
      </c>
      <c r="D53" s="64">
        <f t="shared" si="8"/>
        <v>19</v>
      </c>
      <c r="E53" s="47" t="s">
        <v>123</v>
      </c>
      <c r="F53" s="18" t="s">
        <v>84</v>
      </c>
      <c r="G53" s="18" t="s">
        <v>76</v>
      </c>
      <c r="I53" s="24">
        <v>1</v>
      </c>
      <c r="J53" s="20" t="str">
        <f>VLOOKUP(G53,MD!M$2:O$93,3,FALSE)</f>
        <v>ha</v>
      </c>
      <c r="K53" s="29">
        <v>1</v>
      </c>
      <c r="M53" s="22"/>
      <c r="U53" s="22"/>
    </row>
    <row r="54" spans="1:21">
      <c r="A54" s="47"/>
      <c r="B54" s="47"/>
      <c r="C54" s="48">
        <v>44686</v>
      </c>
      <c r="D54" s="64">
        <f t="shared" ref="D54" si="9">WEEKNUM(C54)</f>
        <v>19</v>
      </c>
      <c r="E54" s="47" t="s">
        <v>123</v>
      </c>
      <c r="F54" s="18" t="s">
        <v>87</v>
      </c>
      <c r="G54" s="18" t="s">
        <v>94</v>
      </c>
      <c r="H54" s="27" t="s">
        <v>1059</v>
      </c>
      <c r="I54" s="24">
        <v>9.6</v>
      </c>
      <c r="J54" s="20" t="str">
        <f>VLOOKUP(G54,MD!M$2:O$93,3,FALSE)</f>
        <v>gr./m2</v>
      </c>
      <c r="K54" s="29">
        <v>1</v>
      </c>
      <c r="M54" s="22"/>
      <c r="U54" s="22"/>
    </row>
    <row r="55" spans="1:21">
      <c r="A55" s="47"/>
      <c r="B55" s="47"/>
      <c r="C55" s="48"/>
      <c r="D55" s="64"/>
      <c r="J55" s="20" t="e">
        <f>VLOOKUP(G55,MD!M$2:O$93,3,FALSE)</f>
        <v>#N/A</v>
      </c>
      <c r="K55" s="29"/>
      <c r="M55" s="22"/>
      <c r="U55" s="22"/>
    </row>
    <row r="56" spans="1:21">
      <c r="A56" s="47"/>
      <c r="B56" s="47"/>
      <c r="C56" s="48"/>
      <c r="D56" s="64"/>
      <c r="J56" s="20" t="e">
        <f>VLOOKUP(G56,MD!M$2:O$93,3,FALSE)</f>
        <v>#N/A</v>
      </c>
      <c r="K56" s="29"/>
      <c r="M56" s="22"/>
      <c r="U56" s="22"/>
    </row>
    <row r="57" spans="1:21">
      <c r="A57" s="47"/>
      <c r="B57" s="47"/>
      <c r="C57" s="48"/>
      <c r="D57" s="64"/>
      <c r="J57" s="20" t="e">
        <f>VLOOKUP(G57,MD!M$2:O$93,3,FALSE)</f>
        <v>#N/A</v>
      </c>
      <c r="K57" s="29"/>
      <c r="M57" s="22"/>
      <c r="U57" s="22"/>
    </row>
    <row r="58" spans="1:21">
      <c r="A58" s="47"/>
      <c r="B58" s="47"/>
      <c r="C58" s="48"/>
      <c r="D58" s="64"/>
      <c r="J58" s="20" t="e">
        <f>VLOOKUP(G58,MD!M$2:O$93,3,FALSE)</f>
        <v>#N/A</v>
      </c>
      <c r="K58" s="29"/>
      <c r="M58" s="22"/>
      <c r="U58" s="22"/>
    </row>
    <row r="59" spans="1:21">
      <c r="A59" s="47"/>
      <c r="B59" s="47"/>
      <c r="C59" s="48"/>
      <c r="D59" s="64"/>
      <c r="J59" s="20" t="e">
        <f>VLOOKUP(G59,MD!M$2:O$93,3,FALSE)</f>
        <v>#N/A</v>
      </c>
      <c r="K59" s="29"/>
      <c r="M59" s="22"/>
      <c r="U59" s="22"/>
    </row>
    <row r="60" spans="1:21">
      <c r="A60" s="47"/>
      <c r="B60" s="47"/>
      <c r="C60" s="48"/>
      <c r="D60" s="64"/>
      <c r="J60" s="20" t="e">
        <f>VLOOKUP(G60,MD!M$2:O$93,3,FALSE)</f>
        <v>#N/A</v>
      </c>
      <c r="K60" s="29"/>
      <c r="M60" s="22"/>
      <c r="U60" s="22"/>
    </row>
    <row r="61" spans="1:21">
      <c r="A61" s="47"/>
      <c r="B61" s="47"/>
      <c r="C61" s="48"/>
      <c r="D61" s="64"/>
      <c r="J61" s="20" t="e">
        <f>VLOOKUP(G61,MD!M$2:O$93,3,FALSE)</f>
        <v>#N/A</v>
      </c>
      <c r="K61" s="29"/>
      <c r="M61" s="22"/>
      <c r="U61" s="22"/>
    </row>
    <row r="62" spans="1:21">
      <c r="A62" s="47"/>
      <c r="B62" s="47"/>
      <c r="C62" s="48"/>
      <c r="D62" s="64"/>
      <c r="J62" s="20" t="e">
        <f>VLOOKUP(G62,MD!M$2:O$93,3,FALSE)</f>
        <v>#N/A</v>
      </c>
      <c r="K62" s="29"/>
      <c r="M62" s="22"/>
      <c r="U62" s="22"/>
    </row>
    <row r="63" spans="1:21">
      <c r="A63" s="47"/>
      <c r="B63" s="47"/>
      <c r="C63" s="48"/>
      <c r="D63" s="64"/>
      <c r="J63" s="20" t="e">
        <f>VLOOKUP(G63,MD!M$2:O$93,3,FALSE)</f>
        <v>#N/A</v>
      </c>
      <c r="K63" s="29"/>
      <c r="M63" s="22"/>
      <c r="U63" s="22"/>
    </row>
    <row r="64" spans="1:21">
      <c r="A64" s="47"/>
      <c r="B64" s="47"/>
      <c r="C64" s="48"/>
      <c r="D64" s="64"/>
      <c r="J64" s="20" t="e">
        <f>VLOOKUP(G64,MD!M$2:O$93,3,FALSE)</f>
        <v>#N/A</v>
      </c>
      <c r="K64" s="29"/>
      <c r="M64" s="22"/>
      <c r="U64" s="22"/>
    </row>
    <row r="65" spans="1:21">
      <c r="A65" s="47"/>
      <c r="B65" s="47"/>
      <c r="C65" s="48"/>
      <c r="D65" s="64"/>
      <c r="J65" s="20" t="e">
        <f>VLOOKUP(G65,MD!M$2:O$93,3,FALSE)</f>
        <v>#N/A</v>
      </c>
      <c r="K65" s="29"/>
      <c r="M65" s="22"/>
      <c r="U65" s="22"/>
    </row>
    <row r="66" spans="1:21">
      <c r="A66" s="47"/>
      <c r="B66" s="47"/>
      <c r="C66" s="48"/>
      <c r="D66" s="64"/>
      <c r="J66" s="20" t="e">
        <f>VLOOKUP(G66,MD!M$2:O$93,3,FALSE)</f>
        <v>#N/A</v>
      </c>
      <c r="K66" s="29"/>
      <c r="M66" s="22"/>
      <c r="U66" s="22"/>
    </row>
    <row r="67" spans="1:21">
      <c r="A67" s="47"/>
      <c r="B67" s="47"/>
      <c r="C67" s="48"/>
      <c r="D67" s="64"/>
      <c r="J67" s="20" t="e">
        <f>VLOOKUP(G67,MD!M$2:O$93,3,FALSE)</f>
        <v>#N/A</v>
      </c>
      <c r="K67" s="29"/>
      <c r="M67" s="22"/>
      <c r="U67" s="22"/>
    </row>
    <row r="68" spans="1:21">
      <c r="A68" s="47"/>
      <c r="B68" s="47"/>
      <c r="C68" s="48"/>
      <c r="D68" s="64"/>
      <c r="J68" s="20" t="e">
        <f>VLOOKUP(G68,MD!M$2:O$93,3,FALSE)</f>
        <v>#N/A</v>
      </c>
      <c r="K68" s="29"/>
      <c r="M68" s="22"/>
      <c r="U68" s="22"/>
    </row>
    <row r="69" spans="1:21">
      <c r="A69" s="47"/>
      <c r="B69" s="47"/>
      <c r="C69" s="48"/>
      <c r="D69" s="64"/>
      <c r="J69" s="20" t="e">
        <f>VLOOKUP(G69,MD!M$2:O$93,3,FALSE)</f>
        <v>#N/A</v>
      </c>
      <c r="K69" s="29"/>
      <c r="M69" s="22"/>
      <c r="U69" s="22"/>
    </row>
    <row r="70" spans="1:21">
      <c r="A70" s="47"/>
      <c r="B70" s="47"/>
      <c r="C70" s="48"/>
      <c r="D70" s="64"/>
      <c r="J70" s="20" t="e">
        <f>VLOOKUP(G70,MD!M$2:O$93,3,FALSE)</f>
        <v>#N/A</v>
      </c>
      <c r="K70" s="29"/>
      <c r="M70" s="22"/>
      <c r="U70" s="22"/>
    </row>
    <row r="71" spans="1:21">
      <c r="A71" s="47"/>
      <c r="B71" s="47"/>
      <c r="C71" s="48"/>
      <c r="D71" s="64"/>
      <c r="J71" s="20" t="e">
        <f>VLOOKUP(G71,MD!M$2:O$93,3,FALSE)</f>
        <v>#N/A</v>
      </c>
      <c r="K71" s="29"/>
      <c r="M71" s="22"/>
      <c r="U71" s="22"/>
    </row>
    <row r="72" spans="1:21">
      <c r="A72" s="47"/>
      <c r="B72" s="47"/>
      <c r="C72" s="48"/>
      <c r="D72" s="64"/>
      <c r="J72" s="20" t="e">
        <f>VLOOKUP(G72,MD!M$2:O$93,3,FALSE)</f>
        <v>#N/A</v>
      </c>
      <c r="K72" s="29"/>
      <c r="M72" s="22"/>
      <c r="U72" s="22"/>
    </row>
    <row r="73" spans="1:21">
      <c r="A73" s="47"/>
      <c r="B73" s="47"/>
      <c r="C73" s="48"/>
      <c r="D73" s="64"/>
      <c r="J73" s="20" t="e">
        <f>VLOOKUP(G73,MD!M$2:O$93,3,FALSE)</f>
        <v>#N/A</v>
      </c>
      <c r="K73" s="29"/>
      <c r="M73" s="22"/>
      <c r="U73" s="22"/>
    </row>
    <row r="74" spans="1:21">
      <c r="A74" s="47"/>
      <c r="B74" s="47"/>
      <c r="C74" s="48"/>
      <c r="D74" s="64"/>
      <c r="J74" s="20" t="e">
        <f>VLOOKUP(G74,MD!M$2:O$93,3,FALSE)</f>
        <v>#N/A</v>
      </c>
      <c r="K74" s="29"/>
      <c r="M74" s="22"/>
      <c r="U74" s="22"/>
    </row>
    <row r="75" spans="1:21">
      <c r="A75" s="47"/>
      <c r="B75" s="47"/>
      <c r="C75" s="48"/>
      <c r="D75" s="64"/>
      <c r="J75" s="20" t="e">
        <f>VLOOKUP(G75,MD!M$2:O$93,3,FALSE)</f>
        <v>#N/A</v>
      </c>
      <c r="K75" s="29"/>
      <c r="M75" s="22"/>
      <c r="U75" s="22"/>
    </row>
    <row r="76" spans="1:21">
      <c r="A76" s="47"/>
      <c r="B76" s="47"/>
      <c r="C76" s="48"/>
      <c r="D76" s="64"/>
      <c r="J76" s="20" t="e">
        <f>VLOOKUP(G76,MD!M$2:O$93,3,FALSE)</f>
        <v>#N/A</v>
      </c>
      <c r="K76" s="29"/>
      <c r="M76" s="22"/>
      <c r="U76" s="22"/>
    </row>
    <row r="77" spans="1:21">
      <c r="A77" s="47"/>
      <c r="B77" s="47"/>
      <c r="C77" s="48"/>
      <c r="D77" s="64"/>
      <c r="J77" s="20" t="e">
        <f>VLOOKUP(G77,MD!M$2:O$93,3,FALSE)</f>
        <v>#N/A</v>
      </c>
      <c r="K77" s="29"/>
      <c r="M77" s="22"/>
      <c r="U77" s="22"/>
    </row>
    <row r="78" spans="1:21">
      <c r="A78" s="47"/>
      <c r="B78" s="47"/>
      <c r="C78" s="48"/>
      <c r="D78" s="64"/>
      <c r="J78" s="20" t="e">
        <f>VLOOKUP(G78,MD!M$2:O$93,3,FALSE)</f>
        <v>#N/A</v>
      </c>
      <c r="K78" s="29"/>
      <c r="M78" s="22"/>
      <c r="U78" s="22"/>
    </row>
    <row r="79" spans="1:21">
      <c r="A79" s="47"/>
      <c r="B79" s="47"/>
      <c r="C79" s="48"/>
      <c r="D79" s="64"/>
      <c r="J79" s="20" t="e">
        <f>VLOOKUP(G79,MD!M$2:O$93,3,FALSE)</f>
        <v>#N/A</v>
      </c>
      <c r="K79" s="29"/>
      <c r="M79" s="22"/>
      <c r="U79" s="22"/>
    </row>
    <row r="80" spans="1:21">
      <c r="A80" s="47"/>
      <c r="B80" s="47"/>
      <c r="C80" s="48"/>
      <c r="D80" s="64"/>
      <c r="J80" s="20" t="e">
        <f>VLOOKUP(G80,MD!M$2:O$93,3,FALSE)</f>
        <v>#N/A</v>
      </c>
      <c r="K80" s="29"/>
      <c r="M80" s="22"/>
      <c r="U80" s="22"/>
    </row>
    <row r="81" spans="1:21">
      <c r="A81" s="47"/>
      <c r="B81" s="47"/>
      <c r="C81" s="48"/>
      <c r="D81" s="64"/>
      <c r="J81" s="20" t="e">
        <f>VLOOKUP(G81,MD!M$2:O$93,3,FALSE)</f>
        <v>#N/A</v>
      </c>
      <c r="K81" s="29"/>
      <c r="M81" s="22"/>
      <c r="U81" s="22"/>
    </row>
    <row r="82" spans="1:21">
      <c r="A82" s="47"/>
      <c r="B82" s="47"/>
      <c r="C82" s="48"/>
      <c r="D82" s="64"/>
      <c r="J82" s="20" t="e">
        <f>VLOOKUP(G82,MD!M$2:O$93,3,FALSE)</f>
        <v>#N/A</v>
      </c>
      <c r="K82" s="29"/>
      <c r="M82" s="22"/>
      <c r="U82" s="22"/>
    </row>
    <row r="83" spans="1:21">
      <c r="A83" s="47"/>
      <c r="B83" s="47"/>
      <c r="C83" s="48"/>
      <c r="D83" s="64"/>
      <c r="J83" s="20" t="e">
        <f>VLOOKUP(G83,MD!M$2:O$93,3,FALSE)</f>
        <v>#N/A</v>
      </c>
      <c r="K83" s="29"/>
      <c r="M83" s="22"/>
      <c r="U83" s="22"/>
    </row>
    <row r="84" spans="1:21">
      <c r="A84" s="47"/>
      <c r="B84" s="47"/>
      <c r="C84" s="48"/>
      <c r="D84" s="64"/>
      <c r="J84" s="20" t="e">
        <f>VLOOKUP(G84,MD!M$2:O$93,3,FALSE)</f>
        <v>#N/A</v>
      </c>
      <c r="K84" s="29"/>
      <c r="M84" s="22"/>
      <c r="U84" s="22"/>
    </row>
    <row r="85" spans="1:21">
      <c r="A85" s="47"/>
      <c r="B85" s="47"/>
      <c r="C85" s="48"/>
      <c r="D85" s="64"/>
      <c r="J85" s="20" t="e">
        <f>VLOOKUP(G85,MD!M$2:O$93,3,FALSE)</f>
        <v>#N/A</v>
      </c>
      <c r="K85" s="29"/>
      <c r="M85" s="22"/>
      <c r="U85" s="22"/>
    </row>
    <row r="86" spans="1:21">
      <c r="A86" s="47"/>
      <c r="B86" s="47"/>
      <c r="C86" s="48"/>
      <c r="D86" s="64"/>
      <c r="J86" s="20" t="e">
        <f>VLOOKUP(G86,MD!M$2:O$93,3,FALSE)</f>
        <v>#N/A</v>
      </c>
      <c r="K86" s="29"/>
      <c r="M86" s="22"/>
      <c r="U86" s="22"/>
    </row>
    <row r="87" spans="1:21">
      <c r="A87" s="47"/>
      <c r="B87" s="47"/>
      <c r="C87" s="48"/>
      <c r="D87" s="64"/>
      <c r="J87" s="20" t="e">
        <f>VLOOKUP(G87,MD!M$2:O$93,3,FALSE)</f>
        <v>#N/A</v>
      </c>
      <c r="K87" s="29"/>
      <c r="M87" s="22"/>
      <c r="U87" s="22"/>
    </row>
    <row r="88" spans="1:21">
      <c r="A88" s="47"/>
      <c r="B88" s="47"/>
      <c r="C88" s="48"/>
      <c r="D88" s="64"/>
      <c r="J88" s="20" t="e">
        <f>VLOOKUP(G88,MD!M$2:O$93,3,FALSE)</f>
        <v>#N/A</v>
      </c>
      <c r="K88" s="29"/>
      <c r="M88" s="22"/>
      <c r="U88" s="22"/>
    </row>
    <row r="89" spans="1:21">
      <c r="A89" s="47"/>
      <c r="B89" s="47"/>
      <c r="C89" s="48"/>
      <c r="D89" s="64"/>
      <c r="J89" s="20" t="e">
        <f>VLOOKUP(G89,MD!M$2:O$93,3,FALSE)</f>
        <v>#N/A</v>
      </c>
      <c r="K89" s="29"/>
      <c r="M89" s="22"/>
      <c r="U89" s="22"/>
    </row>
    <row r="90" spans="1:21">
      <c r="A90" s="47"/>
      <c r="B90" s="47"/>
      <c r="C90" s="48"/>
      <c r="D90" s="64"/>
      <c r="J90" s="20" t="e">
        <f>VLOOKUP(G90,MD!M$2:O$93,3,FALSE)</f>
        <v>#N/A</v>
      </c>
      <c r="K90" s="29"/>
      <c r="M90" s="22"/>
      <c r="U90" s="22"/>
    </row>
    <row r="91" spans="1:21">
      <c r="A91" s="47"/>
      <c r="B91" s="47"/>
      <c r="C91" s="48"/>
      <c r="D91" s="64"/>
      <c r="J91" s="20" t="e">
        <f>VLOOKUP(G91,MD!M$2:O$93,3,FALSE)</f>
        <v>#N/A</v>
      </c>
      <c r="K91" s="29"/>
      <c r="M91" s="22"/>
      <c r="U91" s="22"/>
    </row>
    <row r="92" spans="1:21">
      <c r="A92" s="47"/>
      <c r="B92" s="47"/>
      <c r="C92" s="48"/>
      <c r="D92" s="64"/>
      <c r="J92" s="20" t="e">
        <f>VLOOKUP(G92,MD!M$2:O$93,3,FALSE)</f>
        <v>#N/A</v>
      </c>
      <c r="K92" s="29"/>
      <c r="M92" s="22"/>
      <c r="U92" s="22"/>
    </row>
    <row r="93" spans="1:21">
      <c r="A93" s="47"/>
      <c r="B93" s="47"/>
      <c r="C93" s="48"/>
      <c r="D93" s="64"/>
      <c r="J93" s="20" t="e">
        <f>VLOOKUP(G93,MD!M$2:O$93,3,FALSE)</f>
        <v>#N/A</v>
      </c>
      <c r="K93" s="29"/>
      <c r="M93" s="22"/>
      <c r="U93" s="22"/>
    </row>
    <row r="94" spans="1:21">
      <c r="A94" s="47"/>
      <c r="B94" s="47"/>
      <c r="C94" s="48"/>
      <c r="D94" s="64"/>
      <c r="J94" s="20" t="e">
        <f>VLOOKUP(G94,MD!M$2:O$93,3,FALSE)</f>
        <v>#N/A</v>
      </c>
      <c r="K94" s="29"/>
      <c r="M94" s="22"/>
      <c r="U94" s="22"/>
    </row>
    <row r="95" spans="1:21">
      <c r="A95" s="47"/>
      <c r="B95" s="47"/>
      <c r="C95" s="48"/>
      <c r="D95" s="64"/>
      <c r="J95" s="20" t="e">
        <f>VLOOKUP(G95,MD!M$2:O$93,3,FALSE)</f>
        <v>#N/A</v>
      </c>
      <c r="K95" s="29"/>
      <c r="M95" s="22"/>
      <c r="U95" s="22"/>
    </row>
    <row r="96" spans="1:21">
      <c r="A96" s="47"/>
      <c r="B96" s="47"/>
      <c r="C96" s="48"/>
      <c r="D96" s="64"/>
      <c r="J96" s="20" t="e">
        <f>VLOOKUP(G96,MD!M$2:O$93,3,FALSE)</f>
        <v>#N/A</v>
      </c>
      <c r="K96" s="29"/>
      <c r="M96" s="22"/>
      <c r="U96" s="22"/>
    </row>
    <row r="97" spans="1:21">
      <c r="A97" s="47"/>
      <c r="B97" s="47"/>
      <c r="C97" s="48"/>
      <c r="D97" s="64"/>
      <c r="J97" s="20" t="e">
        <f>VLOOKUP(G97,MD!M$2:O$93,3,FALSE)</f>
        <v>#N/A</v>
      </c>
      <c r="K97" s="29"/>
      <c r="M97" s="22"/>
      <c r="U97" s="22"/>
    </row>
    <row r="98" spans="1:21">
      <c r="A98" s="47"/>
      <c r="B98" s="47"/>
      <c r="C98" s="48"/>
      <c r="D98" s="64"/>
      <c r="J98" s="20" t="e">
        <f>VLOOKUP(G98,MD!M$2:O$93,3,FALSE)</f>
        <v>#N/A</v>
      </c>
      <c r="K98" s="29"/>
      <c r="M98" s="22"/>
      <c r="U98" s="22"/>
    </row>
    <row r="99" spans="1:21">
      <c r="A99" s="47"/>
      <c r="B99" s="47"/>
      <c r="C99" s="48"/>
      <c r="D99" s="64"/>
      <c r="J99" s="20" t="e">
        <f>VLOOKUP(G99,MD!M$2:O$93,3,FALSE)</f>
        <v>#N/A</v>
      </c>
      <c r="K99" s="29"/>
      <c r="M99" s="22"/>
      <c r="U99" s="22"/>
    </row>
    <row r="100" spans="1:21">
      <c r="A100" s="47"/>
      <c r="B100" s="47"/>
      <c r="C100" s="48"/>
      <c r="D100" s="64"/>
      <c r="J100" s="20" t="e">
        <f>VLOOKUP(G100,MD!M$2:O$93,3,FALSE)</f>
        <v>#N/A</v>
      </c>
      <c r="K100" s="29"/>
      <c r="M100" s="22"/>
      <c r="U100" s="22"/>
    </row>
    <row r="101" spans="1:21">
      <c r="A101" s="47"/>
      <c r="B101" s="47"/>
      <c r="C101" s="48"/>
      <c r="D101" s="64"/>
      <c r="J101" s="20" t="e">
        <f>VLOOKUP(G101,MD!M$2:O$93,3,FALSE)</f>
        <v>#N/A</v>
      </c>
      <c r="K101" s="29"/>
      <c r="M101" s="22"/>
      <c r="U101" s="22"/>
    </row>
    <row r="102" spans="1:21">
      <c r="A102" s="47"/>
      <c r="B102" s="47"/>
      <c r="C102" s="48"/>
      <c r="D102" s="64"/>
      <c r="J102" s="20" t="e">
        <f>VLOOKUP(G102,MD!M$2:O$93,3,FALSE)</f>
        <v>#N/A</v>
      </c>
      <c r="K102" s="29"/>
      <c r="M102" s="22"/>
      <c r="U102" s="22"/>
    </row>
    <row r="103" spans="1:21">
      <c r="A103" s="47"/>
      <c r="B103" s="47"/>
      <c r="C103" s="48"/>
      <c r="D103" s="64"/>
      <c r="J103" s="20" t="e">
        <f>VLOOKUP(G103,MD!M$2:O$93,3,FALSE)</f>
        <v>#N/A</v>
      </c>
      <c r="K103" s="29"/>
      <c r="M103" s="22"/>
      <c r="U103" s="22"/>
    </row>
    <row r="104" spans="1:21">
      <c r="A104" s="47"/>
      <c r="B104" s="47"/>
      <c r="C104" s="48"/>
      <c r="D104" s="64"/>
      <c r="J104" s="20" t="e">
        <f>VLOOKUP(G104,MD!M$2:O$93,3,FALSE)</f>
        <v>#N/A</v>
      </c>
      <c r="K104" s="29"/>
      <c r="M104" s="22"/>
      <c r="U104" s="22"/>
    </row>
    <row r="105" spans="1:21">
      <c r="A105" s="47"/>
      <c r="B105" s="47"/>
      <c r="C105" s="48"/>
      <c r="D105" s="64"/>
      <c r="J105" s="20" t="e">
        <f>VLOOKUP(G105,MD!M$2:O$93,3,FALSE)</f>
        <v>#N/A</v>
      </c>
      <c r="K105" s="29"/>
      <c r="M105" s="22"/>
      <c r="U105" s="22"/>
    </row>
    <row r="106" spans="1:21">
      <c r="A106" s="47"/>
      <c r="B106" s="47"/>
      <c r="C106" s="48"/>
      <c r="D106" s="64"/>
      <c r="J106" s="20" t="e">
        <f>VLOOKUP(G106,MD!M$2:O$93,3,FALSE)</f>
        <v>#N/A</v>
      </c>
      <c r="K106" s="29"/>
      <c r="M106" s="22"/>
      <c r="U106" s="22"/>
    </row>
    <row r="107" spans="1:21">
      <c r="A107" s="47"/>
      <c r="B107" s="47"/>
      <c r="C107" s="48"/>
      <c r="D107" s="64"/>
      <c r="J107" s="20" t="e">
        <f>VLOOKUP(G107,MD!M$2:O$93,3,FALSE)</f>
        <v>#N/A</v>
      </c>
      <c r="K107" s="29"/>
      <c r="M107" s="22"/>
      <c r="U107" s="22"/>
    </row>
    <row r="108" spans="1:21">
      <c r="A108" s="47"/>
      <c r="B108" s="47"/>
      <c r="C108" s="48"/>
      <c r="D108" s="64"/>
      <c r="J108" s="20" t="e">
        <f>VLOOKUP(G108,MD!M$2:O$93,3,FALSE)</f>
        <v>#N/A</v>
      </c>
      <c r="K108" s="29"/>
      <c r="M108" s="22"/>
      <c r="U108" s="22"/>
    </row>
    <row r="109" spans="1:21">
      <c r="A109" s="47"/>
      <c r="B109" s="47"/>
      <c r="C109" s="48"/>
      <c r="D109" s="64"/>
      <c r="J109" s="20" t="e">
        <f>VLOOKUP(G109,MD!M$2:O$93,3,FALSE)</f>
        <v>#N/A</v>
      </c>
      <c r="K109" s="29"/>
      <c r="M109" s="22"/>
      <c r="U109" s="22"/>
    </row>
    <row r="110" spans="1:21">
      <c r="A110" s="47"/>
      <c r="B110" s="47"/>
      <c r="C110" s="48"/>
      <c r="D110" s="64"/>
      <c r="J110" s="20" t="e">
        <f>VLOOKUP(G110,MD!M$2:O$93,3,FALSE)</f>
        <v>#N/A</v>
      </c>
      <c r="K110" s="29"/>
      <c r="M110" s="22"/>
      <c r="U110" s="22"/>
    </row>
    <row r="111" spans="1:21">
      <c r="A111" s="47"/>
      <c r="B111" s="47"/>
      <c r="C111" s="48"/>
      <c r="D111" s="64"/>
      <c r="J111" s="20" t="e">
        <f>VLOOKUP(G111,MD!M$2:O$93,3,FALSE)</f>
        <v>#N/A</v>
      </c>
      <c r="K111" s="29"/>
      <c r="M111" s="22"/>
      <c r="U111" s="22"/>
    </row>
    <row r="112" spans="1:21">
      <c r="A112" s="47"/>
      <c r="B112" s="47"/>
      <c r="C112" s="48"/>
      <c r="D112" s="64"/>
      <c r="J112" s="20" t="e">
        <f>VLOOKUP(G112,MD!M$2:O$93,3,FALSE)</f>
        <v>#N/A</v>
      </c>
      <c r="K112" s="29"/>
      <c r="M112" s="22"/>
      <c r="U112" s="22"/>
    </row>
    <row r="113" spans="1:21">
      <c r="A113" s="47"/>
      <c r="B113" s="47"/>
      <c r="C113" s="48"/>
      <c r="D113" s="64"/>
      <c r="J113" s="20" t="e">
        <f>VLOOKUP(G113,MD!M$2:O$93,3,FALSE)</f>
        <v>#N/A</v>
      </c>
      <c r="K113" s="29"/>
      <c r="M113" s="22"/>
      <c r="U113" s="22"/>
    </row>
    <row r="114" spans="1:21">
      <c r="A114" s="47"/>
      <c r="B114" s="47"/>
      <c r="C114" s="48"/>
      <c r="D114" s="64"/>
      <c r="J114" s="20" t="e">
        <f>VLOOKUP(G114,MD!M$2:O$93,3,FALSE)</f>
        <v>#N/A</v>
      </c>
      <c r="K114" s="29"/>
      <c r="M114" s="22"/>
      <c r="U114" s="22"/>
    </row>
    <row r="115" spans="1:21">
      <c r="A115" s="47"/>
      <c r="B115" s="47"/>
      <c r="C115" s="48"/>
      <c r="D115" s="64"/>
      <c r="J115" s="20" t="e">
        <f>VLOOKUP(G115,MD!M$2:O$93,3,FALSE)</f>
        <v>#N/A</v>
      </c>
      <c r="K115" s="29"/>
      <c r="M115" s="22"/>
      <c r="U115" s="22"/>
    </row>
    <row r="116" spans="1:21">
      <c r="A116" s="47"/>
      <c r="B116" s="47"/>
      <c r="C116" s="48"/>
      <c r="D116" s="64"/>
      <c r="J116" s="20" t="e">
        <f>VLOOKUP(G116,MD!M$2:O$93,3,FALSE)</f>
        <v>#N/A</v>
      </c>
      <c r="K116" s="29"/>
      <c r="M116" s="22"/>
      <c r="U116" s="22"/>
    </row>
    <row r="117" spans="1:21">
      <c r="A117" s="47"/>
      <c r="B117" s="47"/>
      <c r="C117" s="48"/>
      <c r="D117" s="64"/>
      <c r="J117" s="20" t="e">
        <f>VLOOKUP(G117,MD!M$2:O$93,3,FALSE)</f>
        <v>#N/A</v>
      </c>
      <c r="K117" s="29"/>
      <c r="M117" s="22"/>
      <c r="U117" s="22"/>
    </row>
    <row r="118" spans="1:21">
      <c r="A118" s="47"/>
      <c r="B118" s="47"/>
      <c r="C118" s="48"/>
      <c r="D118" s="64"/>
      <c r="J118" s="20" t="e">
        <f>VLOOKUP(G118,MD!M$2:O$93,3,FALSE)</f>
        <v>#N/A</v>
      </c>
      <c r="K118" s="29"/>
      <c r="M118" s="22"/>
      <c r="U118" s="22"/>
    </row>
    <row r="119" spans="1:21">
      <c r="A119" s="47"/>
      <c r="B119" s="47"/>
      <c r="C119" s="48"/>
      <c r="D119" s="64"/>
      <c r="J119" s="20" t="e">
        <f>VLOOKUP(G119,MD!M$2:O$93,3,FALSE)</f>
        <v>#N/A</v>
      </c>
      <c r="K119" s="29"/>
      <c r="M119" s="22"/>
      <c r="U119" s="22"/>
    </row>
    <row r="120" spans="1:21">
      <c r="A120" s="47"/>
      <c r="B120" s="47"/>
      <c r="C120" s="48"/>
      <c r="D120" s="64"/>
      <c r="J120" s="20" t="e">
        <f>VLOOKUP(G120,MD!M$2:O$93,3,FALSE)</f>
        <v>#N/A</v>
      </c>
      <c r="K120" s="29"/>
      <c r="M120" s="22"/>
      <c r="U120" s="22"/>
    </row>
    <row r="121" spans="1:21">
      <c r="A121" s="47"/>
      <c r="B121" s="47"/>
      <c r="C121" s="48"/>
      <c r="D121" s="64"/>
      <c r="J121" s="20" t="e">
        <f>VLOOKUP(G121,MD!M$2:O$93,3,FALSE)</f>
        <v>#N/A</v>
      </c>
      <c r="K121" s="29"/>
      <c r="M121" s="22"/>
      <c r="U121" s="22"/>
    </row>
    <row r="122" spans="1:21">
      <c r="A122" s="47"/>
      <c r="B122" s="47"/>
      <c r="C122" s="48"/>
      <c r="D122" s="64"/>
      <c r="J122" s="20" t="e">
        <f>VLOOKUP(G122,MD!M$2:O$93,3,FALSE)</f>
        <v>#N/A</v>
      </c>
      <c r="K122" s="29"/>
      <c r="M122" s="22"/>
      <c r="U122" s="22"/>
    </row>
    <row r="123" spans="1:21">
      <c r="A123" s="47"/>
      <c r="B123" s="47"/>
      <c r="C123" s="48"/>
      <c r="D123" s="64"/>
      <c r="J123" s="20" t="e">
        <f>VLOOKUP(G123,MD!M$2:O$93,3,FALSE)</f>
        <v>#N/A</v>
      </c>
      <c r="K123" s="29"/>
      <c r="M123" s="22"/>
      <c r="U123" s="22"/>
    </row>
    <row r="124" spans="1:21">
      <c r="J124" s="20" t="e">
        <f>VLOOKUP(G124,MD!M$2:O$93,3,FALSE)</f>
        <v>#N/A</v>
      </c>
      <c r="K124" s="29"/>
      <c r="M124" s="22"/>
      <c r="U124" s="22"/>
    </row>
    <row r="125" spans="1:21">
      <c r="J125" s="20" t="e">
        <f>VLOOKUP(G125,MD!M$2:O$93,3,FALSE)</f>
        <v>#N/A</v>
      </c>
      <c r="K125" s="29"/>
      <c r="M125" s="22"/>
      <c r="U125" s="22"/>
    </row>
    <row r="126" spans="1:21">
      <c r="J126" s="20" t="e">
        <f>VLOOKUP(G126,MD!M$2:O$93,3,FALSE)</f>
        <v>#N/A</v>
      </c>
      <c r="K126" s="29"/>
      <c r="M126" s="22"/>
      <c r="U126" s="22"/>
    </row>
    <row r="127" spans="1:21">
      <c r="J127" s="20" t="e">
        <f>VLOOKUP(G127,MD!M$2:O$93,3,FALSE)</f>
        <v>#N/A</v>
      </c>
      <c r="K127" s="29"/>
      <c r="M127" s="22"/>
      <c r="U127" s="22"/>
    </row>
    <row r="128" spans="1:21">
      <c r="J128" s="20" t="e">
        <f>VLOOKUP(G128,MD!M$2:O$93,3,FALSE)</f>
        <v>#N/A</v>
      </c>
      <c r="K128" s="29"/>
      <c r="M128" s="22"/>
      <c r="U128" s="22"/>
    </row>
    <row r="129" spans="10:21">
      <c r="J129" s="20" t="e">
        <f>VLOOKUP(G129,MD!M$2:O$93,3,FALSE)</f>
        <v>#N/A</v>
      </c>
      <c r="K129" s="29"/>
      <c r="M129" s="22"/>
      <c r="U129" s="22"/>
    </row>
    <row r="130" spans="10:21">
      <c r="J130" s="20" t="e">
        <f>VLOOKUP(G130,MD!M$2:O$93,3,FALSE)</f>
        <v>#N/A</v>
      </c>
      <c r="K130" s="29"/>
      <c r="M130" s="22"/>
      <c r="U130" s="22"/>
    </row>
    <row r="131" spans="10:21">
      <c r="J131" s="20" t="e">
        <f>VLOOKUP(G131,MD!M$2:O$93,3,FALSE)</f>
        <v>#N/A</v>
      </c>
      <c r="K131" s="29"/>
      <c r="M131" s="22"/>
      <c r="U131" s="22"/>
    </row>
    <row r="132" spans="10:21">
      <c r="J132" s="20" t="e">
        <f>VLOOKUP(G132,MD!M$2:O$93,3,FALSE)</f>
        <v>#N/A</v>
      </c>
      <c r="K132" s="29"/>
      <c r="M132" s="22"/>
      <c r="U132" s="22"/>
    </row>
    <row r="133" spans="10:21">
      <c r="J133" s="20" t="e">
        <f>VLOOKUP(G133,MD!M$2:O$93,3,FALSE)</f>
        <v>#N/A</v>
      </c>
      <c r="K133" s="29"/>
      <c r="M133" s="22"/>
      <c r="U133" s="22"/>
    </row>
    <row r="134" spans="10:21">
      <c r="J134" s="20" t="e">
        <f>VLOOKUP(G134,MD!M$2:O$93,3,FALSE)</f>
        <v>#N/A</v>
      </c>
      <c r="K134" s="29"/>
      <c r="M134" s="22"/>
      <c r="U134" s="22"/>
    </row>
    <row r="135" spans="10:21">
      <c r="J135" s="20" t="e">
        <f>VLOOKUP(G135,MD!M$2:O$93,3,FALSE)</f>
        <v>#N/A</v>
      </c>
      <c r="K135" s="29"/>
      <c r="M135" s="22"/>
      <c r="U135" s="22"/>
    </row>
    <row r="136" spans="10:21">
      <c r="J136" s="20" t="e">
        <f>VLOOKUP(G136,MD!M$2:O$93,3,FALSE)</f>
        <v>#N/A</v>
      </c>
      <c r="K136" s="29"/>
      <c r="M136" s="22"/>
      <c r="U136" s="22"/>
    </row>
    <row r="137" spans="10:21">
      <c r="J137" s="20" t="e">
        <f>VLOOKUP(G137,MD!M$2:O$93,3,FALSE)</f>
        <v>#N/A</v>
      </c>
      <c r="K137" s="29"/>
      <c r="M137" s="22"/>
      <c r="U137" s="22"/>
    </row>
    <row r="138" spans="10:21">
      <c r="J138" s="20" t="e">
        <f>VLOOKUP(G138,MD!M$2:O$93,3,FALSE)</f>
        <v>#N/A</v>
      </c>
      <c r="K138" s="29"/>
      <c r="M138" s="22"/>
      <c r="U138" s="22"/>
    </row>
    <row r="139" spans="10:21">
      <c r="J139" s="20" t="e">
        <f>VLOOKUP(G139,MD!M$2:O$93,3,FALSE)</f>
        <v>#N/A</v>
      </c>
      <c r="K139" s="29"/>
      <c r="M139" s="22"/>
      <c r="U139" s="22"/>
    </row>
    <row r="140" spans="10:21">
      <c r="J140" s="20" t="e">
        <f>VLOOKUP(G140,MD!M$2:O$93,3,FALSE)</f>
        <v>#N/A</v>
      </c>
      <c r="K140" s="29"/>
      <c r="M140" s="22"/>
      <c r="U140" s="22"/>
    </row>
    <row r="141" spans="10:21">
      <c r="J141" s="20" t="e">
        <f>VLOOKUP(G141,MD!M$2:O$93,3,FALSE)</f>
        <v>#N/A</v>
      </c>
      <c r="K141" s="29"/>
      <c r="M141" s="22"/>
      <c r="U141" s="22"/>
    </row>
    <row r="142" spans="10:21">
      <c r="J142" s="20" t="e">
        <f>VLOOKUP(G142,MD!M$2:O$93,3,FALSE)</f>
        <v>#N/A</v>
      </c>
      <c r="K142" s="29"/>
      <c r="M142" s="22"/>
      <c r="U142" s="22"/>
    </row>
    <row r="143" spans="10:21">
      <c r="J143" s="20" t="e">
        <f>VLOOKUP(G143,MD!M$2:O$93,3,FALSE)</f>
        <v>#N/A</v>
      </c>
      <c r="K143" s="29"/>
      <c r="M143" s="22"/>
      <c r="U143" s="22"/>
    </row>
    <row r="144" spans="10:21">
      <c r="J144" s="20" t="e">
        <f>VLOOKUP(G144,MD!M$2:O$93,3,FALSE)</f>
        <v>#N/A</v>
      </c>
      <c r="K144" s="29"/>
      <c r="M144" s="22"/>
      <c r="U144" s="22"/>
    </row>
    <row r="145" spans="10:21">
      <c r="J145" s="20" t="e">
        <f>VLOOKUP(G145,MD!M$2:O$93,3,FALSE)</f>
        <v>#N/A</v>
      </c>
      <c r="K145" s="29"/>
      <c r="M145" s="22"/>
      <c r="U145" s="22"/>
    </row>
    <row r="146" spans="10:21">
      <c r="J146" s="20" t="e">
        <f>VLOOKUP(G146,MD!M$2:O$93,3,FALSE)</f>
        <v>#N/A</v>
      </c>
      <c r="K146" s="29"/>
      <c r="M146" s="22"/>
      <c r="U146" s="22"/>
    </row>
    <row r="147" spans="10:21">
      <c r="J147" s="20" t="e">
        <f>VLOOKUP(G147,MD!M$2:O$93,3,FALSE)</f>
        <v>#N/A</v>
      </c>
      <c r="K147" s="29"/>
      <c r="M147" s="22"/>
      <c r="U147" s="22"/>
    </row>
    <row r="148" spans="10:21">
      <c r="J148" s="20" t="e">
        <f>VLOOKUP(G148,MD!M$2:O$93,3,FALSE)</f>
        <v>#N/A</v>
      </c>
      <c r="K148" s="29"/>
      <c r="M148" s="22"/>
      <c r="U148" s="22"/>
    </row>
    <row r="149" spans="10:21">
      <c r="J149" s="20" t="e">
        <f>VLOOKUP(G149,MD!M$2:O$93,3,FALSE)</f>
        <v>#N/A</v>
      </c>
      <c r="K149" s="29"/>
      <c r="M149" s="22"/>
      <c r="U149" s="22"/>
    </row>
    <row r="150" spans="10:21">
      <c r="J150" s="20" t="e">
        <f>VLOOKUP(G150,MD!M$2:O$93,3,FALSE)</f>
        <v>#N/A</v>
      </c>
      <c r="K150" s="29"/>
      <c r="M150" s="22"/>
      <c r="U150" s="22"/>
    </row>
    <row r="151" spans="10:21">
      <c r="J151" s="20" t="e">
        <f>VLOOKUP(G151,MD!M$2:O$93,3,FALSE)</f>
        <v>#N/A</v>
      </c>
      <c r="K151" s="29"/>
      <c r="M151" s="22"/>
      <c r="U151" s="22"/>
    </row>
    <row r="152" spans="10:21">
      <c r="J152" s="20" t="e">
        <f>VLOOKUP(G152,MD!M$2:O$93,3,FALSE)</f>
        <v>#N/A</v>
      </c>
      <c r="K152" s="29"/>
      <c r="M152" s="22"/>
      <c r="U152" s="22"/>
    </row>
    <row r="153" spans="10:21">
      <c r="J153" s="20" t="e">
        <f>VLOOKUP(G153,MD!M$2:O$93,3,FALSE)</f>
        <v>#N/A</v>
      </c>
      <c r="K153" s="29"/>
      <c r="M153" s="22"/>
      <c r="U153" s="22"/>
    </row>
    <row r="154" spans="10:21">
      <c r="J154" s="20" t="e">
        <f>VLOOKUP(G154,MD!M$2:O$93,3,FALSE)</f>
        <v>#N/A</v>
      </c>
      <c r="K154" s="29"/>
      <c r="M154" s="22"/>
      <c r="U154" s="22"/>
    </row>
    <row r="155" spans="10:21">
      <c r="J155" s="20" t="e">
        <f>VLOOKUP(G155,MD!M$2:O$93,3,FALSE)</f>
        <v>#N/A</v>
      </c>
      <c r="K155" s="29"/>
      <c r="M155" s="22"/>
      <c r="U155" s="22"/>
    </row>
    <row r="156" spans="10:21">
      <c r="J156" s="20" t="e">
        <f>VLOOKUP(G156,MD!M$2:O$93,3,FALSE)</f>
        <v>#N/A</v>
      </c>
      <c r="K156" s="29"/>
      <c r="M156" s="22"/>
      <c r="U156" s="22"/>
    </row>
    <row r="157" spans="10:21">
      <c r="J157" s="20" t="e">
        <f>VLOOKUP(G157,MD!M$2:O$93,3,FALSE)</f>
        <v>#N/A</v>
      </c>
      <c r="K157" s="29"/>
      <c r="M157" s="22"/>
      <c r="U157" s="22"/>
    </row>
    <row r="158" spans="10:21">
      <c r="J158" s="20" t="e">
        <f>VLOOKUP(G158,MD!M$2:O$93,3,FALSE)</f>
        <v>#N/A</v>
      </c>
      <c r="K158" s="29"/>
      <c r="M158" s="22"/>
      <c r="U158" s="22"/>
    </row>
    <row r="159" spans="10:21">
      <c r="J159" s="20" t="e">
        <f>VLOOKUP(G159,MD!M$2:O$93,3,FALSE)</f>
        <v>#N/A</v>
      </c>
      <c r="K159" s="29"/>
      <c r="M159" s="22"/>
      <c r="U159" s="22"/>
    </row>
    <row r="160" spans="10:21">
      <c r="J160" s="20" t="e">
        <f>VLOOKUP(G160,MD!M$2:O$93,3,FALSE)</f>
        <v>#N/A</v>
      </c>
      <c r="K160" s="29"/>
      <c r="M160" s="22"/>
      <c r="U160" s="22"/>
    </row>
    <row r="161" spans="10:21">
      <c r="J161" s="20" t="e">
        <f>VLOOKUP(G161,MD!M$2:O$93,3,FALSE)</f>
        <v>#N/A</v>
      </c>
      <c r="K161" s="29"/>
      <c r="M161" s="22"/>
      <c r="U161" s="22"/>
    </row>
    <row r="162" spans="10:21">
      <c r="J162" s="20" t="e">
        <f>VLOOKUP(G162,MD!M$2:O$93,3,FALSE)</f>
        <v>#N/A</v>
      </c>
      <c r="K162" s="29"/>
      <c r="M162" s="22"/>
      <c r="U162" s="22"/>
    </row>
    <row r="163" spans="10:21">
      <c r="J163" s="20" t="e">
        <f>VLOOKUP(G163,MD!M$2:O$93,3,FALSE)</f>
        <v>#N/A</v>
      </c>
      <c r="K163" s="29"/>
      <c r="M163" s="22"/>
      <c r="U163" s="22"/>
    </row>
    <row r="164" spans="10:21">
      <c r="J164" s="20" t="e">
        <f>VLOOKUP(G164,MD!M$2:O$93,3,FALSE)</f>
        <v>#N/A</v>
      </c>
      <c r="K164" s="29"/>
      <c r="M164" s="22"/>
      <c r="U164" s="22"/>
    </row>
    <row r="165" spans="10:21">
      <c r="J165" s="20" t="e">
        <f>VLOOKUP(G165,MD!M$2:O$93,3,FALSE)</f>
        <v>#N/A</v>
      </c>
      <c r="K165" s="29"/>
      <c r="M165" s="22"/>
      <c r="U165" s="22"/>
    </row>
    <row r="166" spans="10:21">
      <c r="J166" s="20" t="e">
        <f>VLOOKUP(G166,MD!M$2:O$93,3,FALSE)</f>
        <v>#N/A</v>
      </c>
      <c r="K166" s="29"/>
      <c r="M166" s="22"/>
      <c r="U166" s="22"/>
    </row>
    <row r="167" spans="10:21">
      <c r="J167" s="20" t="e">
        <f>VLOOKUP(G167,MD!M$2:O$93,3,FALSE)</f>
        <v>#N/A</v>
      </c>
      <c r="K167" s="29"/>
      <c r="M167" s="22"/>
      <c r="U167" s="22"/>
    </row>
    <row r="168" spans="10:21">
      <c r="J168" s="20" t="e">
        <f>VLOOKUP(G168,MD!M$2:O$93,3,FALSE)</f>
        <v>#N/A</v>
      </c>
      <c r="K168" s="29"/>
      <c r="M168" s="22"/>
      <c r="U168" s="22"/>
    </row>
    <row r="169" spans="10:21">
      <c r="J169" s="20" t="e">
        <f>VLOOKUP(G169,MD!M$2:O$93,3,FALSE)</f>
        <v>#N/A</v>
      </c>
      <c r="K169" s="29"/>
      <c r="M169" s="22"/>
      <c r="U169" s="22"/>
    </row>
    <row r="170" spans="10:21">
      <c r="J170" s="20" t="e">
        <f>VLOOKUP(G170,MD!M$2:O$93,3,FALSE)</f>
        <v>#N/A</v>
      </c>
      <c r="K170" s="29"/>
      <c r="M170" s="22"/>
      <c r="U170" s="22"/>
    </row>
    <row r="171" spans="10:21">
      <c r="J171" s="20" t="e">
        <f>VLOOKUP(G171,MD!M$2:O$93,3,FALSE)</f>
        <v>#N/A</v>
      </c>
      <c r="K171" s="29"/>
      <c r="M171" s="22"/>
      <c r="U171" s="22"/>
    </row>
    <row r="172" spans="10:21">
      <c r="J172" s="20" t="e">
        <f>VLOOKUP(G172,MD!M$2:O$93,3,FALSE)</f>
        <v>#N/A</v>
      </c>
      <c r="K172" s="29"/>
      <c r="M172" s="22"/>
      <c r="U172" s="22"/>
    </row>
    <row r="173" spans="10:21">
      <c r="J173" s="20" t="e">
        <f>VLOOKUP(G173,MD!M$2:O$93,3,FALSE)</f>
        <v>#N/A</v>
      </c>
      <c r="K173" s="29"/>
      <c r="M173" s="22"/>
      <c r="U173" s="22"/>
    </row>
    <row r="174" spans="10:21">
      <c r="J174" s="20" t="e">
        <f>VLOOKUP(G174,MD!M$2:O$93,3,FALSE)</f>
        <v>#N/A</v>
      </c>
      <c r="K174" s="29"/>
      <c r="M174" s="22"/>
      <c r="U174" s="22"/>
    </row>
    <row r="175" spans="10:21">
      <c r="J175" s="20" t="e">
        <f>VLOOKUP(G175,MD!M$2:O$93,3,FALSE)</f>
        <v>#N/A</v>
      </c>
      <c r="K175" s="29"/>
      <c r="M175" s="22"/>
      <c r="U175" s="22"/>
    </row>
    <row r="176" spans="10:21">
      <c r="J176" s="20" t="e">
        <f>VLOOKUP(G176,MD!M$2:O$93,3,FALSE)</f>
        <v>#N/A</v>
      </c>
      <c r="K176" s="29"/>
      <c r="M176" s="22"/>
      <c r="U176" s="22"/>
    </row>
    <row r="177" spans="10:21">
      <c r="J177" s="20" t="e">
        <f>VLOOKUP(G177,MD!M$2:O$93,3,FALSE)</f>
        <v>#N/A</v>
      </c>
      <c r="K177" s="29"/>
      <c r="M177" s="22"/>
      <c r="U177" s="22"/>
    </row>
    <row r="178" spans="10:21">
      <c r="J178" s="20" t="e">
        <f>VLOOKUP(G178,MD!M$2:O$93,3,FALSE)</f>
        <v>#N/A</v>
      </c>
      <c r="K178" s="29"/>
      <c r="M178" s="22"/>
      <c r="U178" s="22"/>
    </row>
    <row r="179" spans="10:21">
      <c r="J179" s="20" t="e">
        <f>VLOOKUP(G179,MD!M$2:O$93,3,FALSE)</f>
        <v>#N/A</v>
      </c>
      <c r="K179" s="29"/>
      <c r="M179" s="22"/>
      <c r="U179" s="22"/>
    </row>
    <row r="180" spans="10:21">
      <c r="J180" s="20" t="e">
        <f>VLOOKUP(G180,MD!M$2:O$93,3,FALSE)</f>
        <v>#N/A</v>
      </c>
      <c r="K180" s="29"/>
      <c r="M180" s="22"/>
      <c r="U180" s="22"/>
    </row>
    <row r="181" spans="10:21">
      <c r="J181" s="20" t="e">
        <f>VLOOKUP(G181,MD!M$2:O$93,3,FALSE)</f>
        <v>#N/A</v>
      </c>
      <c r="K181" s="29"/>
      <c r="M181" s="22"/>
      <c r="U181" s="22"/>
    </row>
    <row r="182" spans="10:21">
      <c r="J182" s="20" t="e">
        <f>VLOOKUP(G182,MD!M$2:O$93,3,FALSE)</f>
        <v>#N/A</v>
      </c>
      <c r="K182" s="29"/>
      <c r="M182" s="22"/>
      <c r="U182" s="22"/>
    </row>
    <row r="183" spans="10:21">
      <c r="J183" s="20" t="e">
        <f>VLOOKUP(G183,MD!M$2:O$93,3,FALSE)</f>
        <v>#N/A</v>
      </c>
      <c r="K183" s="29"/>
      <c r="M183" s="22"/>
      <c r="U183" s="22"/>
    </row>
    <row r="184" spans="10:21">
      <c r="J184" s="20" t="e">
        <f>VLOOKUP(G184,MD!M$2:O$93,3,FALSE)</f>
        <v>#N/A</v>
      </c>
      <c r="K184" s="29"/>
      <c r="M184" s="22"/>
      <c r="U184" s="22"/>
    </row>
    <row r="185" spans="10:21">
      <c r="J185" s="20" t="e">
        <f>VLOOKUP(G185,MD!M$2:O$93,3,FALSE)</f>
        <v>#N/A</v>
      </c>
      <c r="K185" s="29"/>
      <c r="M185" s="22"/>
      <c r="U185" s="22"/>
    </row>
    <row r="186" spans="10:21">
      <c r="J186" s="20" t="e">
        <f>VLOOKUP(G186,MD!M$2:O$93,3,FALSE)</f>
        <v>#N/A</v>
      </c>
      <c r="K186" s="29"/>
      <c r="M186" s="22"/>
      <c r="U186" s="22"/>
    </row>
    <row r="187" spans="10:21">
      <c r="J187" s="20" t="e">
        <f>VLOOKUP(G187,MD!M$2:O$93,3,FALSE)</f>
        <v>#N/A</v>
      </c>
      <c r="K187" s="29"/>
      <c r="M187" s="22"/>
      <c r="U187" s="22"/>
    </row>
    <row r="188" spans="10:21">
      <c r="J188" s="20" t="e">
        <f>VLOOKUP(G188,MD!M$2:O$93,3,FALSE)</f>
        <v>#N/A</v>
      </c>
      <c r="K188" s="29"/>
      <c r="M188" s="22"/>
      <c r="U188" s="22"/>
    </row>
    <row r="189" spans="10:21">
      <c r="J189" s="20" t="e">
        <f>VLOOKUP(G189,MD!M$2:O$93,3,FALSE)</f>
        <v>#N/A</v>
      </c>
      <c r="K189" s="29"/>
      <c r="M189" s="22"/>
      <c r="U189" s="22"/>
    </row>
    <row r="190" spans="10:21">
      <c r="J190" s="20" t="e">
        <f>VLOOKUP(G190,MD!M$2:O$93,3,FALSE)</f>
        <v>#N/A</v>
      </c>
      <c r="K190" s="29"/>
      <c r="M190" s="22"/>
      <c r="U190" s="22"/>
    </row>
    <row r="191" spans="10:21">
      <c r="J191" s="20" t="e">
        <f>VLOOKUP(G191,MD!M$2:O$93,3,FALSE)</f>
        <v>#N/A</v>
      </c>
      <c r="K191" s="29"/>
      <c r="M191" s="22"/>
      <c r="U191" s="22"/>
    </row>
    <row r="192" spans="10:21">
      <c r="J192" s="20" t="e">
        <f>VLOOKUP(G192,MD!M$2:O$93,3,FALSE)</f>
        <v>#N/A</v>
      </c>
      <c r="K192" s="29"/>
      <c r="M192" s="22"/>
      <c r="U192" s="22"/>
    </row>
    <row r="193" spans="10:21">
      <c r="J193" s="20" t="e">
        <f>VLOOKUP(G193,MD!M$2:O$93,3,FALSE)</f>
        <v>#N/A</v>
      </c>
      <c r="K193" s="29"/>
      <c r="M193" s="22"/>
      <c r="U193" s="22"/>
    </row>
    <row r="194" spans="10:21">
      <c r="J194" s="20" t="e">
        <f>VLOOKUP(G194,MD!M$2:O$93,3,FALSE)</f>
        <v>#N/A</v>
      </c>
      <c r="K194" s="29"/>
      <c r="M194" s="22"/>
      <c r="U194" s="22"/>
    </row>
    <row r="195" spans="10:21">
      <c r="J195" s="20" t="e">
        <f>VLOOKUP(G195,MD!M$2:O$93,3,FALSE)</f>
        <v>#N/A</v>
      </c>
      <c r="K195" s="29"/>
      <c r="M195" s="22"/>
      <c r="U195" s="22"/>
    </row>
    <row r="196" spans="10:21">
      <c r="J196" s="20" t="e">
        <f>VLOOKUP(G196,MD!M$2:O$93,3,FALSE)</f>
        <v>#N/A</v>
      </c>
      <c r="K196" s="29"/>
      <c r="M196" s="22"/>
      <c r="U196" s="22"/>
    </row>
    <row r="197" spans="10:21">
      <c r="J197" s="20" t="e">
        <f>VLOOKUP(G197,MD!M$2:O$93,3,FALSE)</f>
        <v>#N/A</v>
      </c>
      <c r="K197" s="29"/>
      <c r="M197" s="22"/>
      <c r="U197" s="22"/>
    </row>
    <row r="198" spans="10:21">
      <c r="J198" s="20" t="e">
        <f>VLOOKUP(G198,MD!M$2:O$93,3,FALSE)</f>
        <v>#N/A</v>
      </c>
      <c r="K198" s="29"/>
      <c r="M198" s="22"/>
      <c r="U198" s="22"/>
    </row>
    <row r="199" spans="10:21">
      <c r="J199" s="20" t="e">
        <f>VLOOKUP(G199,MD!M$2:O$93,3,FALSE)</f>
        <v>#N/A</v>
      </c>
      <c r="K199" s="29"/>
      <c r="M199" s="22"/>
      <c r="U199" s="22"/>
    </row>
    <row r="200" spans="10:21">
      <c r="J200" s="20" t="e">
        <f>VLOOKUP(G200,MD!M$2:O$93,3,FALSE)</f>
        <v>#N/A</v>
      </c>
      <c r="K200" s="29"/>
      <c r="M200" s="22"/>
      <c r="U200" s="22"/>
    </row>
    <row r="201" spans="10:21">
      <c r="J201" s="20" t="e">
        <f>VLOOKUP(G201,MD!M$2:O$93,3,FALSE)</f>
        <v>#N/A</v>
      </c>
      <c r="K201" s="29"/>
      <c r="M201" s="22"/>
      <c r="U201" s="22"/>
    </row>
    <row r="202" spans="10:21">
      <c r="J202" s="20" t="e">
        <f>VLOOKUP(G202,MD!M$2:O$93,3,FALSE)</f>
        <v>#N/A</v>
      </c>
      <c r="K202" s="29"/>
      <c r="M202" s="22"/>
      <c r="U202" s="22"/>
    </row>
    <row r="203" spans="10:21">
      <c r="J203" s="20" t="e">
        <f>VLOOKUP(G203,MD!M$2:O$93,3,FALSE)</f>
        <v>#N/A</v>
      </c>
      <c r="K203" s="29"/>
      <c r="M203" s="22"/>
      <c r="U203" s="22"/>
    </row>
    <row r="204" spans="10:21">
      <c r="J204" s="20" t="e">
        <f>VLOOKUP(G204,MD!M$2:O$93,3,FALSE)</f>
        <v>#N/A</v>
      </c>
      <c r="K204" s="29"/>
      <c r="M204" s="22"/>
      <c r="U204" s="22"/>
    </row>
    <row r="205" spans="10:21">
      <c r="J205" s="20" t="e">
        <f>VLOOKUP(G205,MD!M$2:O$93,3,FALSE)</f>
        <v>#N/A</v>
      </c>
      <c r="K205" s="29"/>
      <c r="M205" s="22"/>
      <c r="U205" s="22"/>
    </row>
    <row r="206" spans="10:21">
      <c r="J206" s="20" t="e">
        <f>VLOOKUP(G206,MD!M$2:O$93,3,FALSE)</f>
        <v>#N/A</v>
      </c>
      <c r="K206" s="29"/>
      <c r="M206" s="22"/>
      <c r="U206" s="22"/>
    </row>
    <row r="207" spans="10:21">
      <c r="J207" s="20" t="e">
        <f>VLOOKUP(G207,MD!M$2:O$93,3,FALSE)</f>
        <v>#N/A</v>
      </c>
      <c r="K207" s="29"/>
      <c r="M207" s="22"/>
      <c r="U207" s="22"/>
    </row>
    <row r="208" spans="10:21">
      <c r="J208" s="20" t="e">
        <f>VLOOKUP(G208,MD!M$2:O$93,3,FALSE)</f>
        <v>#N/A</v>
      </c>
      <c r="K208" s="29"/>
      <c r="M208" s="22"/>
      <c r="U208" s="22"/>
    </row>
    <row r="209" spans="10:21">
      <c r="J209" s="20" t="e">
        <f>VLOOKUP(G209,MD!M$2:O$93,3,FALSE)</f>
        <v>#N/A</v>
      </c>
      <c r="K209" s="29"/>
      <c r="M209" s="22"/>
      <c r="U209" s="22"/>
    </row>
    <row r="210" spans="10:21">
      <c r="J210" s="20" t="e">
        <f>VLOOKUP(G210,MD!M$2:O$93,3,FALSE)</f>
        <v>#N/A</v>
      </c>
      <c r="K210" s="29"/>
      <c r="M210" s="22"/>
      <c r="U210" s="22"/>
    </row>
    <row r="211" spans="10:21">
      <c r="J211" s="20" t="e">
        <f>VLOOKUP(G211,MD!M$2:O$93,3,FALSE)</f>
        <v>#N/A</v>
      </c>
      <c r="K211" s="29"/>
      <c r="M211" s="22"/>
      <c r="U211" s="22"/>
    </row>
    <row r="212" spans="10:21">
      <c r="J212" s="20" t="e">
        <f>VLOOKUP(G212,MD!M$2:O$93,3,FALSE)</f>
        <v>#N/A</v>
      </c>
      <c r="K212" s="29"/>
      <c r="M212" s="22"/>
      <c r="U212" s="22"/>
    </row>
    <row r="213" spans="10:21">
      <c r="J213" s="20" t="e">
        <f>VLOOKUP(G213,MD!M$2:O$93,3,FALSE)</f>
        <v>#N/A</v>
      </c>
      <c r="K213" s="29"/>
      <c r="M213" s="22"/>
      <c r="U213" s="22"/>
    </row>
    <row r="214" spans="10:21">
      <c r="J214" s="20" t="e">
        <f>VLOOKUP(G214,MD!M$2:O$93,3,FALSE)</f>
        <v>#N/A</v>
      </c>
      <c r="K214" s="29"/>
      <c r="M214" s="22"/>
      <c r="U214" s="22"/>
    </row>
    <row r="215" spans="10:21">
      <c r="J215" s="20" t="e">
        <f>VLOOKUP(G215,MD!M$2:O$93,3,FALSE)</f>
        <v>#N/A</v>
      </c>
      <c r="K215" s="29"/>
      <c r="M215" s="22"/>
      <c r="U215" s="22"/>
    </row>
    <row r="216" spans="10:21">
      <c r="J216" s="20" t="e">
        <f>VLOOKUP(G216,MD!M$2:O$93,3,FALSE)</f>
        <v>#N/A</v>
      </c>
      <c r="K216" s="29"/>
      <c r="M216" s="22"/>
      <c r="U216" s="22"/>
    </row>
    <row r="217" spans="10:21">
      <c r="J217" s="20" t="e">
        <f>VLOOKUP(G217,MD!M$2:O$93,3,FALSE)</f>
        <v>#N/A</v>
      </c>
      <c r="K217" s="29"/>
      <c r="M217" s="22"/>
      <c r="U217" s="22"/>
    </row>
    <row r="218" spans="10:21">
      <c r="J218" s="20" t="e">
        <f>VLOOKUP(G218,MD!M$2:O$93,3,FALSE)</f>
        <v>#N/A</v>
      </c>
      <c r="K218" s="29"/>
      <c r="M218" s="22"/>
      <c r="U218" s="22"/>
    </row>
    <row r="219" spans="10:21">
      <c r="J219" s="20" t="e">
        <f>VLOOKUP(G219,MD!M$2:O$93,3,FALSE)</f>
        <v>#N/A</v>
      </c>
      <c r="K219" s="29"/>
      <c r="M219" s="22"/>
      <c r="U219" s="22"/>
    </row>
    <row r="220" spans="10:21">
      <c r="J220" s="20" t="e">
        <f>VLOOKUP(G220,MD!M$2:O$93,3,FALSE)</f>
        <v>#N/A</v>
      </c>
      <c r="K220" s="29"/>
      <c r="M220" s="22"/>
      <c r="U220" s="22"/>
    </row>
    <row r="221" spans="10:21">
      <c r="J221" s="20" t="e">
        <f>VLOOKUP(G221,MD!M$2:O$93,3,FALSE)</f>
        <v>#N/A</v>
      </c>
      <c r="K221" s="29"/>
      <c r="M221" s="22"/>
      <c r="U221" s="22"/>
    </row>
    <row r="222" spans="10:21">
      <c r="J222" s="20" t="e">
        <f>VLOOKUP(G222,MD!M$2:O$93,3,FALSE)</f>
        <v>#N/A</v>
      </c>
      <c r="K222" s="29"/>
      <c r="M222" s="22"/>
      <c r="U222" s="22"/>
    </row>
    <row r="223" spans="10:21">
      <c r="J223" s="20" t="e">
        <f>VLOOKUP(G223,MD!M$2:O$93,3,FALSE)</f>
        <v>#N/A</v>
      </c>
      <c r="K223" s="29"/>
      <c r="M223" s="22"/>
      <c r="U223" s="22"/>
    </row>
    <row r="224" spans="10:21">
      <c r="J224" s="20" t="e">
        <f>VLOOKUP(G224,MD!M$2:O$93,3,FALSE)</f>
        <v>#N/A</v>
      </c>
      <c r="K224" s="29"/>
      <c r="M224" s="22"/>
      <c r="U224" s="22"/>
    </row>
    <row r="225" spans="10:21">
      <c r="J225" s="20" t="e">
        <f>VLOOKUP(G225,MD!M$2:O$93,3,FALSE)</f>
        <v>#N/A</v>
      </c>
      <c r="K225" s="29"/>
      <c r="M225" s="22"/>
      <c r="U225" s="22"/>
    </row>
    <row r="226" spans="10:21">
      <c r="J226" s="20" t="e">
        <f>VLOOKUP(G226,MD!M$2:O$93,3,FALSE)</f>
        <v>#N/A</v>
      </c>
      <c r="K226" s="29"/>
      <c r="M226" s="22"/>
      <c r="U226" s="22"/>
    </row>
    <row r="227" spans="10:21">
      <c r="J227" s="20" t="e">
        <f>VLOOKUP(G227,MD!M$2:O$93,3,FALSE)</f>
        <v>#N/A</v>
      </c>
      <c r="K227" s="29"/>
      <c r="M227" s="22"/>
      <c r="U227" s="22"/>
    </row>
    <row r="228" spans="10:21">
      <c r="J228" s="20" t="e">
        <f>VLOOKUP(G228,MD!M$2:O$93,3,FALSE)</f>
        <v>#N/A</v>
      </c>
      <c r="K228" s="29"/>
      <c r="M228" s="22"/>
      <c r="U228" s="22"/>
    </row>
    <row r="229" spans="10:21">
      <c r="J229" s="20" t="e">
        <f>VLOOKUP(G229,MD!M$2:O$93,3,FALSE)</f>
        <v>#N/A</v>
      </c>
      <c r="K229" s="29"/>
      <c r="M229" s="22"/>
      <c r="U229" s="22"/>
    </row>
    <row r="230" spans="10:21">
      <c r="J230" s="20" t="e">
        <f>VLOOKUP(G230,MD!M$2:O$93,3,FALSE)</f>
        <v>#N/A</v>
      </c>
      <c r="K230" s="29"/>
      <c r="M230" s="22"/>
      <c r="U230" s="22"/>
    </row>
    <row r="231" spans="10:21">
      <c r="J231" s="20" t="e">
        <f>VLOOKUP(G231,MD!M$2:O$93,3,FALSE)</f>
        <v>#N/A</v>
      </c>
      <c r="K231" s="29"/>
      <c r="M231" s="22"/>
      <c r="U231" s="22"/>
    </row>
    <row r="232" spans="10:21">
      <c r="J232" s="20" t="e">
        <f>VLOOKUP(G232,MD!M$2:O$93,3,FALSE)</f>
        <v>#N/A</v>
      </c>
      <c r="K232" s="29"/>
      <c r="M232" s="22"/>
      <c r="U232" s="22"/>
    </row>
    <row r="233" spans="10:21">
      <c r="J233" s="20" t="e">
        <f>VLOOKUP(G233,MD!M$2:O$93,3,FALSE)</f>
        <v>#N/A</v>
      </c>
      <c r="K233" s="29"/>
      <c r="M233" s="22"/>
      <c r="U233" s="22"/>
    </row>
    <row r="234" spans="10:21">
      <c r="J234" s="20" t="e">
        <f>VLOOKUP(G234,MD!M$2:O$93,3,FALSE)</f>
        <v>#N/A</v>
      </c>
      <c r="K234" s="29"/>
      <c r="M234" s="22"/>
      <c r="U234" s="22"/>
    </row>
    <row r="235" spans="10:21">
      <c r="J235" s="20" t="e">
        <f>VLOOKUP(G235,MD!M$2:O$93,3,FALSE)</f>
        <v>#N/A</v>
      </c>
      <c r="K235" s="29"/>
      <c r="M235" s="22"/>
      <c r="U235" s="22"/>
    </row>
    <row r="236" spans="10:21">
      <c r="J236" s="20" t="e">
        <f>VLOOKUP(G236,MD!M$2:O$93,3,FALSE)</f>
        <v>#N/A</v>
      </c>
      <c r="K236" s="29"/>
      <c r="M236" s="22"/>
      <c r="U236" s="22"/>
    </row>
    <row r="237" spans="10:21">
      <c r="J237" s="20" t="e">
        <f>VLOOKUP(G237,MD!M$2:O$93,3,FALSE)</f>
        <v>#N/A</v>
      </c>
      <c r="K237" s="29"/>
      <c r="M237" s="22"/>
      <c r="U237" s="22"/>
    </row>
    <row r="238" spans="10:21">
      <c r="J238" s="20" t="e">
        <f>VLOOKUP(G238,MD!M$2:O$93,3,FALSE)</f>
        <v>#N/A</v>
      </c>
      <c r="K238" s="29"/>
      <c r="M238" s="22"/>
      <c r="U238" s="22"/>
    </row>
    <row r="239" spans="10:21">
      <c r="J239" s="20" t="e">
        <f>VLOOKUP(G239,MD!M$2:O$93,3,FALSE)</f>
        <v>#N/A</v>
      </c>
      <c r="K239" s="29"/>
      <c r="M239" s="22"/>
      <c r="U239" s="22"/>
    </row>
    <row r="240" spans="10:21">
      <c r="J240" s="20" t="e">
        <f>VLOOKUP(G240,MD!M$2:O$93,3,FALSE)</f>
        <v>#N/A</v>
      </c>
      <c r="K240" s="29"/>
      <c r="M240" s="22"/>
      <c r="U240" s="22"/>
    </row>
    <row r="241" spans="10:21">
      <c r="J241" s="20" t="e">
        <f>VLOOKUP(G241,MD!M$2:O$93,3,FALSE)</f>
        <v>#N/A</v>
      </c>
      <c r="K241" s="29"/>
      <c r="M241" s="22"/>
      <c r="U241" s="22"/>
    </row>
    <row r="242" spans="10:21">
      <c r="J242" s="20" t="e">
        <f>VLOOKUP(G242,MD!M$2:O$93,3,FALSE)</f>
        <v>#N/A</v>
      </c>
      <c r="K242" s="29"/>
      <c r="M242" s="22"/>
      <c r="U242" s="22"/>
    </row>
    <row r="243" spans="10:21">
      <c r="J243" s="20" t="e">
        <f>VLOOKUP(G243,MD!M$2:O$93,3,FALSE)</f>
        <v>#N/A</v>
      </c>
      <c r="K243" s="29"/>
      <c r="M243" s="22"/>
      <c r="U243" s="22"/>
    </row>
    <row r="244" spans="10:21">
      <c r="J244" s="20" t="e">
        <f>VLOOKUP(G244,MD!M$2:O$93,3,FALSE)</f>
        <v>#N/A</v>
      </c>
      <c r="K244" s="29"/>
      <c r="M244" s="22"/>
      <c r="U244" s="22"/>
    </row>
    <row r="245" spans="10:21">
      <c r="J245" s="20" t="e">
        <f>VLOOKUP(G245,MD!M$2:O$93,3,FALSE)</f>
        <v>#N/A</v>
      </c>
      <c r="K245" s="29"/>
      <c r="M245" s="22"/>
      <c r="U245" s="22"/>
    </row>
    <row r="246" spans="10:21">
      <c r="J246" s="20" t="e">
        <f>VLOOKUP(G246,MD!M$2:O$93,3,FALSE)</f>
        <v>#N/A</v>
      </c>
      <c r="K246" s="29"/>
      <c r="M246" s="22"/>
      <c r="U246" s="22"/>
    </row>
    <row r="247" spans="10:21">
      <c r="J247" s="20" t="e">
        <f>VLOOKUP(G247,MD!M$2:O$93,3,FALSE)</f>
        <v>#N/A</v>
      </c>
      <c r="K247" s="29"/>
      <c r="M247" s="22"/>
      <c r="U247" s="22"/>
    </row>
    <row r="248" spans="10:21">
      <c r="J248" s="20" t="e">
        <f>VLOOKUP(G248,MD!M$2:O$93,3,FALSE)</f>
        <v>#N/A</v>
      </c>
      <c r="K248" s="29"/>
      <c r="M248" s="22"/>
      <c r="U248" s="22"/>
    </row>
    <row r="249" spans="10:21">
      <c r="J249" s="20" t="e">
        <f>VLOOKUP(G249,MD!M$2:O$93,3,FALSE)</f>
        <v>#N/A</v>
      </c>
      <c r="K249" s="29"/>
      <c r="M249" s="22"/>
      <c r="U249" s="22"/>
    </row>
    <row r="250" spans="10:21">
      <c r="J250" s="20" t="e">
        <f>VLOOKUP(G250,MD!M$2:O$93,3,FALSE)</f>
        <v>#N/A</v>
      </c>
      <c r="K250" s="29"/>
      <c r="M250" s="22"/>
      <c r="U250" s="22"/>
    </row>
    <row r="251" spans="10:21">
      <c r="J251" s="20" t="e">
        <f>VLOOKUP(G251,MD!M$2:O$93,3,FALSE)</f>
        <v>#N/A</v>
      </c>
      <c r="K251" s="29"/>
      <c r="M251" s="22"/>
      <c r="U251" s="22"/>
    </row>
    <row r="252" spans="10:21">
      <c r="J252" s="20" t="e">
        <f>VLOOKUP(G252,MD!M$2:O$93,3,FALSE)</f>
        <v>#N/A</v>
      </c>
      <c r="K252" s="29"/>
      <c r="M252" s="22"/>
      <c r="U252" s="22"/>
    </row>
    <row r="253" spans="10:21">
      <c r="J253" s="20" t="e">
        <f>VLOOKUP(G253,MD!M$2:O$93,3,FALSE)</f>
        <v>#N/A</v>
      </c>
      <c r="K253" s="29"/>
      <c r="M253" s="22"/>
      <c r="U253" s="22"/>
    </row>
    <row r="254" spans="10:21">
      <c r="J254" s="20" t="e">
        <f>VLOOKUP(G254,MD!M$2:O$93,3,FALSE)</f>
        <v>#N/A</v>
      </c>
      <c r="K254" s="29"/>
      <c r="M254" s="22"/>
      <c r="U254" s="22"/>
    </row>
    <row r="255" spans="10:21">
      <c r="J255" s="20" t="e">
        <f>VLOOKUP(G255,MD!M$2:O$93,3,FALSE)</f>
        <v>#N/A</v>
      </c>
      <c r="K255" s="29"/>
      <c r="M255" s="22"/>
      <c r="U255" s="22"/>
    </row>
    <row r="256" spans="10:21">
      <c r="J256" s="20" t="e">
        <f>VLOOKUP(G256,MD!M$2:O$93,3,FALSE)</f>
        <v>#N/A</v>
      </c>
      <c r="K256" s="29"/>
      <c r="M256" s="22"/>
      <c r="U256" s="22"/>
    </row>
    <row r="257" spans="10:21">
      <c r="J257" s="20" t="e">
        <f>VLOOKUP(G257,MD!M$2:O$93,3,FALSE)</f>
        <v>#N/A</v>
      </c>
      <c r="K257" s="29"/>
      <c r="M257" s="22"/>
      <c r="U257" s="22"/>
    </row>
    <row r="258" spans="10:21">
      <c r="J258" s="20" t="e">
        <f>VLOOKUP(G258,MD!M$2:O$93,3,FALSE)</f>
        <v>#N/A</v>
      </c>
      <c r="K258" s="29"/>
      <c r="M258" s="22"/>
      <c r="U258" s="22"/>
    </row>
    <row r="259" spans="10:21">
      <c r="J259" s="20" t="e">
        <f>VLOOKUP(G259,MD!M$2:O$93,3,FALSE)</f>
        <v>#N/A</v>
      </c>
      <c r="K259" s="29"/>
      <c r="M259" s="22"/>
      <c r="U259" s="22"/>
    </row>
    <row r="260" spans="10:21">
      <c r="J260" s="20" t="e">
        <f>VLOOKUP(G260,MD!M$2:O$93,3,FALSE)</f>
        <v>#N/A</v>
      </c>
      <c r="K260" s="29"/>
      <c r="M260" s="22"/>
      <c r="U260" s="22"/>
    </row>
    <row r="261" spans="10:21">
      <c r="J261" s="20" t="e">
        <f>VLOOKUP(G261,MD!M$2:O$93,3,FALSE)</f>
        <v>#N/A</v>
      </c>
      <c r="K261" s="29"/>
      <c r="M261" s="22"/>
      <c r="U261" s="22"/>
    </row>
    <row r="262" spans="10:21">
      <c r="J262" s="20" t="e">
        <f>VLOOKUP(G262,MD!M$2:O$93,3,FALSE)</f>
        <v>#N/A</v>
      </c>
      <c r="K262" s="29"/>
      <c r="M262" s="22"/>
      <c r="U262" s="22"/>
    </row>
    <row r="263" spans="10:21">
      <c r="J263" s="20" t="e">
        <f>VLOOKUP(G263,MD!M$2:O$93,3,FALSE)</f>
        <v>#N/A</v>
      </c>
      <c r="K263" s="29"/>
      <c r="M263" s="22"/>
      <c r="U263" s="22"/>
    </row>
    <row r="264" spans="10:21">
      <c r="J264" s="20" t="e">
        <f>VLOOKUP(G264,MD!M$2:O$93,3,FALSE)</f>
        <v>#N/A</v>
      </c>
      <c r="K264" s="29"/>
      <c r="M264" s="22"/>
      <c r="U264" s="22"/>
    </row>
    <row r="265" spans="10:21">
      <c r="J265" s="20" t="e">
        <f>VLOOKUP(G265,MD!M$2:O$93,3,FALSE)</f>
        <v>#N/A</v>
      </c>
      <c r="K265" s="29"/>
      <c r="M265" s="22"/>
      <c r="U265" s="22"/>
    </row>
    <row r="266" spans="10:21">
      <c r="J266" s="20" t="e">
        <f>VLOOKUP(G266,MD!M$2:O$93,3,FALSE)</f>
        <v>#N/A</v>
      </c>
      <c r="K266" s="29"/>
      <c r="M266" s="22"/>
      <c r="U266" s="22"/>
    </row>
    <row r="267" spans="10:21">
      <c r="J267" s="20" t="e">
        <f>VLOOKUP(G267,MD!M$2:O$93,3,FALSE)</f>
        <v>#N/A</v>
      </c>
      <c r="K267" s="29"/>
      <c r="M267" s="22"/>
      <c r="U267" s="22"/>
    </row>
    <row r="268" spans="10:21">
      <c r="J268" s="20" t="e">
        <f>VLOOKUP(G268,MD!M$2:O$93,3,FALSE)</f>
        <v>#N/A</v>
      </c>
      <c r="K268" s="29"/>
      <c r="M268" s="22"/>
      <c r="U268" s="22"/>
    </row>
    <row r="269" spans="10:21">
      <c r="J269" s="20" t="e">
        <f>VLOOKUP(G269,MD!M$2:O$93,3,FALSE)</f>
        <v>#N/A</v>
      </c>
      <c r="K269" s="29"/>
      <c r="M269" s="22"/>
      <c r="U269" s="22"/>
    </row>
    <row r="270" spans="10:21">
      <c r="J270" s="20" t="e">
        <f>VLOOKUP(G270,MD!M$2:O$93,3,FALSE)</f>
        <v>#N/A</v>
      </c>
      <c r="K270" s="29"/>
      <c r="M270" s="22"/>
      <c r="U270" s="22"/>
    </row>
    <row r="271" spans="10:21">
      <c r="J271" s="20" t="e">
        <f>VLOOKUP(G271,MD!M$2:O$93,3,FALSE)</f>
        <v>#N/A</v>
      </c>
      <c r="K271" s="29"/>
      <c r="M271" s="22"/>
      <c r="U271" s="22"/>
    </row>
    <row r="272" spans="10:21">
      <c r="J272" s="20" t="e">
        <f>VLOOKUP(G272,MD!M$2:O$93,3,FALSE)</f>
        <v>#N/A</v>
      </c>
      <c r="K272" s="29"/>
      <c r="M272" s="22"/>
      <c r="U272" s="22"/>
    </row>
    <row r="273" spans="10:21">
      <c r="J273" s="20" t="e">
        <f>VLOOKUP(G273,MD!M$2:O$93,3,FALSE)</f>
        <v>#N/A</v>
      </c>
      <c r="K273" s="29"/>
      <c r="M273" s="22"/>
      <c r="U273" s="22"/>
    </row>
    <row r="274" spans="10:21">
      <c r="J274" s="20" t="e">
        <f>VLOOKUP(G274,MD!M$2:O$93,3,FALSE)</f>
        <v>#N/A</v>
      </c>
      <c r="K274" s="29"/>
      <c r="M274" s="22"/>
      <c r="U274" s="22"/>
    </row>
    <row r="275" spans="10:21">
      <c r="J275" s="20" t="e">
        <f>VLOOKUP(G275,MD!M$2:O$93,3,FALSE)</f>
        <v>#N/A</v>
      </c>
      <c r="K275" s="29"/>
      <c r="M275" s="22"/>
      <c r="U275" s="22"/>
    </row>
    <row r="276" spans="10:21">
      <c r="J276" s="20" t="e">
        <f>VLOOKUP(G276,MD!M$2:O$93,3,FALSE)</f>
        <v>#N/A</v>
      </c>
      <c r="K276" s="29"/>
      <c r="M276" s="22"/>
      <c r="U276" s="22"/>
    </row>
    <row r="277" spans="10:21">
      <c r="J277" s="20" t="e">
        <f>VLOOKUP(G277,MD!M$2:O$93,3,FALSE)</f>
        <v>#N/A</v>
      </c>
      <c r="K277" s="29"/>
      <c r="M277" s="22"/>
      <c r="U277" s="22"/>
    </row>
    <row r="278" spans="10:21">
      <c r="J278" s="20" t="e">
        <f>VLOOKUP(G278,MD!M$2:O$93,3,FALSE)</f>
        <v>#N/A</v>
      </c>
      <c r="K278" s="29"/>
      <c r="M278" s="22"/>
      <c r="U278" s="22"/>
    </row>
    <row r="279" spans="10:21">
      <c r="J279" s="20" t="e">
        <f>VLOOKUP(G279,MD!M$2:O$93,3,FALSE)</f>
        <v>#N/A</v>
      </c>
      <c r="K279" s="29"/>
      <c r="M279" s="22"/>
      <c r="U279" s="22"/>
    </row>
    <row r="280" spans="10:21">
      <c r="J280" s="20" t="e">
        <f>VLOOKUP(G280,MD!M$2:O$93,3,FALSE)</f>
        <v>#N/A</v>
      </c>
      <c r="K280" s="29"/>
      <c r="M280" s="22"/>
      <c r="U280" s="22"/>
    </row>
    <row r="281" spans="10:21">
      <c r="J281" s="20" t="e">
        <f>VLOOKUP(G281,MD!M$2:O$93,3,FALSE)</f>
        <v>#N/A</v>
      </c>
      <c r="K281" s="29"/>
      <c r="M281" s="22"/>
      <c r="U281" s="22"/>
    </row>
    <row r="282" spans="10:21">
      <c r="J282" s="20" t="e">
        <f>VLOOKUP(G282,MD!M$2:O$93,3,FALSE)</f>
        <v>#N/A</v>
      </c>
      <c r="K282" s="29"/>
      <c r="M282" s="22"/>
      <c r="U282" s="22"/>
    </row>
    <row r="283" spans="10:21">
      <c r="J283" s="20" t="e">
        <f>VLOOKUP(G283,MD!M$2:O$93,3,FALSE)</f>
        <v>#N/A</v>
      </c>
      <c r="K283" s="29"/>
      <c r="M283" s="22"/>
      <c r="U283" s="22"/>
    </row>
    <row r="284" spans="10:21">
      <c r="J284" s="20" t="e">
        <f>VLOOKUP(G284,MD!M$2:O$93,3,FALSE)</f>
        <v>#N/A</v>
      </c>
      <c r="K284" s="29"/>
      <c r="M284" s="22"/>
      <c r="U284" s="22"/>
    </row>
    <row r="285" spans="10:21">
      <c r="J285" s="20" t="e">
        <f>VLOOKUP(G285,MD!M$2:O$93,3,FALSE)</f>
        <v>#N/A</v>
      </c>
      <c r="K285" s="29"/>
      <c r="M285" s="22"/>
      <c r="U285" s="22"/>
    </row>
    <row r="286" spans="10:21">
      <c r="J286" s="20" t="e">
        <f>VLOOKUP(G286,MD!M$2:O$93,3,FALSE)</f>
        <v>#N/A</v>
      </c>
      <c r="K286" s="29"/>
      <c r="M286" s="22"/>
      <c r="U286" s="22"/>
    </row>
    <row r="287" spans="10:21">
      <c r="J287" s="20" t="e">
        <f>VLOOKUP(G287,MD!M$2:O$93,3,FALSE)</f>
        <v>#N/A</v>
      </c>
      <c r="K287" s="29"/>
      <c r="M287" s="22"/>
      <c r="U287" s="22"/>
    </row>
    <row r="288" spans="10:21">
      <c r="J288" s="20" t="e">
        <f>VLOOKUP(G288,MD!M$2:O$93,3,FALSE)</f>
        <v>#N/A</v>
      </c>
      <c r="K288" s="29"/>
      <c r="M288" s="22"/>
      <c r="U288" s="22"/>
    </row>
    <row r="289" spans="10:21">
      <c r="J289" s="20" t="e">
        <f>VLOOKUP(G289,MD!M$2:O$93,3,FALSE)</f>
        <v>#N/A</v>
      </c>
      <c r="K289" s="29"/>
      <c r="M289" s="22"/>
      <c r="U289" s="22"/>
    </row>
    <row r="290" spans="10:21">
      <c r="J290" s="20" t="e">
        <f>VLOOKUP(G290,MD!M$2:O$93,3,FALSE)</f>
        <v>#N/A</v>
      </c>
      <c r="K290" s="29"/>
      <c r="M290" s="22"/>
      <c r="U290" s="22"/>
    </row>
    <row r="291" spans="10:21">
      <c r="J291" s="20" t="e">
        <f>VLOOKUP(G291,MD!M$2:O$93,3,FALSE)</f>
        <v>#N/A</v>
      </c>
      <c r="K291" s="29"/>
      <c r="M291" s="22"/>
      <c r="U291" s="22"/>
    </row>
    <row r="292" spans="10:21">
      <c r="J292" s="20" t="e">
        <f>VLOOKUP(G292,MD!M$2:O$93,3,FALSE)</f>
        <v>#N/A</v>
      </c>
      <c r="K292" s="29"/>
      <c r="M292" s="22"/>
      <c r="U292" s="22"/>
    </row>
    <row r="293" spans="10:21">
      <c r="J293" s="20" t="e">
        <f>VLOOKUP(G293,MD!M$2:O$93,3,FALSE)</f>
        <v>#N/A</v>
      </c>
      <c r="K293" s="29"/>
      <c r="M293" s="22"/>
      <c r="U293" s="22"/>
    </row>
    <row r="294" spans="10:21">
      <c r="J294" s="20" t="e">
        <f>VLOOKUP(G294,MD!M$2:O$93,3,FALSE)</f>
        <v>#N/A</v>
      </c>
      <c r="K294" s="29"/>
      <c r="M294" s="22"/>
      <c r="U294" s="22"/>
    </row>
    <row r="295" spans="10:21">
      <c r="J295" s="20" t="e">
        <f>VLOOKUP(G295,MD!M$2:O$93,3,FALSE)</f>
        <v>#N/A</v>
      </c>
      <c r="K295" s="29"/>
      <c r="M295" s="22"/>
      <c r="U295" s="22"/>
    </row>
    <row r="296" spans="10:21">
      <c r="J296" s="20" t="e">
        <f>VLOOKUP(G296,MD!M$2:O$93,3,FALSE)</f>
        <v>#N/A</v>
      </c>
      <c r="K296" s="29"/>
      <c r="M296" s="22"/>
      <c r="U296" s="22"/>
    </row>
    <row r="297" spans="10:21">
      <c r="J297" s="20" t="e">
        <f>VLOOKUP(G297,MD!M$2:O$93,3,FALSE)</f>
        <v>#N/A</v>
      </c>
      <c r="K297" s="29"/>
      <c r="M297" s="22"/>
      <c r="U297" s="22"/>
    </row>
    <row r="298" spans="10:21">
      <c r="J298" s="20" t="e">
        <f>VLOOKUP(G298,MD!M$2:O$93,3,FALSE)</f>
        <v>#N/A</v>
      </c>
      <c r="K298" s="29"/>
      <c r="M298" s="22"/>
      <c r="U298" s="22"/>
    </row>
    <row r="299" spans="10:21">
      <c r="J299" s="20" t="e">
        <f>VLOOKUP(G299,MD!M$2:O$93,3,FALSE)</f>
        <v>#N/A</v>
      </c>
      <c r="K299" s="29"/>
      <c r="M299" s="22"/>
      <c r="U299" s="22"/>
    </row>
    <row r="300" spans="10:21">
      <c r="J300" s="20" t="e">
        <f>VLOOKUP(G300,MD!M$2:O$93,3,FALSE)</f>
        <v>#N/A</v>
      </c>
      <c r="K300" s="29"/>
      <c r="M300" s="22"/>
      <c r="U300" s="22"/>
    </row>
    <row r="301" spans="10:21">
      <c r="J301" s="20" t="e">
        <f>VLOOKUP(G301,MD!M$2:O$93,3,FALSE)</f>
        <v>#N/A</v>
      </c>
      <c r="K301" s="29"/>
      <c r="M301" s="22"/>
      <c r="U301" s="22"/>
    </row>
    <row r="302" spans="10:21">
      <c r="J302" s="20" t="e">
        <f>VLOOKUP(G302,MD!M$2:O$93,3,FALSE)</f>
        <v>#N/A</v>
      </c>
      <c r="K302" s="29"/>
      <c r="M302" s="22"/>
      <c r="U302" s="22"/>
    </row>
    <row r="303" spans="10:21">
      <c r="J303" s="20" t="e">
        <f>VLOOKUP(G303,MD!M$2:O$93,3,FALSE)</f>
        <v>#N/A</v>
      </c>
      <c r="K303" s="29"/>
      <c r="M303" s="22"/>
      <c r="U303" s="22"/>
    </row>
    <row r="304" spans="10:21">
      <c r="J304" s="20" t="e">
        <f>VLOOKUP(G304,MD!M$2:O$93,3,FALSE)</f>
        <v>#N/A</v>
      </c>
      <c r="K304" s="29"/>
      <c r="M304" s="22"/>
      <c r="U304" s="22"/>
    </row>
    <row r="305" spans="10:21">
      <c r="J305" s="20" t="e">
        <f>VLOOKUP(G305,MD!M$2:O$93,3,FALSE)</f>
        <v>#N/A</v>
      </c>
      <c r="K305" s="29"/>
      <c r="M305" s="22"/>
      <c r="U305" s="22"/>
    </row>
    <row r="306" spans="10:21">
      <c r="J306" s="20" t="e">
        <f>VLOOKUP(G306,MD!M$2:O$93,3,FALSE)</f>
        <v>#N/A</v>
      </c>
      <c r="K306" s="29"/>
      <c r="M306" s="22"/>
      <c r="U306" s="22"/>
    </row>
    <row r="307" spans="10:21">
      <c r="J307" s="20" t="e">
        <f>VLOOKUP(G307,MD!M$2:O$93,3,FALSE)</f>
        <v>#N/A</v>
      </c>
      <c r="K307" s="29"/>
      <c r="M307" s="22"/>
      <c r="U307" s="22"/>
    </row>
    <row r="308" spans="10:21">
      <c r="J308" s="20" t="e">
        <f>VLOOKUP(G308,MD!M$2:O$93,3,FALSE)</f>
        <v>#N/A</v>
      </c>
      <c r="K308" s="29"/>
      <c r="M308" s="22"/>
      <c r="U308" s="22"/>
    </row>
    <row r="309" spans="10:21">
      <c r="J309" s="20" t="e">
        <f>VLOOKUP(G309,MD!M$2:O$93,3,FALSE)</f>
        <v>#N/A</v>
      </c>
      <c r="K309" s="29"/>
      <c r="M309" s="22"/>
      <c r="U309" s="22"/>
    </row>
    <row r="310" spans="10:21">
      <c r="J310" s="20" t="e">
        <f>VLOOKUP(G310,MD!M$2:O$93,3,FALSE)</f>
        <v>#N/A</v>
      </c>
      <c r="K310" s="29"/>
      <c r="M310" s="22"/>
      <c r="U310" s="22"/>
    </row>
    <row r="311" spans="10:21">
      <c r="J311" s="20" t="e">
        <f>VLOOKUP(G311,MD!M$2:O$93,3,FALSE)</f>
        <v>#N/A</v>
      </c>
      <c r="K311" s="29"/>
      <c r="M311" s="22"/>
      <c r="U311" s="22"/>
    </row>
    <row r="312" spans="10:21">
      <c r="J312" s="20" t="e">
        <f>VLOOKUP(G312,MD!M$2:O$93,3,FALSE)</f>
        <v>#N/A</v>
      </c>
      <c r="K312" s="29"/>
      <c r="M312" s="22"/>
      <c r="U312" s="22"/>
    </row>
    <row r="313" spans="10:21">
      <c r="J313" s="20" t="e">
        <f>VLOOKUP(G313,MD!M$2:O$93,3,FALSE)</f>
        <v>#N/A</v>
      </c>
      <c r="K313" s="29"/>
      <c r="M313" s="22"/>
      <c r="U313" s="22"/>
    </row>
    <row r="314" spans="10:21">
      <c r="J314" s="20" t="e">
        <f>VLOOKUP(G314,MD!M$2:O$93,3,FALSE)</f>
        <v>#N/A</v>
      </c>
      <c r="K314" s="29"/>
      <c r="M314" s="22"/>
      <c r="U314" s="22"/>
    </row>
    <row r="315" spans="10:21">
      <c r="J315" s="20" t="e">
        <f>VLOOKUP(G315,MD!M$2:O$93,3,FALSE)</f>
        <v>#N/A</v>
      </c>
      <c r="K315" s="29"/>
      <c r="M315" s="22"/>
      <c r="U315" s="22"/>
    </row>
    <row r="316" spans="10:21">
      <c r="J316" s="20" t="e">
        <f>VLOOKUP(G316,MD!M$2:O$93,3,FALSE)</f>
        <v>#N/A</v>
      </c>
      <c r="K316" s="29"/>
      <c r="M316" s="22"/>
      <c r="U316" s="22"/>
    </row>
    <row r="317" spans="10:21">
      <c r="J317" s="20" t="e">
        <f>VLOOKUP(G317,MD!M$2:O$93,3,FALSE)</f>
        <v>#N/A</v>
      </c>
      <c r="K317" s="29"/>
      <c r="M317" s="22"/>
      <c r="U317" s="22"/>
    </row>
    <row r="318" spans="10:21">
      <c r="J318" s="20" t="e">
        <f>VLOOKUP(G318,MD!M$2:O$93,3,FALSE)</f>
        <v>#N/A</v>
      </c>
      <c r="K318" s="29"/>
      <c r="M318" s="22"/>
      <c r="U318" s="22"/>
    </row>
    <row r="319" spans="10:21">
      <c r="J319" s="20" t="e">
        <f>VLOOKUP(G319,MD!M$2:O$93,3,FALSE)</f>
        <v>#N/A</v>
      </c>
      <c r="K319" s="29"/>
      <c r="M319" s="22"/>
      <c r="U319" s="22"/>
    </row>
    <row r="320" spans="10:21">
      <c r="J320" s="20" t="e">
        <f>VLOOKUP(G320,MD!M$2:O$93,3,FALSE)</f>
        <v>#N/A</v>
      </c>
      <c r="K320" s="29"/>
      <c r="M320" s="22"/>
      <c r="U320" s="22"/>
    </row>
    <row r="321" spans="10:21">
      <c r="J321" s="20" t="e">
        <f>VLOOKUP(G321,MD!M$2:O$93,3,FALSE)</f>
        <v>#N/A</v>
      </c>
      <c r="K321" s="29"/>
      <c r="M321" s="22"/>
      <c r="U321" s="22"/>
    </row>
    <row r="322" spans="10:21">
      <c r="J322" s="20" t="e">
        <f>VLOOKUP(G322,MD!M$2:O$93,3,FALSE)</f>
        <v>#N/A</v>
      </c>
      <c r="K322" s="29"/>
      <c r="M322" s="22"/>
      <c r="U322" s="22"/>
    </row>
    <row r="323" spans="10:21">
      <c r="J323" s="20" t="e">
        <f>VLOOKUP(G323,MD!M$2:O$93,3,FALSE)</f>
        <v>#N/A</v>
      </c>
      <c r="K323" s="29"/>
      <c r="M323" s="22"/>
      <c r="U323" s="22"/>
    </row>
    <row r="324" spans="10:21">
      <c r="J324" s="20" t="e">
        <f>VLOOKUP(G324,MD!M$2:O$93,3,FALSE)</f>
        <v>#N/A</v>
      </c>
      <c r="K324" s="29"/>
      <c r="M324" s="22"/>
      <c r="U324" s="22"/>
    </row>
    <row r="325" spans="10:21">
      <c r="J325" s="20" t="e">
        <f>VLOOKUP(G325,MD!M$2:O$93,3,FALSE)</f>
        <v>#N/A</v>
      </c>
      <c r="K325" s="29"/>
      <c r="M325" s="22"/>
      <c r="U325" s="22"/>
    </row>
    <row r="326" spans="10:21">
      <c r="J326" s="20" t="e">
        <f>VLOOKUP(G326,MD!M$2:O$93,3,FALSE)</f>
        <v>#N/A</v>
      </c>
      <c r="K326" s="29"/>
      <c r="M326" s="22"/>
      <c r="U326" s="22"/>
    </row>
    <row r="327" spans="10:21">
      <c r="J327" s="20" t="e">
        <f>VLOOKUP(G327,MD!M$2:O$93,3,FALSE)</f>
        <v>#N/A</v>
      </c>
      <c r="K327" s="29"/>
      <c r="M327" s="22"/>
      <c r="U327" s="22"/>
    </row>
    <row r="328" spans="10:21">
      <c r="J328" s="20" t="e">
        <f>VLOOKUP(G328,MD!M$2:O$93,3,FALSE)</f>
        <v>#N/A</v>
      </c>
      <c r="K328" s="29"/>
      <c r="M328" s="22"/>
      <c r="U328" s="22"/>
    </row>
    <row r="329" spans="10:21">
      <c r="J329" s="20" t="e">
        <f>VLOOKUP(G329,MD!M$2:O$93,3,FALSE)</f>
        <v>#N/A</v>
      </c>
      <c r="K329" s="29"/>
      <c r="M329" s="22"/>
      <c r="U329" s="22"/>
    </row>
    <row r="330" spans="10:21">
      <c r="J330" s="20" t="e">
        <f>VLOOKUP(G330,MD!M$2:O$93,3,FALSE)</f>
        <v>#N/A</v>
      </c>
      <c r="K330" s="29"/>
      <c r="M330" s="22"/>
      <c r="U330" s="22"/>
    </row>
    <row r="331" spans="10:21">
      <c r="J331" s="20" t="e">
        <f>VLOOKUP(G331,MD!M$2:O$93,3,FALSE)</f>
        <v>#N/A</v>
      </c>
      <c r="K331" s="29"/>
      <c r="M331" s="22"/>
      <c r="U331" s="22"/>
    </row>
    <row r="332" spans="10:21">
      <c r="J332" s="20" t="e">
        <f>VLOOKUP(G332,MD!M$2:O$93,3,FALSE)</f>
        <v>#N/A</v>
      </c>
      <c r="K332" s="29"/>
      <c r="M332" s="22"/>
      <c r="U332" s="22"/>
    </row>
    <row r="333" spans="10:21">
      <c r="J333" s="20" t="e">
        <f>VLOOKUP(G333,MD!M$2:O$93,3,FALSE)</f>
        <v>#N/A</v>
      </c>
      <c r="K333" s="29"/>
      <c r="M333" s="22"/>
      <c r="U333" s="22"/>
    </row>
    <row r="334" spans="10:21">
      <c r="J334" s="20" t="e">
        <f>VLOOKUP(G334,MD!M$2:O$93,3,FALSE)</f>
        <v>#N/A</v>
      </c>
      <c r="K334" s="29"/>
      <c r="M334" s="22"/>
      <c r="U334" s="22"/>
    </row>
    <row r="335" spans="10:21">
      <c r="J335" s="20" t="e">
        <f>VLOOKUP(G335,MD!M$2:O$93,3,FALSE)</f>
        <v>#N/A</v>
      </c>
      <c r="K335" s="29"/>
      <c r="M335" s="22"/>
      <c r="U335" s="22"/>
    </row>
    <row r="336" spans="10:21">
      <c r="J336" s="20" t="e">
        <f>VLOOKUP(G336,MD!M$2:O$93,3,FALSE)</f>
        <v>#N/A</v>
      </c>
      <c r="K336" s="29"/>
      <c r="M336" s="22"/>
      <c r="U336" s="22"/>
    </row>
    <row r="337" spans="10:21">
      <c r="J337" s="20" t="e">
        <f>VLOOKUP(G337,MD!M$2:O$93,3,FALSE)</f>
        <v>#N/A</v>
      </c>
      <c r="K337" s="29"/>
      <c r="M337" s="22"/>
      <c r="U337" s="22"/>
    </row>
    <row r="338" spans="10:21">
      <c r="J338" s="20" t="e">
        <f>VLOOKUP(G338,MD!M$2:O$93,3,FALSE)</f>
        <v>#N/A</v>
      </c>
      <c r="K338" s="29"/>
      <c r="M338" s="22"/>
      <c r="U338" s="22"/>
    </row>
    <row r="339" spans="10:21">
      <c r="J339" s="20" t="e">
        <f>VLOOKUP(G339,MD!M$2:O$93,3,FALSE)</f>
        <v>#N/A</v>
      </c>
      <c r="K339" s="29"/>
      <c r="M339" s="22"/>
      <c r="U339" s="22"/>
    </row>
    <row r="340" spans="10:21">
      <c r="J340" s="20" t="e">
        <f>VLOOKUP(G340,MD!M$2:O$93,3,FALSE)</f>
        <v>#N/A</v>
      </c>
      <c r="K340" s="29"/>
      <c r="M340" s="22"/>
      <c r="U340" s="22"/>
    </row>
    <row r="341" spans="10:21">
      <c r="J341" s="20" t="e">
        <f>VLOOKUP(G341,MD!M$2:O$93,3,FALSE)</f>
        <v>#N/A</v>
      </c>
      <c r="K341" s="29"/>
      <c r="M341" s="22"/>
      <c r="U341" s="22"/>
    </row>
    <row r="342" spans="10:21">
      <c r="J342" s="20" t="e">
        <f>VLOOKUP(G342,MD!M$2:O$93,3,FALSE)</f>
        <v>#N/A</v>
      </c>
      <c r="K342" s="29"/>
      <c r="M342" s="22"/>
      <c r="U342" s="22"/>
    </row>
    <row r="343" spans="10:21">
      <c r="J343" s="20" t="e">
        <f>VLOOKUP(G343,MD!M$2:O$93,3,FALSE)</f>
        <v>#N/A</v>
      </c>
      <c r="K343" s="29"/>
      <c r="M343" s="22"/>
      <c r="U343" s="22"/>
    </row>
    <row r="344" spans="10:21">
      <c r="J344" s="20" t="e">
        <f>VLOOKUP(G344,MD!M$2:O$93,3,FALSE)</f>
        <v>#N/A</v>
      </c>
      <c r="K344" s="29"/>
      <c r="M344" s="22"/>
      <c r="U344" s="22"/>
    </row>
    <row r="345" spans="10:21">
      <c r="J345" s="20" t="e">
        <f>VLOOKUP(G345,MD!M$2:O$93,3,FALSE)</f>
        <v>#N/A</v>
      </c>
      <c r="K345" s="29"/>
      <c r="M345" s="22"/>
      <c r="U345" s="22"/>
    </row>
    <row r="346" spans="10:21">
      <c r="J346" s="20" t="e">
        <f>VLOOKUP(G346,MD!M$2:O$93,3,FALSE)</f>
        <v>#N/A</v>
      </c>
      <c r="K346" s="29"/>
      <c r="M346" s="22"/>
      <c r="U346" s="22"/>
    </row>
    <row r="347" spans="10:21">
      <c r="J347" s="20" t="e">
        <f>VLOOKUP(G347,MD!M$2:O$93,3,FALSE)</f>
        <v>#N/A</v>
      </c>
      <c r="K347" s="29"/>
      <c r="M347" s="22"/>
      <c r="U347" s="22"/>
    </row>
    <row r="348" spans="10:21">
      <c r="J348" s="20" t="e">
        <f>VLOOKUP(G348,MD!M$2:O$93,3,FALSE)</f>
        <v>#N/A</v>
      </c>
      <c r="K348" s="29"/>
      <c r="M348" s="22"/>
      <c r="U348" s="22"/>
    </row>
    <row r="349" spans="10:21">
      <c r="J349" s="20" t="e">
        <f>VLOOKUP(G349,MD!M$2:O$93,3,FALSE)</f>
        <v>#N/A</v>
      </c>
      <c r="K349" s="29"/>
      <c r="M349" s="22"/>
      <c r="U349" s="22"/>
    </row>
    <row r="350" spans="10:21">
      <c r="J350" s="20" t="e">
        <f>VLOOKUP(G350,MD!M$2:O$93,3,FALSE)</f>
        <v>#N/A</v>
      </c>
      <c r="K350" s="29"/>
      <c r="M350" s="22"/>
      <c r="U350" s="22"/>
    </row>
    <row r="351" spans="10:21">
      <c r="J351" s="20" t="e">
        <f>VLOOKUP(G351,MD!M$2:O$93,3,FALSE)</f>
        <v>#N/A</v>
      </c>
      <c r="K351" s="29"/>
      <c r="M351" s="22"/>
      <c r="U351" s="22"/>
    </row>
    <row r="352" spans="10:21">
      <c r="J352" s="20" t="e">
        <f>VLOOKUP(G352,MD!M$2:O$93,3,FALSE)</f>
        <v>#N/A</v>
      </c>
      <c r="K352" s="29"/>
      <c r="M352" s="22"/>
      <c r="U352" s="22"/>
    </row>
    <row r="353" spans="10:21">
      <c r="J353" s="20" t="e">
        <f>VLOOKUP(G353,MD!M$2:O$93,3,FALSE)</f>
        <v>#N/A</v>
      </c>
      <c r="K353" s="29"/>
      <c r="M353" s="22"/>
      <c r="U353" s="22"/>
    </row>
    <row r="354" spans="10:21">
      <c r="J354" s="20" t="e">
        <f>VLOOKUP(G354,MD!M$2:O$93,3,FALSE)</f>
        <v>#N/A</v>
      </c>
      <c r="K354" s="29"/>
      <c r="M354" s="22"/>
      <c r="U354" s="22"/>
    </row>
    <row r="355" spans="10:21">
      <c r="J355" s="20" t="e">
        <f>VLOOKUP(G355,MD!M$2:O$93,3,FALSE)</f>
        <v>#N/A</v>
      </c>
      <c r="K355" s="29"/>
      <c r="M355" s="22"/>
      <c r="U355" s="22"/>
    </row>
    <row r="356" spans="10:21">
      <c r="J356" s="20" t="e">
        <f>VLOOKUP(G356,MD!M$2:O$93,3,FALSE)</f>
        <v>#N/A</v>
      </c>
      <c r="K356" s="29"/>
      <c r="M356" s="22"/>
      <c r="U356" s="22"/>
    </row>
    <row r="357" spans="10:21">
      <c r="J357" s="20" t="e">
        <f>VLOOKUP(G357,MD!M$2:O$93,3,FALSE)</f>
        <v>#N/A</v>
      </c>
      <c r="K357" s="29"/>
      <c r="M357" s="22"/>
      <c r="U357" s="22"/>
    </row>
    <row r="358" spans="10:21">
      <c r="J358" s="20" t="e">
        <f>VLOOKUP(G358,MD!M$2:O$93,3,FALSE)</f>
        <v>#N/A</v>
      </c>
      <c r="K358" s="29"/>
      <c r="M358" s="22"/>
      <c r="U358" s="22"/>
    </row>
    <row r="359" spans="10:21">
      <c r="J359" s="20" t="e">
        <f>VLOOKUP(G359,MD!M$2:O$93,3,FALSE)</f>
        <v>#N/A</v>
      </c>
      <c r="K359" s="29"/>
      <c r="M359" s="22"/>
      <c r="U359" s="22"/>
    </row>
    <row r="360" spans="10:21">
      <c r="J360" s="20" t="e">
        <f>VLOOKUP(G360,MD!M$2:O$93,3,FALSE)</f>
        <v>#N/A</v>
      </c>
      <c r="K360" s="29"/>
      <c r="M360" s="22"/>
      <c r="U360" s="22"/>
    </row>
    <row r="361" spans="10:21">
      <c r="J361" s="20" t="e">
        <f>VLOOKUP(G361,MD!M$2:O$93,3,FALSE)</f>
        <v>#N/A</v>
      </c>
      <c r="K361" s="29"/>
      <c r="M361" s="22"/>
      <c r="U361" s="22"/>
    </row>
    <row r="362" spans="10:21">
      <c r="J362" s="20" t="e">
        <f>VLOOKUP(G362,MD!M$2:O$93,3,FALSE)</f>
        <v>#N/A</v>
      </c>
      <c r="K362" s="29"/>
      <c r="M362" s="22"/>
      <c r="U362" s="22"/>
    </row>
    <row r="363" spans="10:21">
      <c r="J363" s="20" t="e">
        <f>VLOOKUP(G363,MD!M$2:O$93,3,FALSE)</f>
        <v>#N/A</v>
      </c>
      <c r="K363" s="29"/>
      <c r="M363" s="22"/>
      <c r="U363" s="22"/>
    </row>
    <row r="364" spans="10:21">
      <c r="J364" s="20" t="e">
        <f>VLOOKUP(G364,MD!M$2:O$93,3,FALSE)</f>
        <v>#N/A</v>
      </c>
      <c r="K364" s="29"/>
      <c r="M364" s="22"/>
      <c r="U364" s="22"/>
    </row>
    <row r="365" spans="10:21">
      <c r="J365" s="20" t="e">
        <f>VLOOKUP(G365,MD!M$2:O$93,3,FALSE)</f>
        <v>#N/A</v>
      </c>
      <c r="K365" s="29"/>
      <c r="M365" s="22"/>
      <c r="U365" s="22"/>
    </row>
    <row r="366" spans="10:21">
      <c r="J366" s="20" t="e">
        <f>VLOOKUP(G366,MD!M$2:O$93,3,FALSE)</f>
        <v>#N/A</v>
      </c>
      <c r="K366" s="29"/>
      <c r="M366" s="22"/>
      <c r="U366" s="22"/>
    </row>
    <row r="367" spans="10:21">
      <c r="J367" s="20" t="e">
        <f>VLOOKUP(G367,MD!M$2:O$93,3,FALSE)</f>
        <v>#N/A</v>
      </c>
      <c r="K367" s="29"/>
      <c r="M367" s="22"/>
      <c r="U367" s="22"/>
    </row>
    <row r="368" spans="10:21">
      <c r="J368" s="20" t="e">
        <f>VLOOKUP(G368,MD!M$2:O$93,3,FALSE)</f>
        <v>#N/A</v>
      </c>
      <c r="K368" s="29"/>
      <c r="M368" s="22"/>
      <c r="U368" s="22"/>
    </row>
    <row r="369" spans="10:21">
      <c r="J369" s="20" t="e">
        <f>VLOOKUP(G369,MD!M$2:O$93,3,FALSE)</f>
        <v>#N/A</v>
      </c>
      <c r="K369" s="29"/>
      <c r="M369" s="22"/>
      <c r="U369" s="22"/>
    </row>
    <row r="370" spans="10:21">
      <c r="J370" s="20" t="e">
        <f>VLOOKUP(G370,MD!M$2:O$93,3,FALSE)</f>
        <v>#N/A</v>
      </c>
      <c r="K370" s="29"/>
      <c r="M370" s="22"/>
      <c r="U370" s="22"/>
    </row>
    <row r="371" spans="10:21">
      <c r="J371" s="20" t="e">
        <f>VLOOKUP(G371,MD!M$2:O$93,3,FALSE)</f>
        <v>#N/A</v>
      </c>
      <c r="K371" s="29"/>
      <c r="M371" s="22"/>
      <c r="U371" s="22"/>
    </row>
    <row r="372" spans="10:21">
      <c r="J372" s="20" t="e">
        <f>VLOOKUP(G372,MD!M$2:O$93,3,FALSE)</f>
        <v>#N/A</v>
      </c>
      <c r="K372" s="29"/>
      <c r="M372" s="22"/>
      <c r="U372" s="22"/>
    </row>
    <row r="373" spans="10:21">
      <c r="J373" s="20" t="e">
        <f>VLOOKUP(G373,MD!M$2:O$93,3,FALSE)</f>
        <v>#N/A</v>
      </c>
      <c r="K373" s="29"/>
      <c r="M373" s="22"/>
      <c r="U373" s="22"/>
    </row>
    <row r="374" spans="10:21">
      <c r="J374" s="20" t="e">
        <f>VLOOKUP(G374,MD!M$2:O$93,3,FALSE)</f>
        <v>#N/A</v>
      </c>
      <c r="K374" s="29"/>
      <c r="M374" s="22"/>
      <c r="U374" s="22"/>
    </row>
    <row r="375" spans="10:21">
      <c r="J375" s="20" t="e">
        <f>VLOOKUP(G375,MD!M$2:O$93,3,FALSE)</f>
        <v>#N/A</v>
      </c>
      <c r="K375" s="29"/>
      <c r="M375" s="22"/>
      <c r="U375" s="22"/>
    </row>
    <row r="376" spans="10:21">
      <c r="J376" s="20" t="e">
        <f>VLOOKUP(G376,MD!M$2:O$93,3,FALSE)</f>
        <v>#N/A</v>
      </c>
      <c r="K376" s="29"/>
      <c r="M376" s="22"/>
      <c r="U376" s="22"/>
    </row>
    <row r="377" spans="10:21">
      <c r="J377" s="20" t="e">
        <f>VLOOKUP(G377,MD!M$2:O$93,3,FALSE)</f>
        <v>#N/A</v>
      </c>
      <c r="K377" s="29"/>
      <c r="M377" s="22"/>
      <c r="U377" s="22"/>
    </row>
    <row r="378" spans="10:21">
      <c r="J378" s="20" t="e">
        <f>VLOOKUP(G378,MD!M$2:O$93,3,FALSE)</f>
        <v>#N/A</v>
      </c>
      <c r="K378" s="29"/>
      <c r="M378" s="22"/>
      <c r="U378" s="22"/>
    </row>
    <row r="379" spans="10:21">
      <c r="J379" s="20" t="e">
        <f>VLOOKUP(G379,MD!M$2:O$93,3,FALSE)</f>
        <v>#N/A</v>
      </c>
      <c r="K379" s="29"/>
      <c r="M379" s="22"/>
      <c r="U379" s="22"/>
    </row>
    <row r="380" spans="10:21">
      <c r="J380" s="20" t="e">
        <f>VLOOKUP(G380,MD!M$2:O$93,3,FALSE)</f>
        <v>#N/A</v>
      </c>
      <c r="K380" s="29"/>
      <c r="M380" s="22"/>
      <c r="U380" s="22"/>
    </row>
    <row r="381" spans="10:21">
      <c r="J381" s="20" t="e">
        <f>VLOOKUP(G381,MD!M$2:O$93,3,FALSE)</f>
        <v>#N/A</v>
      </c>
      <c r="K381" s="29"/>
      <c r="M381" s="22"/>
      <c r="U381" s="22"/>
    </row>
    <row r="382" spans="10:21">
      <c r="J382" s="20" t="e">
        <f>VLOOKUP(G382,MD!M$2:O$93,3,FALSE)</f>
        <v>#N/A</v>
      </c>
      <c r="K382" s="29"/>
      <c r="M382" s="22"/>
      <c r="U382" s="22"/>
    </row>
    <row r="383" spans="10:21">
      <c r="J383" s="20" t="e">
        <f>VLOOKUP(G383,MD!M$2:O$93,3,FALSE)</f>
        <v>#N/A</v>
      </c>
      <c r="K383" s="29"/>
      <c r="M383" s="22"/>
      <c r="U383" s="22"/>
    </row>
    <row r="384" spans="10:21">
      <c r="J384" s="20" t="e">
        <f>VLOOKUP(G384,MD!M$2:O$93,3,FALSE)</f>
        <v>#N/A</v>
      </c>
      <c r="K384" s="29"/>
      <c r="M384" s="22"/>
      <c r="U384" s="22"/>
    </row>
    <row r="385" spans="10:21">
      <c r="J385" s="20" t="e">
        <f>VLOOKUP(G385,MD!M$2:O$93,3,FALSE)</f>
        <v>#N/A</v>
      </c>
      <c r="K385" s="29"/>
      <c r="M385" s="22"/>
      <c r="U385" s="22"/>
    </row>
    <row r="386" spans="10:21">
      <c r="J386" s="20" t="e">
        <f>VLOOKUP(G386,MD!M$2:O$93,3,FALSE)</f>
        <v>#N/A</v>
      </c>
      <c r="K386" s="29"/>
      <c r="M386" s="22"/>
      <c r="U386" s="22"/>
    </row>
    <row r="387" spans="10:21">
      <c r="J387" s="20" t="e">
        <f>VLOOKUP(G387,MD!M$2:O$93,3,FALSE)</f>
        <v>#N/A</v>
      </c>
      <c r="K387" s="29"/>
      <c r="M387" s="22"/>
      <c r="U387" s="22"/>
    </row>
    <row r="388" spans="10:21">
      <c r="J388" s="20" t="e">
        <f>VLOOKUP(G388,MD!M$2:O$93,3,FALSE)</f>
        <v>#N/A</v>
      </c>
      <c r="K388" s="29"/>
      <c r="M388" s="22"/>
      <c r="U388" s="22"/>
    </row>
    <row r="389" spans="10:21">
      <c r="J389" s="20" t="e">
        <f>VLOOKUP(G389,MD!M$2:O$93,3,FALSE)</f>
        <v>#N/A</v>
      </c>
      <c r="K389" s="29"/>
      <c r="M389" s="22"/>
      <c r="U389" s="22"/>
    </row>
    <row r="390" spans="10:21">
      <c r="J390" s="20" t="e">
        <f>VLOOKUP(G390,MD!M$2:O$93,3,FALSE)</f>
        <v>#N/A</v>
      </c>
      <c r="K390" s="29"/>
      <c r="M390" s="22"/>
      <c r="U390" s="22"/>
    </row>
    <row r="391" spans="10:21">
      <c r="J391" s="20" t="e">
        <f>VLOOKUP(G391,MD!M$2:O$93,3,FALSE)</f>
        <v>#N/A</v>
      </c>
      <c r="K391" s="29"/>
      <c r="M391" s="22"/>
      <c r="U391" s="22"/>
    </row>
    <row r="392" spans="10:21">
      <c r="J392" s="20" t="e">
        <f>VLOOKUP(G392,MD!M$2:O$93,3,FALSE)</f>
        <v>#N/A</v>
      </c>
      <c r="K392" s="29"/>
      <c r="M392" s="22"/>
      <c r="U392" s="22"/>
    </row>
    <row r="393" spans="10:21">
      <c r="J393" s="20" t="e">
        <f>VLOOKUP(G393,MD!M$2:O$93,3,FALSE)</f>
        <v>#N/A</v>
      </c>
      <c r="K393" s="29"/>
      <c r="M393" s="22"/>
      <c r="U393" s="22"/>
    </row>
    <row r="394" spans="10:21">
      <c r="J394" s="20" t="e">
        <f>VLOOKUP(G394,MD!M$2:O$93,3,FALSE)</f>
        <v>#N/A</v>
      </c>
      <c r="K394" s="29"/>
      <c r="M394" s="22"/>
      <c r="U394" s="22"/>
    </row>
    <row r="395" spans="10:21">
      <c r="J395" s="20" t="e">
        <f>VLOOKUP(G395,MD!M$2:O$93,3,FALSE)</f>
        <v>#N/A</v>
      </c>
      <c r="K395" s="29"/>
      <c r="M395" s="22"/>
      <c r="U395" s="22"/>
    </row>
    <row r="396" spans="10:21">
      <c r="J396" s="20" t="e">
        <f>VLOOKUP(G396,MD!M$2:O$93,3,FALSE)</f>
        <v>#N/A</v>
      </c>
      <c r="K396" s="29"/>
      <c r="M396" s="22"/>
      <c r="U396" s="22"/>
    </row>
    <row r="397" spans="10:21">
      <c r="J397" s="20" t="e">
        <f>VLOOKUP(G397,MD!M$2:O$93,3,FALSE)</f>
        <v>#N/A</v>
      </c>
      <c r="K397" s="29"/>
      <c r="M397" s="22"/>
      <c r="U397" s="22"/>
    </row>
    <row r="398" spans="10:21">
      <c r="J398" s="20" t="e">
        <f>VLOOKUP(G398,MD!M$2:O$93,3,FALSE)</f>
        <v>#N/A</v>
      </c>
      <c r="K398" s="29"/>
      <c r="M398" s="22"/>
      <c r="U398" s="22"/>
    </row>
    <row r="399" spans="10:21">
      <c r="J399" s="20" t="e">
        <f>VLOOKUP(G399,MD!M$2:O$93,3,FALSE)</f>
        <v>#N/A</v>
      </c>
      <c r="K399" s="29"/>
      <c r="M399" s="22"/>
      <c r="U399" s="22"/>
    </row>
    <row r="400" spans="10:21">
      <c r="J400" s="20" t="e">
        <f>VLOOKUP(G400,MD!M$2:O$93,3,FALSE)</f>
        <v>#N/A</v>
      </c>
      <c r="K400" s="29"/>
      <c r="M400" s="22"/>
      <c r="U400" s="22"/>
    </row>
    <row r="401" spans="10:21">
      <c r="J401" s="20" t="e">
        <f>VLOOKUP(G401,MD!M$2:O$93,3,FALSE)</f>
        <v>#N/A</v>
      </c>
      <c r="K401" s="29"/>
      <c r="M401" s="22"/>
      <c r="U401" s="22"/>
    </row>
    <row r="402" spans="10:21">
      <c r="J402" s="20" t="e">
        <f>VLOOKUP(G402,MD!M$2:O$93,3,FALSE)</f>
        <v>#N/A</v>
      </c>
      <c r="K402" s="29"/>
      <c r="M402" s="22"/>
      <c r="U402" s="22"/>
    </row>
    <row r="403" spans="10:21">
      <c r="J403" s="20" t="e">
        <f>VLOOKUP(G403,MD!M$2:O$93,3,FALSE)</f>
        <v>#N/A</v>
      </c>
      <c r="K403" s="29"/>
      <c r="M403" s="22"/>
      <c r="U403" s="22"/>
    </row>
    <row r="404" spans="10:21">
      <c r="J404" s="20" t="e">
        <f>VLOOKUP(G404,MD!M$2:O$93,3,FALSE)</f>
        <v>#N/A</v>
      </c>
      <c r="K404" s="29"/>
      <c r="M404" s="22"/>
      <c r="U404" s="22"/>
    </row>
    <row r="405" spans="10:21">
      <c r="J405" s="20" t="e">
        <f>VLOOKUP(G405,MD!M$2:O$93,3,FALSE)</f>
        <v>#N/A</v>
      </c>
      <c r="K405" s="29"/>
      <c r="M405" s="22"/>
      <c r="U405" s="22"/>
    </row>
    <row r="406" spans="10:21">
      <c r="J406" s="20" t="e">
        <f>VLOOKUP(G406,MD!M$2:O$93,3,FALSE)</f>
        <v>#N/A</v>
      </c>
      <c r="K406" s="29"/>
      <c r="M406" s="22"/>
      <c r="U406" s="22"/>
    </row>
    <row r="407" spans="10:21">
      <c r="J407" s="20" t="e">
        <f>VLOOKUP(G407,MD!M$2:O$93,3,FALSE)</f>
        <v>#N/A</v>
      </c>
      <c r="K407" s="29"/>
      <c r="M407" s="22"/>
      <c r="U407" s="22"/>
    </row>
    <row r="408" spans="10:21">
      <c r="J408" s="20" t="e">
        <f>VLOOKUP(G408,MD!M$2:O$93,3,FALSE)</f>
        <v>#N/A</v>
      </c>
      <c r="K408" s="29"/>
      <c r="M408" s="22"/>
      <c r="U408" s="22"/>
    </row>
    <row r="409" spans="10:21">
      <c r="J409" s="20" t="e">
        <f>VLOOKUP(G409,MD!M$2:O$93,3,FALSE)</f>
        <v>#N/A</v>
      </c>
      <c r="K409" s="29"/>
      <c r="M409" s="22"/>
      <c r="U409" s="22"/>
    </row>
    <row r="410" spans="10:21">
      <c r="J410" s="20" t="e">
        <f>VLOOKUP(G410,MD!M$2:O$93,3,FALSE)</f>
        <v>#N/A</v>
      </c>
      <c r="K410" s="29"/>
      <c r="M410" s="22"/>
      <c r="U410" s="22"/>
    </row>
    <row r="411" spans="10:21">
      <c r="J411" s="20" t="e">
        <f>VLOOKUP(G411,MD!M$2:O$93,3,FALSE)</f>
        <v>#N/A</v>
      </c>
      <c r="K411" s="29"/>
      <c r="M411" s="22"/>
      <c r="U411" s="22"/>
    </row>
    <row r="412" spans="10:21">
      <c r="J412" s="20" t="e">
        <f>VLOOKUP(G412,MD!M$2:O$93,3,FALSE)</f>
        <v>#N/A</v>
      </c>
      <c r="K412" s="29"/>
      <c r="M412" s="22"/>
      <c r="U412" s="22"/>
    </row>
    <row r="413" spans="10:21">
      <c r="J413" s="20" t="e">
        <f>VLOOKUP(G413,MD!M$2:O$93,3,FALSE)</f>
        <v>#N/A</v>
      </c>
      <c r="K413" s="29"/>
      <c r="M413" s="22"/>
      <c r="U413" s="22"/>
    </row>
    <row r="414" spans="10:21">
      <c r="J414" s="20" t="e">
        <f>VLOOKUP(G414,MD!M$2:O$93,3,FALSE)</f>
        <v>#N/A</v>
      </c>
      <c r="K414" s="29"/>
      <c r="M414" s="22"/>
      <c r="U414" s="22"/>
    </row>
    <row r="415" spans="10:21">
      <c r="J415" s="20" t="e">
        <f>VLOOKUP(G415,MD!M$2:O$93,3,FALSE)</f>
        <v>#N/A</v>
      </c>
      <c r="K415" s="29"/>
      <c r="M415" s="22"/>
      <c r="U415" s="22"/>
    </row>
    <row r="416" spans="10:21">
      <c r="J416" s="20" t="e">
        <f>VLOOKUP(G416,MD!M$2:O$93,3,FALSE)</f>
        <v>#N/A</v>
      </c>
      <c r="K416" s="29"/>
      <c r="M416" s="22"/>
      <c r="U416" s="22"/>
    </row>
    <row r="417" spans="10:21">
      <c r="J417" s="20" t="e">
        <f>VLOOKUP(G417,MD!M$2:O$93,3,FALSE)</f>
        <v>#N/A</v>
      </c>
      <c r="K417" s="29"/>
      <c r="M417" s="22"/>
      <c r="U417" s="22"/>
    </row>
    <row r="418" spans="10:21">
      <c r="J418" s="20" t="e">
        <f>VLOOKUP(G418,MD!M$2:O$93,3,FALSE)</f>
        <v>#N/A</v>
      </c>
      <c r="K418" s="29"/>
      <c r="M418" s="22"/>
      <c r="U418" s="22"/>
    </row>
    <row r="419" spans="10:21">
      <c r="J419" s="20" t="e">
        <f>VLOOKUP(G419,MD!M$2:O$93,3,FALSE)</f>
        <v>#N/A</v>
      </c>
      <c r="K419" s="29"/>
      <c r="M419" s="22"/>
      <c r="U419" s="22"/>
    </row>
    <row r="420" spans="10:21">
      <c r="J420" s="20" t="e">
        <f>VLOOKUP(G420,MD!M$2:O$93,3,FALSE)</f>
        <v>#N/A</v>
      </c>
      <c r="K420" s="29"/>
      <c r="M420" s="22"/>
      <c r="U420" s="22"/>
    </row>
    <row r="421" spans="10:21">
      <c r="J421" s="20" t="e">
        <f>VLOOKUP(G421,MD!M$2:O$93,3,FALSE)</f>
        <v>#N/A</v>
      </c>
      <c r="K421" s="29"/>
      <c r="M421" s="22"/>
      <c r="U421" s="22"/>
    </row>
    <row r="422" spans="10:21">
      <c r="J422" s="20" t="e">
        <f>VLOOKUP(G422,MD!M$2:O$93,3,FALSE)</f>
        <v>#N/A</v>
      </c>
      <c r="K422" s="29"/>
      <c r="M422" s="22"/>
      <c r="U422" s="22"/>
    </row>
    <row r="423" spans="10:21">
      <c r="J423" s="20" t="e">
        <f>VLOOKUP(G423,MD!M$2:O$93,3,FALSE)</f>
        <v>#N/A</v>
      </c>
      <c r="K423" s="29"/>
      <c r="M423" s="22"/>
      <c r="U423" s="22"/>
    </row>
    <row r="424" spans="10:21">
      <c r="J424" s="20" t="e">
        <f>VLOOKUP(G424,MD!M$2:O$93,3,FALSE)</f>
        <v>#N/A</v>
      </c>
      <c r="K424" s="29"/>
      <c r="M424" s="22"/>
      <c r="U424" s="22"/>
    </row>
    <row r="425" spans="10:21">
      <c r="J425" s="20" t="e">
        <f>VLOOKUP(G425,MD!M$2:O$93,3,FALSE)</f>
        <v>#N/A</v>
      </c>
      <c r="K425" s="29"/>
      <c r="M425" s="22"/>
      <c r="U425" s="22"/>
    </row>
    <row r="426" spans="10:21">
      <c r="J426" s="20" t="e">
        <f>VLOOKUP(G426,MD!M$2:O$93,3,FALSE)</f>
        <v>#N/A</v>
      </c>
      <c r="K426" s="29"/>
      <c r="M426" s="22"/>
      <c r="U426" s="22"/>
    </row>
    <row r="427" spans="10:21">
      <c r="J427" s="20" t="e">
        <f>VLOOKUP(G427,MD!M$2:O$93,3,FALSE)</f>
        <v>#N/A</v>
      </c>
      <c r="K427" s="29"/>
      <c r="M427" s="22"/>
      <c r="U427" s="22"/>
    </row>
    <row r="428" spans="10:21">
      <c r="J428" s="20" t="e">
        <f>VLOOKUP(G428,MD!M$2:O$93,3,FALSE)</f>
        <v>#N/A</v>
      </c>
      <c r="K428" s="29"/>
      <c r="M428" s="22"/>
      <c r="U428" s="22"/>
    </row>
    <row r="429" spans="10:21">
      <c r="J429" s="20" t="e">
        <f>VLOOKUP(G429,MD!M$2:O$93,3,FALSE)</f>
        <v>#N/A</v>
      </c>
      <c r="K429" s="29"/>
      <c r="M429" s="22"/>
      <c r="U429" s="22"/>
    </row>
    <row r="430" spans="10:21">
      <c r="J430" s="20" t="e">
        <f>VLOOKUP(G430,MD!M$2:O$93,3,FALSE)</f>
        <v>#N/A</v>
      </c>
      <c r="K430" s="29"/>
      <c r="M430" s="22"/>
      <c r="U430" s="22"/>
    </row>
    <row r="431" spans="10:21">
      <c r="J431" s="20" t="e">
        <f>VLOOKUP(G431,MD!M$2:O$93,3,FALSE)</f>
        <v>#N/A</v>
      </c>
      <c r="K431" s="29"/>
      <c r="M431" s="22"/>
      <c r="U431" s="22"/>
    </row>
    <row r="432" spans="10:21">
      <c r="J432" s="20" t="e">
        <f>VLOOKUP(G432,MD!M$2:O$93,3,FALSE)</f>
        <v>#N/A</v>
      </c>
      <c r="K432" s="29"/>
      <c r="M432" s="22"/>
      <c r="U432" s="22"/>
    </row>
    <row r="433" spans="10:21">
      <c r="J433" s="20" t="e">
        <f>VLOOKUP(G433,MD!M$2:O$93,3,FALSE)</f>
        <v>#N/A</v>
      </c>
      <c r="K433" s="29"/>
      <c r="M433" s="22"/>
      <c r="U433" s="22"/>
    </row>
    <row r="434" spans="10:21">
      <c r="J434" s="20" t="e">
        <f>VLOOKUP(G434,MD!M$2:O$93,3,FALSE)</f>
        <v>#N/A</v>
      </c>
      <c r="K434" s="29"/>
      <c r="M434" s="22"/>
      <c r="U434" s="22"/>
    </row>
    <row r="435" spans="10:21">
      <c r="J435" s="20" t="e">
        <f>VLOOKUP(G435,MD!M$2:O$93,3,FALSE)</f>
        <v>#N/A</v>
      </c>
      <c r="K435" s="29"/>
      <c r="M435" s="22"/>
      <c r="U435" s="22"/>
    </row>
    <row r="436" spans="10:21">
      <c r="J436" s="20" t="e">
        <f>VLOOKUP(G436,MD!M$2:O$93,3,FALSE)</f>
        <v>#N/A</v>
      </c>
      <c r="K436" s="29"/>
      <c r="M436" s="22"/>
      <c r="U436" s="22"/>
    </row>
    <row r="437" spans="10:21">
      <c r="J437" s="20" t="e">
        <f>VLOOKUP(G437,MD!M$2:O$93,3,FALSE)</f>
        <v>#N/A</v>
      </c>
      <c r="K437" s="29"/>
      <c r="M437" s="22"/>
      <c r="U437" s="22"/>
    </row>
    <row r="438" spans="10:21">
      <c r="J438" s="20" t="e">
        <f>VLOOKUP(G438,MD!M$2:O$93,3,FALSE)</f>
        <v>#N/A</v>
      </c>
      <c r="K438" s="29"/>
      <c r="M438" s="22"/>
      <c r="U438" s="22"/>
    </row>
    <row r="439" spans="10:21">
      <c r="J439" s="20" t="e">
        <f>VLOOKUP(G439,MD!M$2:O$93,3,FALSE)</f>
        <v>#N/A</v>
      </c>
      <c r="K439" s="29"/>
      <c r="M439" s="22"/>
      <c r="U439" s="22"/>
    </row>
    <row r="440" spans="10:21">
      <c r="J440" s="20" t="e">
        <f>VLOOKUP(G440,MD!M$2:O$93,3,FALSE)</f>
        <v>#N/A</v>
      </c>
      <c r="K440" s="29"/>
      <c r="M440" s="22"/>
      <c r="U440" s="22"/>
    </row>
    <row r="441" spans="10:21">
      <c r="J441" s="20" t="e">
        <f>VLOOKUP(G441,MD!M$2:O$93,3,FALSE)</f>
        <v>#N/A</v>
      </c>
      <c r="K441" s="29"/>
      <c r="M441" s="22"/>
      <c r="U441" s="22"/>
    </row>
    <row r="442" spans="10:21">
      <c r="J442" s="20" t="e">
        <f>VLOOKUP(G442,MD!M$2:O$93,3,FALSE)</f>
        <v>#N/A</v>
      </c>
      <c r="K442" s="29"/>
      <c r="M442" s="22"/>
      <c r="U442" s="22"/>
    </row>
    <row r="443" spans="10:21">
      <c r="J443" s="20" t="e">
        <f>VLOOKUP(G443,MD!M$2:O$93,3,FALSE)</f>
        <v>#N/A</v>
      </c>
      <c r="K443" s="29"/>
      <c r="M443" s="22"/>
      <c r="U443" s="22"/>
    </row>
    <row r="444" spans="10:21">
      <c r="J444" s="20" t="e">
        <f>VLOOKUP(G444,MD!M$2:O$93,3,FALSE)</f>
        <v>#N/A</v>
      </c>
      <c r="K444" s="29"/>
      <c r="M444" s="22"/>
      <c r="U444" s="22"/>
    </row>
    <row r="445" spans="10:21">
      <c r="J445" s="20" t="e">
        <f>VLOOKUP(G445,MD!M$2:O$93,3,FALSE)</f>
        <v>#N/A</v>
      </c>
      <c r="K445" s="29"/>
      <c r="M445" s="22"/>
      <c r="U445" s="22"/>
    </row>
    <row r="446" spans="10:21">
      <c r="J446" s="20" t="e">
        <f>VLOOKUP(G446,MD!M$2:O$93,3,FALSE)</f>
        <v>#N/A</v>
      </c>
      <c r="K446" s="29"/>
      <c r="M446" s="22"/>
      <c r="U446" s="22"/>
    </row>
    <row r="447" spans="10:21">
      <c r="J447" s="20" t="e">
        <f>VLOOKUP(G447,MD!M$2:O$93,3,FALSE)</f>
        <v>#N/A</v>
      </c>
      <c r="K447" s="29"/>
      <c r="M447" s="22"/>
      <c r="U447" s="22"/>
    </row>
    <row r="448" spans="10:21">
      <c r="J448" s="20" t="e">
        <f>VLOOKUP(G448,MD!M$2:O$93,3,FALSE)</f>
        <v>#N/A</v>
      </c>
      <c r="K448" s="29"/>
      <c r="M448" s="22"/>
      <c r="U448" s="22"/>
    </row>
    <row r="449" spans="10:21">
      <c r="J449" s="20" t="e">
        <f>VLOOKUP(G449,MD!M$2:O$93,3,FALSE)</f>
        <v>#N/A</v>
      </c>
      <c r="K449" s="29"/>
      <c r="M449" s="22"/>
      <c r="U449" s="22"/>
    </row>
    <row r="450" spans="10:21">
      <c r="J450" s="20" t="e">
        <f>VLOOKUP(G450,MD!M$2:O$93,3,FALSE)</f>
        <v>#N/A</v>
      </c>
      <c r="K450" s="29"/>
      <c r="M450" s="22"/>
      <c r="U450" s="22"/>
    </row>
    <row r="451" spans="10:21">
      <c r="J451" s="20" t="e">
        <f>VLOOKUP(G451,MD!M$2:O$93,3,FALSE)</f>
        <v>#N/A</v>
      </c>
      <c r="K451" s="29"/>
      <c r="M451" s="22"/>
      <c r="U451" s="22"/>
    </row>
    <row r="452" spans="10:21">
      <c r="J452" s="20" t="e">
        <f>VLOOKUP(G452,MD!M$2:O$93,3,FALSE)</f>
        <v>#N/A</v>
      </c>
      <c r="K452" s="29"/>
      <c r="M452" s="22"/>
      <c r="U452" s="22"/>
    </row>
    <row r="453" spans="10:21">
      <c r="J453" s="20" t="e">
        <f>VLOOKUP(G453,MD!M$2:O$93,3,FALSE)</f>
        <v>#N/A</v>
      </c>
      <c r="K453" s="29"/>
      <c r="M453" s="22"/>
      <c r="U453" s="22"/>
    </row>
    <row r="454" spans="10:21">
      <c r="J454" s="20" t="e">
        <f>VLOOKUP(G454,MD!M$2:O$93,3,FALSE)</f>
        <v>#N/A</v>
      </c>
      <c r="K454" s="29"/>
      <c r="M454" s="22"/>
      <c r="U454" s="22"/>
    </row>
    <row r="455" spans="10:21">
      <c r="J455" s="20" t="e">
        <f>VLOOKUP(G455,MD!M$2:O$93,3,FALSE)</f>
        <v>#N/A</v>
      </c>
      <c r="K455" s="29"/>
      <c r="M455" s="22"/>
      <c r="U455" s="22"/>
    </row>
    <row r="456" spans="10:21">
      <c r="J456" s="20" t="e">
        <f>VLOOKUP(G456,MD!M$2:O$93,3,FALSE)</f>
        <v>#N/A</v>
      </c>
      <c r="K456" s="29"/>
      <c r="M456" s="22"/>
      <c r="U456" s="22"/>
    </row>
    <row r="457" spans="10:21">
      <c r="J457" s="20" t="e">
        <f>VLOOKUP(G457,MD!M$2:O$93,3,FALSE)</f>
        <v>#N/A</v>
      </c>
      <c r="K457" s="29"/>
      <c r="M457" s="22"/>
      <c r="U457" s="22"/>
    </row>
    <row r="458" spans="10:21">
      <c r="J458" s="20" t="e">
        <f>VLOOKUP(G458,MD!M$2:O$93,3,FALSE)</f>
        <v>#N/A</v>
      </c>
      <c r="K458" s="29"/>
      <c r="M458" s="22"/>
      <c r="U458" s="22"/>
    </row>
    <row r="459" spans="10:21">
      <c r="J459" s="20" t="e">
        <f>VLOOKUP(G459,MD!M$2:O$93,3,FALSE)</f>
        <v>#N/A</v>
      </c>
      <c r="K459" s="29"/>
      <c r="M459" s="22"/>
      <c r="U459" s="22"/>
    </row>
    <row r="460" spans="10:21">
      <c r="J460" s="20" t="e">
        <f>VLOOKUP(G460,MD!M$2:O$93,3,FALSE)</f>
        <v>#N/A</v>
      </c>
      <c r="K460" s="29"/>
      <c r="M460" s="22"/>
      <c r="U460" s="22"/>
    </row>
    <row r="461" spans="10:21">
      <c r="J461" s="20" t="e">
        <f>VLOOKUP(G461,MD!M$2:O$93,3,FALSE)</f>
        <v>#N/A</v>
      </c>
      <c r="K461" s="29"/>
      <c r="M461" s="22"/>
      <c r="U461" s="22"/>
    </row>
    <row r="462" spans="10:21">
      <c r="J462" s="20" t="e">
        <f>VLOOKUP(G462,MD!M$2:O$93,3,FALSE)</f>
        <v>#N/A</v>
      </c>
      <c r="K462" s="29"/>
      <c r="M462" s="22"/>
      <c r="U462" s="22"/>
    </row>
    <row r="463" spans="10:21">
      <c r="J463" s="20" t="e">
        <f>VLOOKUP(G463,MD!M$2:O$93,3,FALSE)</f>
        <v>#N/A</v>
      </c>
      <c r="K463" s="29"/>
      <c r="M463" s="22"/>
      <c r="U463" s="22"/>
    </row>
    <row r="464" spans="10:21">
      <c r="J464" s="20" t="e">
        <f>VLOOKUP(G464,MD!M$2:O$93,3,FALSE)</f>
        <v>#N/A</v>
      </c>
      <c r="K464" s="29"/>
      <c r="M464" s="22"/>
      <c r="U464" s="22"/>
    </row>
    <row r="465" spans="10:21">
      <c r="J465" s="20" t="e">
        <f>VLOOKUP(G465,MD!M$2:O$93,3,FALSE)</f>
        <v>#N/A</v>
      </c>
      <c r="K465" s="29"/>
      <c r="M465" s="22"/>
      <c r="U465" s="22"/>
    </row>
    <row r="466" spans="10:21">
      <c r="J466" s="20" t="e">
        <f>VLOOKUP(G466,MD!M$2:O$93,3,FALSE)</f>
        <v>#N/A</v>
      </c>
      <c r="K466" s="29"/>
      <c r="M466" s="22"/>
      <c r="U466" s="22"/>
    </row>
    <row r="467" spans="10:21">
      <c r="J467" s="20" t="e">
        <f>VLOOKUP(G467,MD!M$2:O$93,3,FALSE)</f>
        <v>#N/A</v>
      </c>
      <c r="K467" s="29"/>
      <c r="M467" s="22"/>
      <c r="U467" s="22"/>
    </row>
    <row r="468" spans="10:21">
      <c r="J468" s="20" t="e">
        <f>VLOOKUP(G468,MD!M$2:O$93,3,FALSE)</f>
        <v>#N/A</v>
      </c>
      <c r="K468" s="29"/>
      <c r="M468" s="22"/>
      <c r="U468" s="22"/>
    </row>
    <row r="469" spans="10:21">
      <c r="J469" s="20" t="e">
        <f>VLOOKUP(G469,MD!M$2:O$93,3,FALSE)</f>
        <v>#N/A</v>
      </c>
      <c r="K469" s="29"/>
      <c r="M469" s="22"/>
      <c r="U469" s="22"/>
    </row>
    <row r="470" spans="10:21">
      <c r="J470" s="20" t="e">
        <f>VLOOKUP(G470,MD!M$2:O$93,3,FALSE)</f>
        <v>#N/A</v>
      </c>
      <c r="K470" s="29"/>
      <c r="M470" s="22"/>
      <c r="U470" s="22"/>
    </row>
    <row r="471" spans="10:21">
      <c r="J471" s="20" t="e">
        <f>VLOOKUP(G471,MD!M$2:O$93,3,FALSE)</f>
        <v>#N/A</v>
      </c>
      <c r="K471" s="29"/>
      <c r="M471" s="22"/>
      <c r="U471" s="22"/>
    </row>
    <row r="472" spans="10:21">
      <c r="J472" s="20" t="e">
        <f>VLOOKUP(G472,MD!M$2:O$93,3,FALSE)</f>
        <v>#N/A</v>
      </c>
      <c r="K472" s="29"/>
      <c r="M472" s="22"/>
      <c r="U472" s="22"/>
    </row>
    <row r="473" spans="10:21">
      <c r="J473" s="20" t="e">
        <f>VLOOKUP(G473,MD!M$2:O$93,3,FALSE)</f>
        <v>#N/A</v>
      </c>
      <c r="K473" s="29"/>
      <c r="M473" s="22"/>
      <c r="U473" s="22"/>
    </row>
    <row r="474" spans="10:21">
      <c r="J474" s="20" t="e">
        <f>VLOOKUP(G474,MD!M$2:O$93,3,FALSE)</f>
        <v>#N/A</v>
      </c>
      <c r="K474" s="29"/>
      <c r="M474" s="22"/>
      <c r="U474" s="22"/>
    </row>
    <row r="475" spans="10:21">
      <c r="J475" s="20" t="e">
        <f>VLOOKUP(G475,MD!M$2:O$93,3,FALSE)</f>
        <v>#N/A</v>
      </c>
      <c r="K475" s="29"/>
      <c r="M475" s="22"/>
      <c r="U475" s="22"/>
    </row>
    <row r="476" spans="10:21">
      <c r="J476" s="20" t="e">
        <f>VLOOKUP(G476,MD!M$2:O$93,3,FALSE)</f>
        <v>#N/A</v>
      </c>
      <c r="K476" s="29"/>
      <c r="M476" s="22"/>
      <c r="U476" s="22"/>
    </row>
    <row r="477" spans="10:21">
      <c r="J477" s="20" t="e">
        <f>VLOOKUP(G477,MD!M$2:O$93,3,FALSE)</f>
        <v>#N/A</v>
      </c>
      <c r="K477" s="29"/>
      <c r="M477" s="22"/>
      <c r="U477" s="22"/>
    </row>
    <row r="478" spans="10:21">
      <c r="J478" s="20" t="e">
        <f>VLOOKUP(G478,MD!M$2:O$93,3,FALSE)</f>
        <v>#N/A</v>
      </c>
      <c r="K478" s="29"/>
      <c r="M478" s="22"/>
      <c r="U478" s="22"/>
    </row>
    <row r="479" spans="10:21">
      <c r="J479" s="20" t="e">
        <f>VLOOKUP(G479,MD!M$2:O$93,3,FALSE)</f>
        <v>#N/A</v>
      </c>
      <c r="K479" s="29"/>
      <c r="M479" s="22"/>
      <c r="U479" s="22"/>
    </row>
    <row r="480" spans="10:21">
      <c r="J480" s="20" t="e">
        <f>VLOOKUP(G480,MD!M$2:O$93,3,FALSE)</f>
        <v>#N/A</v>
      </c>
      <c r="K480" s="29"/>
      <c r="M480" s="22"/>
      <c r="U480" s="22"/>
    </row>
    <row r="481" spans="10:21">
      <c r="J481" s="20" t="e">
        <f>VLOOKUP(G481,MD!M$2:O$93,3,FALSE)</f>
        <v>#N/A</v>
      </c>
      <c r="K481" s="29"/>
      <c r="M481" s="22"/>
      <c r="U481" s="22"/>
    </row>
    <row r="482" spans="10:21">
      <c r="J482" s="20" t="e">
        <f>VLOOKUP(G482,MD!M$2:O$93,3,FALSE)</f>
        <v>#N/A</v>
      </c>
      <c r="K482" s="29"/>
      <c r="M482" s="22"/>
      <c r="U482" s="22"/>
    </row>
    <row r="483" spans="10:21">
      <c r="J483" s="20" t="e">
        <f>VLOOKUP(G483,MD!M$2:O$93,3,FALSE)</f>
        <v>#N/A</v>
      </c>
      <c r="K483" s="29"/>
      <c r="M483" s="22"/>
      <c r="U483" s="22"/>
    </row>
    <row r="484" spans="10:21">
      <c r="J484" s="20" t="e">
        <f>VLOOKUP(G484,MD!M$2:O$93,3,FALSE)</f>
        <v>#N/A</v>
      </c>
      <c r="K484" s="29"/>
      <c r="M484" s="22"/>
      <c r="U484" s="22"/>
    </row>
    <row r="485" spans="10:21">
      <c r="J485" s="20" t="e">
        <f>VLOOKUP(G485,MD!M$2:O$93,3,FALSE)</f>
        <v>#N/A</v>
      </c>
      <c r="K485" s="29"/>
      <c r="M485" s="22"/>
      <c r="U485" s="22"/>
    </row>
    <row r="486" spans="10:21">
      <c r="J486" s="20" t="e">
        <f>VLOOKUP(G486,MD!M$2:O$93,3,FALSE)</f>
        <v>#N/A</v>
      </c>
      <c r="K486" s="29"/>
      <c r="M486" s="22"/>
      <c r="U486" s="22"/>
    </row>
    <row r="487" spans="10:21">
      <c r="J487" s="20" t="e">
        <f>VLOOKUP(G487,MD!M$2:O$93,3,FALSE)</f>
        <v>#N/A</v>
      </c>
      <c r="K487" s="29"/>
      <c r="M487" s="22"/>
      <c r="U487" s="22"/>
    </row>
    <row r="488" spans="10:21">
      <c r="J488" s="20" t="e">
        <f>VLOOKUP(G488,MD!M$2:O$93,3,FALSE)</f>
        <v>#N/A</v>
      </c>
      <c r="K488" s="29"/>
      <c r="M488" s="22"/>
      <c r="U488" s="22"/>
    </row>
    <row r="489" spans="10:21">
      <c r="J489" s="20" t="e">
        <f>VLOOKUP(G489,MD!M$2:O$93,3,FALSE)</f>
        <v>#N/A</v>
      </c>
      <c r="K489" s="29"/>
      <c r="M489" s="22"/>
      <c r="U489" s="22"/>
    </row>
    <row r="490" spans="10:21">
      <c r="J490" s="20" t="e">
        <f>VLOOKUP(G490,MD!M$2:O$93,3,FALSE)</f>
        <v>#N/A</v>
      </c>
      <c r="K490" s="29"/>
      <c r="M490" s="22"/>
      <c r="U490" s="22"/>
    </row>
    <row r="491" spans="10:21">
      <c r="J491" s="20" t="e">
        <f>VLOOKUP(G491,MD!M$2:O$93,3,FALSE)</f>
        <v>#N/A</v>
      </c>
      <c r="K491" s="29"/>
      <c r="M491" s="22"/>
      <c r="U491" s="22"/>
    </row>
    <row r="492" spans="10:21">
      <c r="J492" s="20" t="e">
        <f>VLOOKUP(G492,MD!M$2:O$93,3,FALSE)</f>
        <v>#N/A</v>
      </c>
      <c r="K492" s="29"/>
      <c r="M492" s="22"/>
      <c r="U492" s="22"/>
    </row>
    <row r="493" spans="10:21">
      <c r="J493" s="20" t="e">
        <f>VLOOKUP(G493,MD!M$2:O$93,3,FALSE)</f>
        <v>#N/A</v>
      </c>
      <c r="K493" s="29"/>
      <c r="M493" s="22"/>
      <c r="U493" s="22"/>
    </row>
    <row r="494" spans="10:21">
      <c r="J494" s="20" t="e">
        <f>VLOOKUP(G494,MD!M$2:O$93,3,FALSE)</f>
        <v>#N/A</v>
      </c>
      <c r="K494" s="29"/>
      <c r="M494" s="22"/>
      <c r="U494" s="22"/>
    </row>
    <row r="495" spans="10:21">
      <c r="J495" s="20" t="e">
        <f>VLOOKUP(G495,MD!M$2:O$93,3,FALSE)</f>
        <v>#N/A</v>
      </c>
      <c r="K495" s="29"/>
      <c r="M495" s="22"/>
      <c r="U495" s="22"/>
    </row>
    <row r="496" spans="10:21">
      <c r="J496" s="20" t="e">
        <f>VLOOKUP(G496,MD!M$2:O$93,3,FALSE)</f>
        <v>#N/A</v>
      </c>
      <c r="K496" s="29"/>
      <c r="M496" s="22"/>
      <c r="U496" s="22"/>
    </row>
    <row r="497" spans="10:21">
      <c r="J497" s="20" t="e">
        <f>VLOOKUP(G497,MD!M$2:O$93,3,FALSE)</f>
        <v>#N/A</v>
      </c>
      <c r="K497" s="29"/>
      <c r="M497" s="22"/>
      <c r="U497" s="22"/>
    </row>
    <row r="498" spans="10:21">
      <c r="J498" s="20" t="e">
        <f>VLOOKUP(G498,MD!M$2:O$93,3,FALSE)</f>
        <v>#N/A</v>
      </c>
      <c r="K498" s="29"/>
      <c r="M498" s="22"/>
      <c r="U498" s="22"/>
    </row>
    <row r="499" spans="10:21">
      <c r="J499" s="20" t="e">
        <f>VLOOKUP(G499,MD!M$2:O$93,3,FALSE)</f>
        <v>#N/A</v>
      </c>
      <c r="K499" s="29"/>
      <c r="M499" s="22"/>
      <c r="U499" s="22"/>
    </row>
    <row r="500" spans="10:21">
      <c r="J500" s="20" t="e">
        <f>VLOOKUP(G500,MD!M$2:O$93,3,FALSE)</f>
        <v>#N/A</v>
      </c>
      <c r="K500" s="29"/>
      <c r="M500" s="22"/>
      <c r="U500" s="22"/>
    </row>
    <row r="501" spans="10:21">
      <c r="J501" s="20" t="e">
        <f>VLOOKUP(G501,MD!M$2:O$93,3,FALSE)</f>
        <v>#N/A</v>
      </c>
      <c r="K501" s="29"/>
      <c r="M501" s="22"/>
      <c r="U501" s="22"/>
    </row>
    <row r="502" spans="10:21">
      <c r="J502" s="20" t="e">
        <f>VLOOKUP(G502,MD!M$2:O$93,3,FALSE)</f>
        <v>#N/A</v>
      </c>
      <c r="K502" s="29"/>
      <c r="M502" s="22"/>
      <c r="U502" s="22"/>
    </row>
    <row r="503" spans="10:21">
      <c r="J503" s="20" t="e">
        <f>VLOOKUP(G503,MD!M$2:O$93,3,FALSE)</f>
        <v>#N/A</v>
      </c>
      <c r="K503" s="29"/>
      <c r="M503" s="22"/>
      <c r="U503" s="22"/>
    </row>
    <row r="504" spans="10:21">
      <c r="J504" s="20" t="e">
        <f>VLOOKUP(G504,MD!M$2:O$93,3,FALSE)</f>
        <v>#N/A</v>
      </c>
      <c r="K504" s="29"/>
      <c r="M504" s="22"/>
      <c r="U504" s="22"/>
    </row>
    <row r="505" spans="10:21">
      <c r="J505" s="20" t="e">
        <f>VLOOKUP(G505,MD!M$2:O$93,3,FALSE)</f>
        <v>#N/A</v>
      </c>
      <c r="K505" s="29"/>
      <c r="M505" s="22"/>
      <c r="U505" s="22"/>
    </row>
    <row r="506" spans="10:21">
      <c r="J506" s="20" t="e">
        <f>VLOOKUP(G506,MD!M$2:O$93,3,FALSE)</f>
        <v>#N/A</v>
      </c>
      <c r="K506" s="29"/>
      <c r="M506" s="22"/>
      <c r="U506" s="22"/>
    </row>
    <row r="507" spans="10:21">
      <c r="J507" s="20" t="e">
        <f>VLOOKUP(G507,MD!M$2:O$93,3,FALSE)</f>
        <v>#N/A</v>
      </c>
      <c r="K507" s="29"/>
      <c r="M507" s="22"/>
      <c r="U507" s="22"/>
    </row>
    <row r="508" spans="10:21">
      <c r="J508" s="20" t="e">
        <f>VLOOKUP(G508,MD!M$2:O$93,3,FALSE)</f>
        <v>#N/A</v>
      </c>
      <c r="K508" s="29"/>
      <c r="M508" s="22"/>
      <c r="U508" s="22"/>
    </row>
    <row r="509" spans="10:21">
      <c r="J509" s="20" t="e">
        <f>VLOOKUP(G509,MD!M$2:O$93,3,FALSE)</f>
        <v>#N/A</v>
      </c>
      <c r="K509" s="29"/>
      <c r="M509" s="22"/>
      <c r="U509" s="22"/>
    </row>
    <row r="510" spans="10:21">
      <c r="J510" s="20" t="e">
        <f>VLOOKUP(G510,MD!M$2:O$93,3,FALSE)</f>
        <v>#N/A</v>
      </c>
      <c r="K510" s="29"/>
      <c r="M510" s="22"/>
      <c r="U510" s="22"/>
    </row>
    <row r="511" spans="10:21">
      <c r="J511" s="20" t="e">
        <f>VLOOKUP(G511,MD!M$2:O$93,3,FALSE)</f>
        <v>#N/A</v>
      </c>
      <c r="K511" s="29"/>
      <c r="M511" s="22"/>
      <c r="U511" s="22"/>
    </row>
    <row r="512" spans="10:21">
      <c r="J512" s="20" t="e">
        <f>VLOOKUP(G512,MD!M$2:O$93,3,FALSE)</f>
        <v>#N/A</v>
      </c>
      <c r="K512" s="29"/>
      <c r="M512" s="22"/>
      <c r="U512" s="22"/>
    </row>
    <row r="513" spans="10:21">
      <c r="J513" s="20" t="e">
        <f>VLOOKUP(G513,MD!M$2:O$93,3,FALSE)</f>
        <v>#N/A</v>
      </c>
      <c r="K513" s="29"/>
      <c r="M513" s="22"/>
      <c r="U513" s="22"/>
    </row>
    <row r="514" spans="10:21">
      <c r="J514" s="20" t="e">
        <f>VLOOKUP(G514,MD!M$2:O$93,3,FALSE)</f>
        <v>#N/A</v>
      </c>
      <c r="K514" s="29"/>
      <c r="M514" s="22"/>
      <c r="U514" s="22"/>
    </row>
    <row r="515" spans="10:21">
      <c r="J515" s="20" t="e">
        <f>VLOOKUP(G515,MD!M$2:O$93,3,FALSE)</f>
        <v>#N/A</v>
      </c>
      <c r="K515" s="29"/>
      <c r="M515" s="22"/>
      <c r="U515" s="22"/>
    </row>
    <row r="516" spans="10:21">
      <c r="J516" s="20" t="e">
        <f>VLOOKUP(G516,MD!M$2:O$93,3,FALSE)</f>
        <v>#N/A</v>
      </c>
      <c r="K516" s="29"/>
      <c r="M516" s="22"/>
      <c r="U516" s="22"/>
    </row>
    <row r="517" spans="10:21">
      <c r="J517" s="20" t="e">
        <f>VLOOKUP(G517,MD!M$2:O$93,3,FALSE)</f>
        <v>#N/A</v>
      </c>
      <c r="K517" s="29"/>
      <c r="M517" s="22"/>
      <c r="U517" s="22"/>
    </row>
    <row r="518" spans="10:21">
      <c r="J518" s="20" t="e">
        <f>VLOOKUP(G518,MD!M$2:O$93,3,FALSE)</f>
        <v>#N/A</v>
      </c>
      <c r="K518" s="29"/>
      <c r="M518" s="22"/>
      <c r="U518" s="22"/>
    </row>
    <row r="519" spans="10:21">
      <c r="J519" s="20" t="e">
        <f>VLOOKUP(G519,MD!M$2:O$93,3,FALSE)</f>
        <v>#N/A</v>
      </c>
      <c r="K519" s="29"/>
      <c r="M519" s="22"/>
      <c r="U519" s="22"/>
    </row>
    <row r="520" spans="10:21">
      <c r="J520" s="20" t="e">
        <f>VLOOKUP(G520,MD!M$2:O$93,3,FALSE)</f>
        <v>#N/A</v>
      </c>
      <c r="K520" s="29"/>
      <c r="M520" s="22"/>
      <c r="U520" s="22"/>
    </row>
    <row r="521" spans="10:21">
      <c r="J521" s="20" t="e">
        <f>VLOOKUP(G521,MD!M$2:O$93,3,FALSE)</f>
        <v>#N/A</v>
      </c>
      <c r="K521" s="29"/>
      <c r="M521" s="22"/>
      <c r="U521" s="22"/>
    </row>
    <row r="522" spans="10:21">
      <c r="J522" s="20" t="e">
        <f>VLOOKUP(G522,MD!M$2:O$93,3,FALSE)</f>
        <v>#N/A</v>
      </c>
      <c r="K522" s="29"/>
      <c r="M522" s="22"/>
      <c r="U522" s="22"/>
    </row>
    <row r="523" spans="10:21">
      <c r="J523" s="20" t="e">
        <f>VLOOKUP(G523,MD!M$2:O$93,3,FALSE)</f>
        <v>#N/A</v>
      </c>
      <c r="K523" s="29"/>
      <c r="M523" s="22"/>
      <c r="U523" s="22"/>
    </row>
    <row r="524" spans="10:21">
      <c r="J524" s="20" t="e">
        <f>VLOOKUP(G524,MD!M$2:O$93,3,FALSE)</f>
        <v>#N/A</v>
      </c>
      <c r="K524" s="29"/>
      <c r="M524" s="22"/>
      <c r="U524" s="22"/>
    </row>
    <row r="525" spans="10:21">
      <c r="J525" s="20" t="e">
        <f>VLOOKUP(G525,MD!M$2:O$93,3,FALSE)</f>
        <v>#N/A</v>
      </c>
      <c r="K525" s="29"/>
      <c r="M525" s="22"/>
      <c r="U525" s="22"/>
    </row>
    <row r="526" spans="10:21">
      <c r="J526" s="20" t="e">
        <f>VLOOKUP(G526,MD!M$2:O$93,3,FALSE)</f>
        <v>#N/A</v>
      </c>
      <c r="K526" s="29"/>
      <c r="M526" s="22"/>
      <c r="U526" s="22"/>
    </row>
    <row r="527" spans="10:21">
      <c r="J527" s="20" t="e">
        <f>VLOOKUP(G527,MD!M$2:O$93,3,FALSE)</f>
        <v>#N/A</v>
      </c>
      <c r="K527" s="29"/>
      <c r="M527" s="22"/>
      <c r="U527" s="22"/>
    </row>
    <row r="528" spans="10:21">
      <c r="J528" s="20" t="e">
        <f>VLOOKUP(G528,MD!M$2:O$93,3,FALSE)</f>
        <v>#N/A</v>
      </c>
      <c r="K528" s="29"/>
      <c r="M528" s="22"/>
      <c r="U528" s="22"/>
    </row>
    <row r="529" spans="10:21">
      <c r="J529" s="20" t="e">
        <f>VLOOKUP(G529,MD!M$2:O$93,3,FALSE)</f>
        <v>#N/A</v>
      </c>
      <c r="K529" s="29"/>
      <c r="M529" s="22"/>
      <c r="U529" s="22"/>
    </row>
    <row r="530" spans="10:21">
      <c r="J530" s="20" t="e">
        <f>VLOOKUP(G530,MD!M$2:O$93,3,FALSE)</f>
        <v>#N/A</v>
      </c>
      <c r="K530" s="29"/>
      <c r="M530" s="22"/>
      <c r="U530" s="22"/>
    </row>
    <row r="531" spans="10:21">
      <c r="J531" s="20" t="e">
        <f>VLOOKUP(G531,MD!M$2:O$93,3,FALSE)</f>
        <v>#N/A</v>
      </c>
      <c r="K531" s="29"/>
      <c r="M531" s="22"/>
      <c r="U531" s="22"/>
    </row>
    <row r="532" spans="10:21">
      <c r="J532" s="20" t="e">
        <f>VLOOKUP(G532,MD!M$2:O$93,3,FALSE)</f>
        <v>#N/A</v>
      </c>
      <c r="K532" s="29"/>
      <c r="M532" s="22"/>
      <c r="U532" s="22"/>
    </row>
    <row r="533" spans="10:21">
      <c r="J533" s="20" t="e">
        <f>VLOOKUP(G533,MD!M$2:O$93,3,FALSE)</f>
        <v>#N/A</v>
      </c>
      <c r="K533" s="29"/>
      <c r="M533" s="22"/>
      <c r="U533" s="22"/>
    </row>
    <row r="534" spans="10:21">
      <c r="J534" s="20" t="e">
        <f>VLOOKUP(G534,MD!M$2:O$93,3,FALSE)</f>
        <v>#N/A</v>
      </c>
      <c r="K534" s="29"/>
      <c r="M534" s="22"/>
      <c r="U534" s="22"/>
    </row>
    <row r="535" spans="10:21">
      <c r="J535" s="20" t="e">
        <f>VLOOKUP(G535,MD!M$2:O$93,3,FALSE)</f>
        <v>#N/A</v>
      </c>
      <c r="K535" s="29"/>
      <c r="M535" s="22"/>
      <c r="U535" s="22"/>
    </row>
    <row r="536" spans="10:21">
      <c r="J536" s="20" t="e">
        <f>VLOOKUP(G536,MD!M$2:O$93,3,FALSE)</f>
        <v>#N/A</v>
      </c>
      <c r="K536" s="29"/>
      <c r="M536" s="22"/>
      <c r="U536" s="22"/>
    </row>
    <row r="537" spans="10:21">
      <c r="J537" s="20" t="e">
        <f>VLOOKUP(G537,MD!M$2:O$93,3,FALSE)</f>
        <v>#N/A</v>
      </c>
      <c r="K537" s="29"/>
      <c r="M537" s="22"/>
      <c r="U537" s="22"/>
    </row>
    <row r="538" spans="10:21">
      <c r="J538" s="20" t="e">
        <f>VLOOKUP(G538,MD!M$2:O$93,3,FALSE)</f>
        <v>#N/A</v>
      </c>
      <c r="K538" s="29"/>
      <c r="M538" s="22"/>
      <c r="U538" s="22"/>
    </row>
    <row r="539" spans="10:21">
      <c r="J539" s="20" t="e">
        <f>VLOOKUP(G539,MD!M$2:O$93,3,FALSE)</f>
        <v>#N/A</v>
      </c>
      <c r="K539" s="29"/>
      <c r="M539" s="22"/>
      <c r="U539" s="22"/>
    </row>
    <row r="540" spans="10:21">
      <c r="J540" s="20" t="e">
        <f>VLOOKUP(G540,MD!M$2:O$93,3,FALSE)</f>
        <v>#N/A</v>
      </c>
      <c r="K540" s="29"/>
      <c r="M540" s="22"/>
      <c r="U540" s="22"/>
    </row>
    <row r="541" spans="10:21">
      <c r="J541" s="20" t="e">
        <f>VLOOKUP(G541,MD!M$2:O$93,3,FALSE)</f>
        <v>#N/A</v>
      </c>
      <c r="K541" s="29"/>
      <c r="M541" s="22"/>
      <c r="U541" s="22"/>
    </row>
    <row r="542" spans="10:21">
      <c r="J542" s="20" t="e">
        <f>VLOOKUP(G542,MD!M$2:O$93,3,FALSE)</f>
        <v>#N/A</v>
      </c>
      <c r="K542" s="29"/>
      <c r="M542" s="22"/>
      <c r="U542" s="22"/>
    </row>
    <row r="543" spans="10:21">
      <c r="J543" s="20" t="e">
        <f>VLOOKUP(G543,MD!M$2:O$93,3,FALSE)</f>
        <v>#N/A</v>
      </c>
      <c r="K543" s="29"/>
      <c r="M543" s="22"/>
      <c r="U543" s="22"/>
    </row>
    <row r="544" spans="10:21">
      <c r="J544" s="20" t="e">
        <f>VLOOKUP(G544,MD!M$2:O$93,3,FALSE)</f>
        <v>#N/A</v>
      </c>
      <c r="K544" s="29"/>
      <c r="M544" s="22"/>
      <c r="U544" s="22"/>
    </row>
    <row r="545" spans="10:21">
      <c r="J545" s="20" t="e">
        <f>VLOOKUP(G545,MD!M$2:O$93,3,FALSE)</f>
        <v>#N/A</v>
      </c>
      <c r="K545" s="29"/>
      <c r="M545" s="22"/>
      <c r="U545" s="22"/>
    </row>
    <row r="546" spans="10:21">
      <c r="J546" s="20" t="e">
        <f>VLOOKUP(G546,MD!M$2:O$93,3,FALSE)</f>
        <v>#N/A</v>
      </c>
      <c r="K546" s="29"/>
      <c r="M546" s="22"/>
      <c r="U546" s="22"/>
    </row>
    <row r="547" spans="10:21">
      <c r="J547" s="20" t="e">
        <f>VLOOKUP(G547,MD!M$2:O$93,3,FALSE)</f>
        <v>#N/A</v>
      </c>
      <c r="K547" s="29"/>
      <c r="M547" s="22"/>
      <c r="U547" s="22"/>
    </row>
    <row r="548" spans="10:21">
      <c r="J548" s="20" t="e">
        <f>VLOOKUP(G548,MD!M$2:O$93,3,FALSE)</f>
        <v>#N/A</v>
      </c>
      <c r="K548" s="29"/>
      <c r="M548" s="22"/>
      <c r="U548" s="22"/>
    </row>
    <row r="549" spans="10:21">
      <c r="J549" s="20" t="e">
        <f>VLOOKUP(G549,MD!M$2:O$93,3,FALSE)</f>
        <v>#N/A</v>
      </c>
      <c r="K549" s="29"/>
      <c r="M549" s="22"/>
      <c r="U549" s="22"/>
    </row>
    <row r="550" spans="10:21">
      <c r="J550" s="20" t="e">
        <f>VLOOKUP(G550,MD!M$2:O$93,3,FALSE)</f>
        <v>#N/A</v>
      </c>
      <c r="K550" s="29"/>
      <c r="M550" s="22"/>
      <c r="U550" s="22"/>
    </row>
    <row r="551" spans="10:21">
      <c r="J551" s="20" t="e">
        <f>VLOOKUP(G551,MD!M$2:O$93,3,FALSE)</f>
        <v>#N/A</v>
      </c>
      <c r="K551" s="29"/>
      <c r="M551" s="22"/>
      <c r="U551" s="22"/>
    </row>
    <row r="552" spans="10:21">
      <c r="J552" s="20" t="e">
        <f>VLOOKUP(G552,MD!M$2:O$93,3,FALSE)</f>
        <v>#N/A</v>
      </c>
      <c r="K552" s="29"/>
      <c r="M552" s="22"/>
      <c r="U552" s="22"/>
    </row>
    <row r="553" spans="10:21">
      <c r="J553" s="20" t="e">
        <f>VLOOKUP(G553,MD!M$2:O$93,3,FALSE)</f>
        <v>#N/A</v>
      </c>
      <c r="K553" s="29"/>
      <c r="M553" s="22"/>
      <c r="U553" s="22"/>
    </row>
    <row r="554" spans="10:21">
      <c r="J554" s="20" t="e">
        <f>VLOOKUP(G554,MD!M$2:O$93,3,FALSE)</f>
        <v>#N/A</v>
      </c>
      <c r="K554" s="29"/>
      <c r="M554" s="22"/>
      <c r="U554" s="22"/>
    </row>
    <row r="555" spans="10:21">
      <c r="J555" s="20" t="e">
        <f>VLOOKUP(G555,MD!M$2:O$93,3,FALSE)</f>
        <v>#N/A</v>
      </c>
      <c r="K555" s="29"/>
      <c r="M555" s="22"/>
      <c r="U555" s="22"/>
    </row>
    <row r="556" spans="10:21">
      <c r="J556" s="20" t="e">
        <f>VLOOKUP(G556,MD!M$2:O$93,3,FALSE)</f>
        <v>#N/A</v>
      </c>
      <c r="K556" s="29"/>
      <c r="M556" s="22"/>
      <c r="U556" s="22"/>
    </row>
    <row r="557" spans="10:21">
      <c r="J557" s="20" t="e">
        <f>VLOOKUP(G557,MD!M$2:O$93,3,FALSE)</f>
        <v>#N/A</v>
      </c>
      <c r="K557" s="29"/>
      <c r="M557" s="22"/>
      <c r="U557" s="22"/>
    </row>
    <row r="558" spans="10:21">
      <c r="J558" s="20" t="e">
        <f>VLOOKUP(G558,MD!M$2:O$93,3,FALSE)</f>
        <v>#N/A</v>
      </c>
      <c r="K558" s="29"/>
      <c r="M558" s="22"/>
      <c r="U558" s="22"/>
    </row>
    <row r="559" spans="10:21">
      <c r="J559" s="20" t="e">
        <f>VLOOKUP(G559,MD!M$2:O$93,3,FALSE)</f>
        <v>#N/A</v>
      </c>
      <c r="K559" s="29"/>
      <c r="M559" s="22"/>
      <c r="U559" s="22"/>
    </row>
    <row r="560" spans="10:21">
      <c r="J560" s="20" t="e">
        <f>VLOOKUP(G560,MD!M$2:O$93,3,FALSE)</f>
        <v>#N/A</v>
      </c>
      <c r="K560" s="29"/>
      <c r="M560" s="22"/>
      <c r="U560" s="22"/>
    </row>
    <row r="561" spans="10:21">
      <c r="J561" s="20" t="e">
        <f>VLOOKUP(G561,MD!M$2:O$93,3,FALSE)</f>
        <v>#N/A</v>
      </c>
      <c r="K561" s="29"/>
      <c r="M561" s="22"/>
      <c r="U561" s="22"/>
    </row>
    <row r="562" spans="10:21">
      <c r="J562" s="20" t="e">
        <f>VLOOKUP(G562,MD!M$2:O$93,3,FALSE)</f>
        <v>#N/A</v>
      </c>
      <c r="K562" s="29"/>
      <c r="M562" s="22"/>
      <c r="U562" s="22"/>
    </row>
    <row r="563" spans="10:21">
      <c r="J563" s="20" t="e">
        <f>VLOOKUP(G563,MD!M$2:O$93,3,FALSE)</f>
        <v>#N/A</v>
      </c>
      <c r="K563" s="29"/>
      <c r="M563" s="22"/>
      <c r="U563" s="22"/>
    </row>
    <row r="564" spans="10:21">
      <c r="J564" s="20" t="e">
        <f>VLOOKUP(G564,MD!M$2:O$93,3,FALSE)</f>
        <v>#N/A</v>
      </c>
      <c r="K564" s="29"/>
      <c r="M564" s="22"/>
      <c r="U564" s="22"/>
    </row>
    <row r="565" spans="10:21">
      <c r="J565" s="20" t="e">
        <f>VLOOKUP(G565,MD!M$2:O$93,3,FALSE)</f>
        <v>#N/A</v>
      </c>
      <c r="K565" s="29"/>
      <c r="M565" s="22"/>
      <c r="U565" s="22"/>
    </row>
    <row r="566" spans="10:21">
      <c r="J566" s="20" t="e">
        <f>VLOOKUP(G566,MD!M$2:O$93,3,FALSE)</f>
        <v>#N/A</v>
      </c>
      <c r="K566" s="29"/>
      <c r="M566" s="22"/>
      <c r="U566" s="22"/>
    </row>
    <row r="567" spans="10:21">
      <c r="J567" s="20" t="e">
        <f>VLOOKUP(G567,MD!M$2:O$93,3,FALSE)</f>
        <v>#N/A</v>
      </c>
      <c r="K567" s="29"/>
      <c r="M567" s="22"/>
      <c r="U567" s="22"/>
    </row>
    <row r="568" spans="10:21">
      <c r="J568" s="20" t="e">
        <f>VLOOKUP(G568,MD!M$2:O$93,3,FALSE)</f>
        <v>#N/A</v>
      </c>
      <c r="K568" s="29"/>
      <c r="M568" s="22"/>
      <c r="U568" s="22"/>
    </row>
    <row r="569" spans="10:21">
      <c r="J569" s="20" t="e">
        <f>VLOOKUP(G569,MD!M$2:O$93,3,FALSE)</f>
        <v>#N/A</v>
      </c>
      <c r="K569" s="29"/>
      <c r="M569" s="22"/>
      <c r="U569" s="22"/>
    </row>
    <row r="570" spans="10:21">
      <c r="J570" s="20" t="e">
        <f>VLOOKUP(G570,MD!M$2:O$93,3,FALSE)</f>
        <v>#N/A</v>
      </c>
      <c r="K570" s="29"/>
      <c r="M570" s="22"/>
      <c r="U570" s="22"/>
    </row>
    <row r="571" spans="10:21">
      <c r="J571" s="20" t="e">
        <f>VLOOKUP(G571,MD!M$2:O$93,3,FALSE)</f>
        <v>#N/A</v>
      </c>
      <c r="K571" s="29"/>
      <c r="M571" s="22"/>
      <c r="U571" s="22"/>
    </row>
    <row r="572" spans="10:21">
      <c r="J572" s="20" t="e">
        <f>VLOOKUP(G572,MD!M$2:O$93,3,FALSE)</f>
        <v>#N/A</v>
      </c>
      <c r="K572" s="29"/>
      <c r="M572" s="22"/>
      <c r="U572" s="22"/>
    </row>
    <row r="573" spans="10:21">
      <c r="J573" s="20" t="e">
        <f>VLOOKUP(G573,MD!M$2:O$93,3,FALSE)</f>
        <v>#N/A</v>
      </c>
      <c r="K573" s="29"/>
      <c r="M573" s="22"/>
      <c r="U573" s="22"/>
    </row>
    <row r="574" spans="10:21">
      <c r="J574" s="20" t="e">
        <f>VLOOKUP(G574,MD!M$2:O$93,3,FALSE)</f>
        <v>#N/A</v>
      </c>
      <c r="K574" s="29"/>
      <c r="M574" s="22"/>
      <c r="U574" s="22"/>
    </row>
    <row r="575" spans="10:21">
      <c r="J575" s="20" t="e">
        <f>VLOOKUP(G575,MD!M$2:O$93,3,FALSE)</f>
        <v>#N/A</v>
      </c>
      <c r="K575" s="29"/>
      <c r="M575" s="22"/>
      <c r="U575" s="22"/>
    </row>
    <row r="576" spans="10:21">
      <c r="J576" s="20" t="e">
        <f>VLOOKUP(G576,MD!M$2:O$93,3,FALSE)</f>
        <v>#N/A</v>
      </c>
      <c r="K576" s="29"/>
      <c r="M576" s="22"/>
      <c r="U576" s="22"/>
    </row>
    <row r="577" spans="10:21">
      <c r="J577" s="20" t="e">
        <f>VLOOKUP(G577,MD!M$2:O$93,3,FALSE)</f>
        <v>#N/A</v>
      </c>
      <c r="K577" s="29"/>
      <c r="M577" s="22"/>
      <c r="U577" s="22"/>
    </row>
    <row r="578" spans="10:21">
      <c r="J578" s="20" t="e">
        <f>VLOOKUP(G578,MD!M$2:O$93,3,FALSE)</f>
        <v>#N/A</v>
      </c>
      <c r="K578" s="29"/>
      <c r="M578" s="22"/>
      <c r="U578" s="22"/>
    </row>
    <row r="579" spans="10:21">
      <c r="J579" s="20" t="e">
        <f>VLOOKUP(G579,MD!M$2:O$93,3,FALSE)</f>
        <v>#N/A</v>
      </c>
      <c r="K579" s="29"/>
      <c r="M579" s="22"/>
      <c r="U579" s="22"/>
    </row>
    <row r="580" spans="10:21">
      <c r="J580" s="20" t="e">
        <f>VLOOKUP(G580,MD!M$2:O$93,3,FALSE)</f>
        <v>#N/A</v>
      </c>
      <c r="K580" s="29"/>
      <c r="M580" s="22"/>
      <c r="U580" s="22"/>
    </row>
    <row r="581" spans="10:21">
      <c r="J581" s="20" t="e">
        <f>VLOOKUP(G581,MD!M$2:O$93,3,FALSE)</f>
        <v>#N/A</v>
      </c>
      <c r="K581" s="29"/>
      <c r="M581" s="22"/>
      <c r="U581" s="22"/>
    </row>
    <row r="582" spans="10:21">
      <c r="J582" s="20" t="e">
        <f>VLOOKUP(G582,MD!M$2:O$93,3,FALSE)</f>
        <v>#N/A</v>
      </c>
      <c r="K582" s="29"/>
      <c r="M582" s="22"/>
      <c r="U582" s="22"/>
    </row>
    <row r="583" spans="10:21">
      <c r="J583" s="20" t="e">
        <f>VLOOKUP(G583,MD!M$2:O$93,3,FALSE)</f>
        <v>#N/A</v>
      </c>
      <c r="K583" s="29"/>
      <c r="M583" s="22"/>
      <c r="U583" s="22"/>
    </row>
    <row r="584" spans="10:21">
      <c r="J584" s="20" t="e">
        <f>VLOOKUP(G584,MD!M$2:O$93,3,FALSE)</f>
        <v>#N/A</v>
      </c>
      <c r="K584" s="29"/>
      <c r="M584" s="22"/>
      <c r="U584" s="22"/>
    </row>
    <row r="585" spans="10:21">
      <c r="J585" s="20" t="e">
        <f>VLOOKUP(G585,MD!M$2:O$93,3,FALSE)</f>
        <v>#N/A</v>
      </c>
      <c r="K585" s="29"/>
      <c r="M585" s="22"/>
      <c r="U585" s="22"/>
    </row>
    <row r="586" spans="10:21">
      <c r="J586" s="20" t="e">
        <f>VLOOKUP(G586,MD!M$2:O$93,3,FALSE)</f>
        <v>#N/A</v>
      </c>
      <c r="K586" s="29"/>
      <c r="M586" s="22"/>
      <c r="U586" s="22"/>
    </row>
    <row r="587" spans="10:21">
      <c r="J587" s="20" t="e">
        <f>VLOOKUP(G587,MD!M$2:O$93,3,FALSE)</f>
        <v>#N/A</v>
      </c>
      <c r="K587" s="29"/>
      <c r="M587" s="22"/>
      <c r="U587" s="22"/>
    </row>
    <row r="588" spans="10:21">
      <c r="J588" s="20" t="e">
        <f>VLOOKUP(G588,MD!M$2:O$93,3,FALSE)</f>
        <v>#N/A</v>
      </c>
      <c r="K588" s="29"/>
      <c r="M588" s="22"/>
      <c r="U588" s="22"/>
    </row>
    <row r="589" spans="10:21">
      <c r="J589" s="20" t="e">
        <f>VLOOKUP(G589,MD!M$2:O$93,3,FALSE)</f>
        <v>#N/A</v>
      </c>
      <c r="K589" s="29"/>
      <c r="M589" s="22"/>
      <c r="U589" s="22"/>
    </row>
    <row r="590" spans="10:21">
      <c r="J590" s="20" t="e">
        <f>VLOOKUP(G590,MD!M$2:O$93,3,FALSE)</f>
        <v>#N/A</v>
      </c>
      <c r="K590" s="29"/>
      <c r="M590" s="22"/>
      <c r="U590" s="22"/>
    </row>
    <row r="591" spans="10:21">
      <c r="J591" s="20" t="e">
        <f>VLOOKUP(G591,MD!M$2:O$93,3,FALSE)</f>
        <v>#N/A</v>
      </c>
      <c r="K591" s="29"/>
      <c r="M591" s="22"/>
      <c r="U591" s="22"/>
    </row>
    <row r="592" spans="10:21">
      <c r="J592" s="20" t="e">
        <f>VLOOKUP(G592,MD!M$2:O$93,3,FALSE)</f>
        <v>#N/A</v>
      </c>
      <c r="K592" s="29"/>
      <c r="M592" s="22"/>
      <c r="U592" s="22"/>
    </row>
    <row r="593" spans="10:21">
      <c r="J593" s="20" t="e">
        <f>VLOOKUP(G593,MD!M$2:O$93,3,FALSE)</f>
        <v>#N/A</v>
      </c>
      <c r="K593" s="29"/>
      <c r="M593" s="22"/>
      <c r="U593" s="22"/>
    </row>
    <row r="594" spans="10:21">
      <c r="J594" s="20" t="e">
        <f>VLOOKUP(G594,MD!M$2:O$93,3,FALSE)</f>
        <v>#N/A</v>
      </c>
      <c r="K594" s="29"/>
      <c r="M594" s="22"/>
      <c r="U594" s="22"/>
    </row>
    <row r="595" spans="10:21">
      <c r="J595" s="20" t="e">
        <f>VLOOKUP(G595,MD!M$2:O$93,3,FALSE)</f>
        <v>#N/A</v>
      </c>
      <c r="K595" s="29"/>
      <c r="M595" s="22"/>
      <c r="U595" s="22"/>
    </row>
    <row r="596" spans="10:21">
      <c r="J596" s="20" t="e">
        <f>VLOOKUP(G596,MD!M$2:O$93,3,FALSE)</f>
        <v>#N/A</v>
      </c>
      <c r="K596" s="29"/>
      <c r="M596" s="22"/>
      <c r="U596" s="22"/>
    </row>
    <row r="597" spans="10:21">
      <c r="J597" s="20" t="e">
        <f>VLOOKUP(G597,MD!M$2:O$93,3,FALSE)</f>
        <v>#N/A</v>
      </c>
      <c r="K597" s="29"/>
      <c r="M597" s="22"/>
      <c r="U597" s="22"/>
    </row>
    <row r="598" spans="10:21">
      <c r="J598" s="20" t="e">
        <f>VLOOKUP(G598,MD!M$2:O$93,3,FALSE)</f>
        <v>#N/A</v>
      </c>
      <c r="K598" s="29"/>
      <c r="M598" s="22"/>
      <c r="U598" s="22"/>
    </row>
    <row r="599" spans="10:21">
      <c r="J599" s="20" t="e">
        <f>VLOOKUP(G599,MD!M$2:O$93,3,FALSE)</f>
        <v>#N/A</v>
      </c>
      <c r="K599" s="29"/>
      <c r="M599" s="22"/>
      <c r="U599" s="22"/>
    </row>
    <row r="600" spans="10:21">
      <c r="J600" s="20" t="e">
        <f>VLOOKUP(G600,MD!M$2:O$93,3,FALSE)</f>
        <v>#N/A</v>
      </c>
      <c r="K600" s="29"/>
      <c r="M600" s="22"/>
      <c r="U600" s="22"/>
    </row>
    <row r="601" spans="10:21">
      <c r="J601" s="20" t="e">
        <f>VLOOKUP(G601,MD!M$2:O$93,3,FALSE)</f>
        <v>#N/A</v>
      </c>
      <c r="K601" s="29"/>
      <c r="M601" s="22"/>
      <c r="U601" s="22"/>
    </row>
    <row r="602" spans="10:21">
      <c r="J602" s="20" t="e">
        <f>VLOOKUP(G602,MD!M$2:O$93,3,FALSE)</f>
        <v>#N/A</v>
      </c>
      <c r="K602" s="29"/>
      <c r="M602" s="22"/>
      <c r="U602" s="22"/>
    </row>
    <row r="603" spans="10:21">
      <c r="J603" s="20" t="e">
        <f>VLOOKUP(G603,MD!M$2:O$93,3,FALSE)</f>
        <v>#N/A</v>
      </c>
      <c r="K603" s="29"/>
      <c r="M603" s="22"/>
      <c r="U603" s="22"/>
    </row>
    <row r="604" spans="10:21">
      <c r="J604" s="20" t="e">
        <f>VLOOKUP(G604,MD!M$2:O$93,3,FALSE)</f>
        <v>#N/A</v>
      </c>
      <c r="K604" s="29"/>
      <c r="M604" s="22"/>
      <c r="U604" s="22"/>
    </row>
    <row r="605" spans="10:21">
      <c r="J605" s="20" t="e">
        <f>VLOOKUP(G605,MD!M$2:O$93,3,FALSE)</f>
        <v>#N/A</v>
      </c>
      <c r="K605" s="29"/>
      <c r="M605" s="22"/>
      <c r="U605" s="22"/>
    </row>
    <row r="606" spans="10:21">
      <c r="J606" s="20" t="e">
        <f>VLOOKUP(G606,MD!M$2:O$93,3,FALSE)</f>
        <v>#N/A</v>
      </c>
      <c r="K606" s="29"/>
      <c r="M606" s="22"/>
      <c r="U606" s="22"/>
    </row>
    <row r="607" spans="10:21">
      <c r="J607" s="20" t="e">
        <f>VLOOKUP(G607,MD!M$2:O$93,3,FALSE)</f>
        <v>#N/A</v>
      </c>
      <c r="K607" s="29"/>
      <c r="M607" s="22"/>
      <c r="U607" s="22"/>
    </row>
    <row r="608" spans="10:21">
      <c r="J608" s="20" t="e">
        <f>VLOOKUP(G608,MD!M$2:O$93,3,FALSE)</f>
        <v>#N/A</v>
      </c>
      <c r="K608" s="29"/>
      <c r="M608" s="22"/>
      <c r="U608" s="22"/>
    </row>
    <row r="609" spans="10:21">
      <c r="J609" s="20" t="e">
        <f>VLOOKUP(G609,MD!M$2:O$93,3,FALSE)</f>
        <v>#N/A</v>
      </c>
      <c r="K609" s="29"/>
      <c r="M609" s="22"/>
      <c r="U609" s="22"/>
    </row>
    <row r="610" spans="10:21">
      <c r="J610" s="20" t="e">
        <f>VLOOKUP(G610,MD!M$2:O$93,3,FALSE)</f>
        <v>#N/A</v>
      </c>
      <c r="K610" s="29"/>
      <c r="M610" s="22"/>
      <c r="U610" s="22"/>
    </row>
    <row r="611" spans="10:21">
      <c r="J611" s="20" t="e">
        <f>VLOOKUP(G611,MD!M$2:O$93,3,FALSE)</f>
        <v>#N/A</v>
      </c>
      <c r="K611" s="29"/>
      <c r="M611" s="22"/>
      <c r="U611" s="22"/>
    </row>
    <row r="612" spans="10:21">
      <c r="J612" s="20" t="e">
        <f>VLOOKUP(G612,MD!M$2:O$93,3,FALSE)</f>
        <v>#N/A</v>
      </c>
      <c r="K612" s="29"/>
      <c r="M612" s="22"/>
      <c r="U612" s="22"/>
    </row>
    <row r="613" spans="10:21">
      <c r="J613" s="20" t="e">
        <f>VLOOKUP(G613,MD!M$2:O$93,3,FALSE)</f>
        <v>#N/A</v>
      </c>
      <c r="K613" s="29"/>
      <c r="M613" s="22"/>
      <c r="U613" s="22"/>
    </row>
    <row r="614" spans="10:21">
      <c r="J614" s="20" t="e">
        <f>VLOOKUP(G614,MD!M$2:O$93,3,FALSE)</f>
        <v>#N/A</v>
      </c>
      <c r="K614" s="29"/>
      <c r="M614" s="22"/>
      <c r="U614" s="22"/>
    </row>
    <row r="615" spans="10:21">
      <c r="J615" s="20" t="e">
        <f>VLOOKUP(G615,MD!M$2:O$93,3,FALSE)</f>
        <v>#N/A</v>
      </c>
      <c r="K615" s="29"/>
      <c r="M615" s="22"/>
      <c r="U615" s="22"/>
    </row>
    <row r="616" spans="10:21">
      <c r="J616" s="20" t="e">
        <f>VLOOKUP(G616,MD!M$2:O$93,3,FALSE)</f>
        <v>#N/A</v>
      </c>
      <c r="K616" s="29"/>
      <c r="M616" s="22"/>
      <c r="U616" s="22"/>
    </row>
    <row r="617" spans="10:21">
      <c r="J617" s="20" t="e">
        <f>VLOOKUP(G617,MD!M$2:O$93,3,FALSE)</f>
        <v>#N/A</v>
      </c>
      <c r="K617" s="29"/>
      <c r="M617" s="22"/>
      <c r="U617" s="22"/>
    </row>
    <row r="618" spans="10:21">
      <c r="J618" s="20" t="e">
        <f>VLOOKUP(G618,MD!M$2:O$93,3,FALSE)</f>
        <v>#N/A</v>
      </c>
      <c r="K618" s="29"/>
      <c r="M618" s="22"/>
      <c r="U618" s="22"/>
    </row>
    <row r="619" spans="10:21">
      <c r="J619" s="20" t="e">
        <f>VLOOKUP(G619,MD!M$2:O$93,3,FALSE)</f>
        <v>#N/A</v>
      </c>
      <c r="K619" s="29"/>
      <c r="M619" s="22"/>
      <c r="U619" s="22"/>
    </row>
    <row r="620" spans="10:21">
      <c r="J620" s="20" t="e">
        <f>VLOOKUP(G620,MD!M$2:O$93,3,FALSE)</f>
        <v>#N/A</v>
      </c>
      <c r="K620" s="29"/>
      <c r="M620" s="22"/>
      <c r="U620" s="22"/>
    </row>
    <row r="621" spans="10:21">
      <c r="J621" s="20" t="e">
        <f>VLOOKUP(G621,MD!M$2:O$93,3,FALSE)</f>
        <v>#N/A</v>
      </c>
      <c r="K621" s="29"/>
      <c r="M621" s="22"/>
      <c r="U621" s="22"/>
    </row>
    <row r="622" spans="10:21">
      <c r="J622" s="20" t="e">
        <f>VLOOKUP(G622,MD!M$2:O$93,3,FALSE)</f>
        <v>#N/A</v>
      </c>
      <c r="K622" s="29"/>
      <c r="M622" s="22"/>
      <c r="U622" s="22"/>
    </row>
    <row r="623" spans="10:21">
      <c r="J623" s="20" t="e">
        <f>VLOOKUP(G623,MD!M$2:O$93,3,FALSE)</f>
        <v>#N/A</v>
      </c>
      <c r="K623" s="29"/>
      <c r="M623" s="22"/>
      <c r="U623" s="22"/>
    </row>
    <row r="624" spans="10:21">
      <c r="J624" s="20" t="e">
        <f>VLOOKUP(G624,MD!M$2:O$93,3,FALSE)</f>
        <v>#N/A</v>
      </c>
      <c r="K624" s="29"/>
      <c r="M624" s="22"/>
      <c r="U624" s="22"/>
    </row>
    <row r="625" spans="10:21">
      <c r="J625" s="20" t="e">
        <f>VLOOKUP(G625,MD!M$2:O$93,3,FALSE)</f>
        <v>#N/A</v>
      </c>
      <c r="K625" s="29"/>
      <c r="M625" s="22"/>
      <c r="U625" s="22"/>
    </row>
    <row r="626" spans="10:21">
      <c r="J626" s="20" t="e">
        <f>VLOOKUP(G626,MD!M$2:O$93,3,FALSE)</f>
        <v>#N/A</v>
      </c>
      <c r="K626" s="29"/>
      <c r="M626" s="22"/>
      <c r="U626" s="22"/>
    </row>
    <row r="627" spans="10:21">
      <c r="J627" s="20" t="e">
        <f>VLOOKUP(G627,MD!M$2:O$93,3,FALSE)</f>
        <v>#N/A</v>
      </c>
      <c r="K627" s="29"/>
      <c r="M627" s="22"/>
      <c r="U627" s="22"/>
    </row>
    <row r="628" spans="10:21">
      <c r="J628" s="20" t="e">
        <f>VLOOKUP(G628,MD!M$2:O$93,3,FALSE)</f>
        <v>#N/A</v>
      </c>
      <c r="K628" s="29"/>
      <c r="M628" s="22"/>
      <c r="U628" s="22"/>
    </row>
    <row r="629" spans="10:21">
      <c r="J629" s="20" t="e">
        <f>VLOOKUP(G629,MD!M$2:O$93,3,FALSE)</f>
        <v>#N/A</v>
      </c>
      <c r="K629" s="29"/>
      <c r="M629" s="22"/>
      <c r="U629" s="22"/>
    </row>
    <row r="630" spans="10:21">
      <c r="J630" s="20" t="e">
        <f>VLOOKUP(G630,MD!M$2:O$93,3,FALSE)</f>
        <v>#N/A</v>
      </c>
      <c r="K630" s="29"/>
      <c r="M630" s="22"/>
      <c r="U630" s="22"/>
    </row>
    <row r="631" spans="10:21">
      <c r="J631" s="20" t="e">
        <f>VLOOKUP(G631,MD!M$2:O$93,3,FALSE)</f>
        <v>#N/A</v>
      </c>
      <c r="K631" s="29"/>
      <c r="M631" s="22"/>
      <c r="U631" s="22"/>
    </row>
    <row r="632" spans="10:21">
      <c r="J632" s="20" t="e">
        <f>VLOOKUP(G632,MD!M$2:O$93,3,FALSE)</f>
        <v>#N/A</v>
      </c>
      <c r="K632" s="29"/>
      <c r="M632" s="22"/>
      <c r="U632" s="22"/>
    </row>
    <row r="633" spans="10:21">
      <c r="J633" s="20" t="e">
        <f>VLOOKUP(G633,MD!M$2:O$93,3,FALSE)</f>
        <v>#N/A</v>
      </c>
      <c r="K633" s="29"/>
      <c r="M633" s="22"/>
      <c r="U633" s="22"/>
    </row>
    <row r="634" spans="10:21">
      <c r="J634" s="20" t="e">
        <f>VLOOKUP(G634,MD!M$2:O$93,3,FALSE)</f>
        <v>#N/A</v>
      </c>
      <c r="K634" s="29"/>
      <c r="M634" s="22"/>
      <c r="U634" s="22"/>
    </row>
    <row r="635" spans="10:21">
      <c r="J635" s="20" t="e">
        <f>VLOOKUP(G635,MD!M$2:O$93,3,FALSE)</f>
        <v>#N/A</v>
      </c>
      <c r="K635" s="29"/>
      <c r="M635" s="22"/>
      <c r="U635" s="22"/>
    </row>
    <row r="636" spans="10:21">
      <c r="J636" s="20" t="e">
        <f>VLOOKUP(G636,MD!M$2:O$93,3,FALSE)</f>
        <v>#N/A</v>
      </c>
      <c r="K636" s="29"/>
      <c r="M636" s="22"/>
      <c r="U636" s="22"/>
    </row>
    <row r="637" spans="10:21">
      <c r="J637" s="20" t="e">
        <f>VLOOKUP(G637,MD!M$2:O$93,3,FALSE)</f>
        <v>#N/A</v>
      </c>
      <c r="K637" s="29"/>
      <c r="M637" s="22"/>
      <c r="U637" s="22"/>
    </row>
    <row r="638" spans="10:21">
      <c r="J638" s="20" t="e">
        <f>VLOOKUP(G638,MD!M$2:O$93,3,FALSE)</f>
        <v>#N/A</v>
      </c>
      <c r="K638" s="29"/>
      <c r="M638" s="22"/>
      <c r="U638" s="22"/>
    </row>
    <row r="639" spans="10:21">
      <c r="J639" s="20" t="e">
        <f>VLOOKUP(G639,MD!M$2:O$93,3,FALSE)</f>
        <v>#N/A</v>
      </c>
      <c r="K639" s="29"/>
      <c r="M639" s="22"/>
      <c r="U639" s="22"/>
    </row>
    <row r="640" spans="10:21">
      <c r="J640" s="20" t="e">
        <f>VLOOKUP(G640,MD!M$2:O$93,3,FALSE)</f>
        <v>#N/A</v>
      </c>
      <c r="K640" s="29"/>
      <c r="M640" s="22"/>
      <c r="U640" s="22"/>
    </row>
    <row r="641" spans="10:21">
      <c r="J641" s="20" t="e">
        <f>VLOOKUP(G641,MD!M$2:O$93,3,FALSE)</f>
        <v>#N/A</v>
      </c>
      <c r="K641" s="29"/>
      <c r="M641" s="22"/>
      <c r="U641" s="22"/>
    </row>
    <row r="642" spans="10:21">
      <c r="J642" s="20" t="e">
        <f>VLOOKUP(G642,MD!M$2:O$93,3,FALSE)</f>
        <v>#N/A</v>
      </c>
      <c r="K642" s="29"/>
      <c r="M642" s="22"/>
      <c r="U642" s="22"/>
    </row>
    <row r="643" spans="10:21">
      <c r="J643" s="20" t="e">
        <f>VLOOKUP(G643,MD!M$2:O$93,3,FALSE)</f>
        <v>#N/A</v>
      </c>
      <c r="K643" s="29"/>
      <c r="M643" s="22"/>
      <c r="U643" s="22"/>
    </row>
    <row r="644" spans="10:21">
      <c r="J644" s="20" t="e">
        <f>VLOOKUP(G644,MD!M$2:O$93,3,FALSE)</f>
        <v>#N/A</v>
      </c>
      <c r="K644" s="29"/>
      <c r="M644" s="22"/>
      <c r="U644" s="22"/>
    </row>
    <row r="645" spans="10:21">
      <c r="J645" s="20" t="e">
        <f>VLOOKUP(G645,MD!M$2:O$93,3,FALSE)</f>
        <v>#N/A</v>
      </c>
      <c r="K645" s="29"/>
      <c r="M645" s="22"/>
      <c r="U645" s="22"/>
    </row>
    <row r="646" spans="10:21">
      <c r="J646" s="20" t="e">
        <f>VLOOKUP(G646,MD!M$2:O$93,3,FALSE)</f>
        <v>#N/A</v>
      </c>
      <c r="K646" s="29"/>
      <c r="M646" s="22"/>
      <c r="U646" s="22"/>
    </row>
    <row r="647" spans="10:21">
      <c r="J647" s="20" t="e">
        <f>VLOOKUP(G647,MD!M$2:O$93,3,FALSE)</f>
        <v>#N/A</v>
      </c>
      <c r="K647" s="29"/>
      <c r="M647" s="22"/>
      <c r="U647" s="22"/>
    </row>
    <row r="648" spans="10:21">
      <c r="J648" s="20" t="e">
        <f>VLOOKUP(G648,MD!M$2:O$93,3,FALSE)</f>
        <v>#N/A</v>
      </c>
      <c r="K648" s="29"/>
      <c r="M648" s="22"/>
      <c r="U648" s="22"/>
    </row>
    <row r="649" spans="10:21">
      <c r="J649" s="20" t="e">
        <f>VLOOKUP(G649,MD!M$2:O$93,3,FALSE)</f>
        <v>#N/A</v>
      </c>
      <c r="K649" s="29"/>
      <c r="M649" s="22"/>
      <c r="U649" s="22"/>
    </row>
    <row r="650" spans="10:21">
      <c r="J650" s="20" t="e">
        <f>VLOOKUP(G650,MD!M$2:O$93,3,FALSE)</f>
        <v>#N/A</v>
      </c>
      <c r="K650" s="29"/>
      <c r="M650" s="22"/>
      <c r="U650" s="22"/>
    </row>
    <row r="651" spans="10:21">
      <c r="J651" s="20" t="e">
        <f>VLOOKUP(G651,MD!M$2:O$93,3,FALSE)</f>
        <v>#N/A</v>
      </c>
      <c r="K651" s="29"/>
      <c r="M651" s="22"/>
      <c r="U651" s="22"/>
    </row>
    <row r="652" spans="10:21">
      <c r="J652" s="20" t="e">
        <f>VLOOKUP(G652,MD!M$2:O$93,3,FALSE)</f>
        <v>#N/A</v>
      </c>
      <c r="K652" s="29"/>
      <c r="M652" s="22"/>
      <c r="U652" s="22"/>
    </row>
    <row r="653" spans="10:21">
      <c r="J653" s="20" t="e">
        <f>VLOOKUP(G653,MD!M$2:O$93,3,FALSE)</f>
        <v>#N/A</v>
      </c>
      <c r="K653" s="29"/>
      <c r="M653" s="22"/>
      <c r="U653" s="22"/>
    </row>
    <row r="654" spans="10:21">
      <c r="J654" s="20" t="e">
        <f>VLOOKUP(G654,MD!M$2:O$93,3,FALSE)</f>
        <v>#N/A</v>
      </c>
      <c r="K654" s="29"/>
      <c r="M654" s="22"/>
      <c r="U654" s="22"/>
    </row>
    <row r="655" spans="10:21">
      <c r="J655" s="20" t="e">
        <f>VLOOKUP(G655,MD!M$2:O$93,3,FALSE)</f>
        <v>#N/A</v>
      </c>
      <c r="K655" s="29"/>
      <c r="M655" s="22"/>
      <c r="U655" s="22"/>
    </row>
    <row r="656" spans="10:21">
      <c r="J656" s="20" t="e">
        <f>VLOOKUP(G656,MD!M$2:O$93,3,FALSE)</f>
        <v>#N/A</v>
      </c>
      <c r="K656" s="29"/>
      <c r="M656" s="22"/>
      <c r="U656" s="22"/>
    </row>
    <row r="657" spans="10:21">
      <c r="J657" s="20" t="e">
        <f>VLOOKUP(G657,MD!M$2:O$93,3,FALSE)</f>
        <v>#N/A</v>
      </c>
      <c r="K657" s="29"/>
      <c r="M657" s="22"/>
      <c r="U657" s="22"/>
    </row>
    <row r="658" spans="10:21">
      <c r="J658" s="20" t="e">
        <f>VLOOKUP(G658,MD!M$2:O$93,3,FALSE)</f>
        <v>#N/A</v>
      </c>
      <c r="K658" s="29"/>
      <c r="M658" s="22"/>
      <c r="U658" s="22"/>
    </row>
    <row r="659" spans="10:21">
      <c r="J659" s="20" t="e">
        <f>VLOOKUP(G659,MD!M$2:O$93,3,FALSE)</f>
        <v>#N/A</v>
      </c>
      <c r="K659" s="29"/>
      <c r="M659" s="22"/>
      <c r="U659" s="22"/>
    </row>
    <row r="660" spans="10:21">
      <c r="J660" s="20" t="e">
        <f>VLOOKUP(G660,MD!M$2:O$93,3,FALSE)</f>
        <v>#N/A</v>
      </c>
      <c r="K660" s="29"/>
      <c r="M660" s="22"/>
      <c r="U660" s="22"/>
    </row>
    <row r="661" spans="10:21">
      <c r="J661" s="20" t="e">
        <f>VLOOKUP(G661,MD!M$2:O$93,3,FALSE)</f>
        <v>#N/A</v>
      </c>
      <c r="K661" s="29"/>
      <c r="M661" s="22"/>
      <c r="U661" s="22"/>
    </row>
    <row r="662" spans="10:21">
      <c r="J662" s="20" t="e">
        <f>VLOOKUP(G662,MD!M$2:O$93,3,FALSE)</f>
        <v>#N/A</v>
      </c>
      <c r="K662" s="29"/>
      <c r="M662" s="22"/>
      <c r="U662" s="22"/>
    </row>
    <row r="663" spans="10:21">
      <c r="J663" s="20" t="e">
        <f>VLOOKUP(G663,MD!M$2:O$93,3,FALSE)</f>
        <v>#N/A</v>
      </c>
      <c r="K663" s="29"/>
      <c r="M663" s="22"/>
      <c r="U663" s="22"/>
    </row>
    <row r="664" spans="10:21">
      <c r="J664" s="20" t="e">
        <f>VLOOKUP(G664,MD!M$2:O$93,3,FALSE)</f>
        <v>#N/A</v>
      </c>
      <c r="K664" s="29"/>
      <c r="M664" s="22"/>
      <c r="U664" s="22"/>
    </row>
    <row r="665" spans="10:21">
      <c r="J665" s="20" t="e">
        <f>VLOOKUP(G665,MD!M$2:O$93,3,FALSE)</f>
        <v>#N/A</v>
      </c>
      <c r="K665" s="29"/>
      <c r="M665" s="22"/>
      <c r="U665" s="22"/>
    </row>
    <row r="666" spans="10:21">
      <c r="J666" s="20" t="e">
        <f>VLOOKUP(G666,MD!M$2:O$93,3,FALSE)</f>
        <v>#N/A</v>
      </c>
      <c r="K666" s="29"/>
      <c r="M666" s="22"/>
      <c r="U666" s="22"/>
    </row>
    <row r="667" spans="10:21">
      <c r="J667" s="20" t="e">
        <f>VLOOKUP(G667,MD!M$2:O$93,3,FALSE)</f>
        <v>#N/A</v>
      </c>
      <c r="K667" s="29"/>
      <c r="M667" s="22"/>
      <c r="U667" s="22"/>
    </row>
    <row r="668" spans="10:21">
      <c r="J668" s="20" t="e">
        <f>VLOOKUP(G668,MD!M$2:O$93,3,FALSE)</f>
        <v>#N/A</v>
      </c>
      <c r="K668" s="29"/>
      <c r="M668" s="22"/>
      <c r="U668" s="22"/>
    </row>
    <row r="669" spans="10:21">
      <c r="J669" s="20" t="e">
        <f>VLOOKUP(G669,MD!M$2:O$93,3,FALSE)</f>
        <v>#N/A</v>
      </c>
      <c r="K669" s="29"/>
      <c r="M669" s="22"/>
      <c r="U669" s="22"/>
    </row>
    <row r="670" spans="10:21">
      <c r="J670" s="20" t="e">
        <f>VLOOKUP(G670,MD!M$2:O$93,3,FALSE)</f>
        <v>#N/A</v>
      </c>
      <c r="K670" s="29"/>
      <c r="M670" s="22"/>
      <c r="U670" s="22"/>
    </row>
    <row r="671" spans="10:21">
      <c r="J671" s="20" t="e">
        <f>VLOOKUP(G671,MD!M$2:O$93,3,FALSE)</f>
        <v>#N/A</v>
      </c>
      <c r="K671" s="29"/>
      <c r="M671" s="22"/>
      <c r="U671" s="22"/>
    </row>
    <row r="672" spans="10:21">
      <c r="J672" s="20" t="e">
        <f>VLOOKUP(G672,MD!M$2:O$93,3,FALSE)</f>
        <v>#N/A</v>
      </c>
      <c r="K672" s="29"/>
      <c r="M672" s="22"/>
      <c r="U672" s="22"/>
    </row>
    <row r="673" spans="10:21">
      <c r="J673" s="20" t="e">
        <f>VLOOKUP(G673,MD!M$2:O$93,3,FALSE)</f>
        <v>#N/A</v>
      </c>
      <c r="K673" s="29"/>
      <c r="M673" s="22"/>
      <c r="U673" s="22"/>
    </row>
    <row r="674" spans="10:21">
      <c r="J674" s="20" t="e">
        <f>VLOOKUP(G674,MD!M$2:O$93,3,FALSE)</f>
        <v>#N/A</v>
      </c>
      <c r="K674" s="29"/>
      <c r="M674" s="22"/>
      <c r="U674" s="22"/>
    </row>
    <row r="675" spans="10:21">
      <c r="J675" s="20" t="e">
        <f>VLOOKUP(G675,MD!M$2:O$93,3,FALSE)</f>
        <v>#N/A</v>
      </c>
      <c r="K675" s="29"/>
      <c r="M675" s="22"/>
      <c r="U675" s="22"/>
    </row>
    <row r="676" spans="10:21">
      <c r="J676" s="20" t="e">
        <f>VLOOKUP(G676,MD!M$2:O$93,3,FALSE)</f>
        <v>#N/A</v>
      </c>
      <c r="K676" s="29"/>
      <c r="M676" s="22"/>
      <c r="U676" s="22"/>
    </row>
    <row r="677" spans="10:21">
      <c r="J677" s="20" t="e">
        <f>VLOOKUP(G677,MD!M$2:O$93,3,FALSE)</f>
        <v>#N/A</v>
      </c>
      <c r="K677" s="29"/>
      <c r="M677" s="22"/>
      <c r="U677" s="22"/>
    </row>
    <row r="678" spans="10:21">
      <c r="J678" s="20" t="e">
        <f>VLOOKUP(G678,MD!M$2:O$93,3,FALSE)</f>
        <v>#N/A</v>
      </c>
      <c r="K678" s="29"/>
      <c r="M678" s="22"/>
      <c r="U678" s="22"/>
    </row>
    <row r="679" spans="10:21">
      <c r="J679" s="20" t="e">
        <f>VLOOKUP(G679,MD!M$2:O$93,3,FALSE)</f>
        <v>#N/A</v>
      </c>
      <c r="K679" s="29"/>
      <c r="M679" s="22"/>
      <c r="U679" s="22"/>
    </row>
    <row r="680" spans="10:21">
      <c r="J680" s="20" t="e">
        <f>VLOOKUP(G680,MD!M$2:O$93,3,FALSE)</f>
        <v>#N/A</v>
      </c>
      <c r="K680" s="29"/>
      <c r="M680" s="22"/>
      <c r="U680" s="22"/>
    </row>
    <row r="681" spans="10:21">
      <c r="J681" s="20" t="e">
        <f>VLOOKUP(G681,MD!M$2:O$93,3,FALSE)</f>
        <v>#N/A</v>
      </c>
      <c r="K681" s="29"/>
      <c r="M681" s="22"/>
      <c r="U681" s="22"/>
    </row>
    <row r="682" spans="10:21">
      <c r="J682" s="20" t="e">
        <f>VLOOKUP(G682,MD!M$2:O$93,3,FALSE)</f>
        <v>#N/A</v>
      </c>
      <c r="K682" s="29"/>
      <c r="M682" s="22"/>
      <c r="U682" s="22"/>
    </row>
    <row r="683" spans="10:21">
      <c r="J683" s="20" t="e">
        <f>VLOOKUP(G683,MD!M$2:O$93,3,FALSE)</f>
        <v>#N/A</v>
      </c>
      <c r="K683" s="29"/>
      <c r="M683" s="22"/>
      <c r="U683" s="22"/>
    </row>
    <row r="684" spans="10:21">
      <c r="J684" s="20" t="e">
        <f>VLOOKUP(G684,MD!M$2:O$93,3,FALSE)</f>
        <v>#N/A</v>
      </c>
      <c r="K684" s="29"/>
      <c r="M684" s="22"/>
      <c r="U684" s="22"/>
    </row>
    <row r="685" spans="10:21">
      <c r="J685" s="20" t="e">
        <f>VLOOKUP(G685,MD!M$2:O$93,3,FALSE)</f>
        <v>#N/A</v>
      </c>
      <c r="K685" s="29"/>
      <c r="M685" s="22"/>
      <c r="U685" s="22"/>
    </row>
    <row r="686" spans="10:21">
      <c r="J686" s="20" t="e">
        <f>VLOOKUP(G686,MD!M$2:O$93,3,FALSE)</f>
        <v>#N/A</v>
      </c>
      <c r="K686" s="29"/>
      <c r="M686" s="22"/>
      <c r="U686" s="22"/>
    </row>
    <row r="687" spans="10:21">
      <c r="J687" s="20" t="e">
        <f>VLOOKUP(G687,MD!M$2:O$93,3,FALSE)</f>
        <v>#N/A</v>
      </c>
      <c r="K687" s="29"/>
      <c r="M687" s="22"/>
      <c r="U687" s="22"/>
    </row>
    <row r="688" spans="10:21">
      <c r="J688" s="20" t="e">
        <f>VLOOKUP(G688,MD!M$2:O$93,3,FALSE)</f>
        <v>#N/A</v>
      </c>
      <c r="K688" s="29"/>
      <c r="M688" s="22"/>
      <c r="U688" s="22"/>
    </row>
    <row r="689" spans="10:21">
      <c r="J689" s="20" t="e">
        <f>VLOOKUP(G689,MD!M$2:O$93,3,FALSE)</f>
        <v>#N/A</v>
      </c>
      <c r="K689" s="29"/>
      <c r="M689" s="22"/>
      <c r="U689" s="22"/>
    </row>
    <row r="690" spans="10:21">
      <c r="J690" s="20" t="e">
        <f>VLOOKUP(G690,MD!M$2:O$93,3,FALSE)</f>
        <v>#N/A</v>
      </c>
      <c r="K690" s="29"/>
      <c r="M690" s="22"/>
      <c r="U690" s="22"/>
    </row>
    <row r="691" spans="10:21">
      <c r="J691" s="20" t="e">
        <f>VLOOKUP(G691,MD!M$2:O$93,3,FALSE)</f>
        <v>#N/A</v>
      </c>
      <c r="K691" s="29"/>
      <c r="M691" s="22"/>
      <c r="U691" s="22"/>
    </row>
    <row r="692" spans="10:21">
      <c r="J692" s="20" t="e">
        <f>VLOOKUP(G692,MD!M$2:O$93,3,FALSE)</f>
        <v>#N/A</v>
      </c>
      <c r="K692" s="29"/>
      <c r="M692" s="22"/>
      <c r="U692" s="22"/>
    </row>
    <row r="693" spans="10:21">
      <c r="J693" s="20" t="e">
        <f>VLOOKUP(G693,MD!M$2:O$93,3,FALSE)</f>
        <v>#N/A</v>
      </c>
      <c r="K693" s="29"/>
      <c r="M693" s="22"/>
      <c r="U693" s="22"/>
    </row>
    <row r="694" spans="10:21">
      <c r="J694" s="20" t="e">
        <f>VLOOKUP(G694,MD!M$2:O$93,3,FALSE)</f>
        <v>#N/A</v>
      </c>
      <c r="K694" s="29"/>
      <c r="M694" s="22"/>
      <c r="U694" s="22"/>
    </row>
    <row r="695" spans="10:21">
      <c r="J695" s="20" t="e">
        <f>VLOOKUP(G695,MD!M$2:O$93,3,FALSE)</f>
        <v>#N/A</v>
      </c>
      <c r="K695" s="29"/>
      <c r="M695" s="22"/>
      <c r="U695" s="22"/>
    </row>
    <row r="696" spans="10:21">
      <c r="J696" s="20" t="e">
        <f>VLOOKUP(G696,MD!M$2:O$93,3,FALSE)</f>
        <v>#N/A</v>
      </c>
      <c r="K696" s="29"/>
      <c r="M696" s="22"/>
      <c r="U696" s="22"/>
    </row>
    <row r="697" spans="10:21">
      <c r="J697" s="20" t="e">
        <f>VLOOKUP(G697,MD!M$2:O$93,3,FALSE)</f>
        <v>#N/A</v>
      </c>
      <c r="K697" s="29"/>
      <c r="M697" s="22"/>
      <c r="U697" s="22"/>
    </row>
    <row r="698" spans="10:21">
      <c r="J698" s="20" t="e">
        <f>VLOOKUP(G698,MD!M$2:O$93,3,FALSE)</f>
        <v>#N/A</v>
      </c>
      <c r="K698" s="29"/>
      <c r="M698" s="22"/>
      <c r="U698" s="22"/>
    </row>
    <row r="699" spans="10:21">
      <c r="J699" s="20" t="e">
        <f>VLOOKUP(G699,MD!M$2:O$93,3,FALSE)</f>
        <v>#N/A</v>
      </c>
      <c r="K699" s="29"/>
      <c r="M699" s="22"/>
      <c r="U699" s="22"/>
    </row>
    <row r="700" spans="10:21">
      <c r="J700" s="20" t="e">
        <f>VLOOKUP(G700,MD!M$2:O$93,3,FALSE)</f>
        <v>#N/A</v>
      </c>
      <c r="K700" s="29"/>
      <c r="M700" s="22"/>
      <c r="U700" s="22"/>
    </row>
    <row r="701" spans="10:21">
      <c r="J701" s="20" t="e">
        <f>VLOOKUP(G701,MD!M$2:O$93,3,FALSE)</f>
        <v>#N/A</v>
      </c>
      <c r="K701" s="29"/>
      <c r="M701" s="22"/>
      <c r="U701" s="22"/>
    </row>
    <row r="702" spans="10:21">
      <c r="J702" s="20" t="e">
        <f>VLOOKUP(G702,MD!M$2:O$93,3,FALSE)</f>
        <v>#N/A</v>
      </c>
      <c r="K702" s="29"/>
      <c r="M702" s="22"/>
      <c r="U702" s="22"/>
    </row>
    <row r="703" spans="10:21">
      <c r="J703" s="20" t="e">
        <f>VLOOKUP(G703,MD!M$2:O$93,3,FALSE)</f>
        <v>#N/A</v>
      </c>
      <c r="K703" s="29"/>
      <c r="M703" s="22"/>
      <c r="U703" s="22"/>
    </row>
    <row r="704" spans="10:21">
      <c r="J704" s="20" t="e">
        <f>VLOOKUP(G704,MD!M$2:O$93,3,FALSE)</f>
        <v>#N/A</v>
      </c>
      <c r="K704" s="29"/>
      <c r="M704" s="22"/>
      <c r="U704" s="22"/>
    </row>
    <row r="705" spans="10:21">
      <c r="J705" s="20" t="e">
        <f>VLOOKUP(G705,MD!M$2:O$93,3,FALSE)</f>
        <v>#N/A</v>
      </c>
      <c r="K705" s="29"/>
      <c r="M705" s="22"/>
      <c r="U705" s="22"/>
    </row>
    <row r="706" spans="10:21">
      <c r="J706" s="20" t="e">
        <f>VLOOKUP(G706,MD!M$2:O$93,3,FALSE)</f>
        <v>#N/A</v>
      </c>
      <c r="K706" s="29"/>
      <c r="M706" s="22"/>
      <c r="U706" s="22"/>
    </row>
    <row r="707" spans="10:21">
      <c r="J707" s="20" t="e">
        <f>VLOOKUP(G707,MD!M$2:O$93,3,FALSE)</f>
        <v>#N/A</v>
      </c>
      <c r="K707" s="29"/>
      <c r="M707" s="22"/>
      <c r="U707" s="22"/>
    </row>
    <row r="708" spans="10:21">
      <c r="J708" s="20" t="e">
        <f>VLOOKUP(G708,MD!M$2:O$93,3,FALSE)</f>
        <v>#N/A</v>
      </c>
      <c r="K708" s="29"/>
      <c r="M708" s="22"/>
      <c r="U708" s="22"/>
    </row>
    <row r="709" spans="10:21">
      <c r="J709" s="20" t="e">
        <f>VLOOKUP(G709,MD!M$2:O$93,3,FALSE)</f>
        <v>#N/A</v>
      </c>
      <c r="K709" s="29"/>
      <c r="M709" s="22"/>
      <c r="U709" s="22"/>
    </row>
    <row r="710" spans="10:21">
      <c r="J710" s="20" t="e">
        <f>VLOOKUP(G710,MD!M$2:O$93,3,FALSE)</f>
        <v>#N/A</v>
      </c>
      <c r="K710" s="29"/>
      <c r="M710" s="22"/>
      <c r="U710" s="22"/>
    </row>
    <row r="711" spans="10:21">
      <c r="J711" s="20" t="e">
        <f>VLOOKUP(G711,MD!M$2:O$93,3,FALSE)</f>
        <v>#N/A</v>
      </c>
      <c r="K711" s="29"/>
      <c r="M711" s="22"/>
      <c r="U711" s="22"/>
    </row>
    <row r="712" spans="10:21">
      <c r="J712" s="20" t="e">
        <f>VLOOKUP(G712,MD!M$2:O$93,3,FALSE)</f>
        <v>#N/A</v>
      </c>
      <c r="K712" s="29"/>
      <c r="M712" s="22"/>
      <c r="U712" s="22"/>
    </row>
    <row r="713" spans="10:21">
      <c r="J713" s="20" t="e">
        <f>VLOOKUP(G713,MD!M$2:O$93,3,FALSE)</f>
        <v>#N/A</v>
      </c>
      <c r="K713" s="29"/>
      <c r="M713" s="22"/>
      <c r="U713" s="22"/>
    </row>
    <row r="714" spans="10:21">
      <c r="J714" s="20" t="e">
        <f>VLOOKUP(G714,MD!M$2:O$93,3,FALSE)</f>
        <v>#N/A</v>
      </c>
      <c r="K714" s="29"/>
      <c r="M714" s="22"/>
      <c r="U714" s="22"/>
    </row>
    <row r="715" spans="10:21">
      <c r="J715" s="20" t="e">
        <f>VLOOKUP(G715,MD!M$2:O$93,3,FALSE)</f>
        <v>#N/A</v>
      </c>
      <c r="K715" s="29"/>
      <c r="M715" s="22"/>
      <c r="U715" s="22"/>
    </row>
    <row r="716" spans="10:21">
      <c r="J716" s="20" t="e">
        <f>VLOOKUP(G716,MD!M$2:O$93,3,FALSE)</f>
        <v>#N/A</v>
      </c>
      <c r="K716" s="29"/>
      <c r="M716" s="22"/>
      <c r="U716" s="22"/>
    </row>
    <row r="717" spans="10:21">
      <c r="J717" s="20" t="e">
        <f>VLOOKUP(G717,MD!M$2:O$93,3,FALSE)</f>
        <v>#N/A</v>
      </c>
      <c r="K717" s="29"/>
      <c r="M717" s="22"/>
      <c r="U717" s="22"/>
    </row>
    <row r="718" spans="10:21">
      <c r="J718" s="20" t="e">
        <f>VLOOKUP(G718,MD!M$2:O$93,3,FALSE)</f>
        <v>#N/A</v>
      </c>
      <c r="K718" s="29"/>
      <c r="M718" s="22"/>
      <c r="U718" s="22"/>
    </row>
    <row r="719" spans="10:21">
      <c r="J719" s="20" t="e">
        <f>VLOOKUP(G719,MD!M$2:O$93,3,FALSE)</f>
        <v>#N/A</v>
      </c>
      <c r="K719" s="29"/>
      <c r="M719" s="22"/>
      <c r="U719" s="22"/>
    </row>
    <row r="720" spans="10:21">
      <c r="J720" s="20" t="e">
        <f>VLOOKUP(G720,MD!M$2:O$93,3,FALSE)</f>
        <v>#N/A</v>
      </c>
      <c r="K720" s="29"/>
      <c r="M720" s="22"/>
      <c r="U720" s="22"/>
    </row>
    <row r="721" spans="10:21">
      <c r="J721" s="20" t="e">
        <f>VLOOKUP(G721,MD!M$2:O$93,3,FALSE)</f>
        <v>#N/A</v>
      </c>
      <c r="K721" s="29"/>
      <c r="M721" s="22"/>
      <c r="U721" s="22"/>
    </row>
    <row r="722" spans="10:21">
      <c r="J722" s="20" t="e">
        <f>VLOOKUP(G722,MD!M$2:O$93,3,FALSE)</f>
        <v>#N/A</v>
      </c>
      <c r="K722" s="29"/>
      <c r="M722" s="22"/>
      <c r="U722" s="22"/>
    </row>
    <row r="723" spans="10:21">
      <c r="J723" s="20" t="e">
        <f>VLOOKUP(G723,MD!M$2:O$93,3,FALSE)</f>
        <v>#N/A</v>
      </c>
      <c r="K723" s="29"/>
      <c r="M723" s="22"/>
      <c r="U723" s="22"/>
    </row>
    <row r="724" spans="10:21">
      <c r="J724" s="20" t="e">
        <f>VLOOKUP(G724,MD!M$2:O$93,3,FALSE)</f>
        <v>#N/A</v>
      </c>
      <c r="K724" s="29"/>
      <c r="M724" s="22"/>
      <c r="U724" s="22"/>
    </row>
    <row r="725" spans="10:21">
      <c r="J725" s="20" t="e">
        <f>VLOOKUP(G725,MD!M$2:O$93,3,FALSE)</f>
        <v>#N/A</v>
      </c>
      <c r="K725" s="29"/>
      <c r="M725" s="22"/>
      <c r="U725" s="22"/>
    </row>
    <row r="726" spans="10:21">
      <c r="J726" s="20" t="e">
        <f>VLOOKUP(G726,MD!M$2:O$93,3,FALSE)</f>
        <v>#N/A</v>
      </c>
      <c r="K726" s="29"/>
      <c r="M726" s="22"/>
      <c r="U726" s="22"/>
    </row>
    <row r="727" spans="10:21">
      <c r="J727" s="20" t="e">
        <f>VLOOKUP(G727,MD!M$2:O$93,3,FALSE)</f>
        <v>#N/A</v>
      </c>
      <c r="K727" s="29"/>
      <c r="M727" s="22"/>
      <c r="U727" s="22"/>
    </row>
    <row r="728" spans="10:21">
      <c r="J728" s="20" t="e">
        <f>VLOOKUP(G728,MD!M$2:O$93,3,FALSE)</f>
        <v>#N/A</v>
      </c>
      <c r="K728" s="29"/>
      <c r="M728" s="22"/>
      <c r="U728" s="22"/>
    </row>
    <row r="729" spans="10:21">
      <c r="J729" s="20" t="e">
        <f>VLOOKUP(G729,MD!M$2:O$93,3,FALSE)</f>
        <v>#N/A</v>
      </c>
      <c r="K729" s="29"/>
      <c r="M729" s="22"/>
      <c r="U729" s="22"/>
    </row>
    <row r="730" spans="10:21">
      <c r="J730" s="20" t="e">
        <f>VLOOKUP(G730,MD!M$2:O$93,3,FALSE)</f>
        <v>#N/A</v>
      </c>
      <c r="K730" s="29"/>
      <c r="M730" s="22"/>
      <c r="U730" s="22"/>
    </row>
    <row r="731" spans="10:21">
      <c r="J731" s="20" t="e">
        <f>VLOOKUP(G731,MD!M$2:O$93,3,FALSE)</f>
        <v>#N/A</v>
      </c>
      <c r="K731" s="29"/>
      <c r="M731" s="22"/>
      <c r="U731" s="22"/>
    </row>
    <row r="732" spans="10:21">
      <c r="J732" s="20" t="e">
        <f>VLOOKUP(G732,MD!M$2:O$93,3,FALSE)</f>
        <v>#N/A</v>
      </c>
      <c r="K732" s="29"/>
      <c r="M732" s="22"/>
      <c r="U732" s="22"/>
    </row>
    <row r="733" spans="10:21">
      <c r="J733" s="20" t="e">
        <f>VLOOKUP(G733,MD!M$2:O$93,3,FALSE)</f>
        <v>#N/A</v>
      </c>
      <c r="K733" s="29"/>
      <c r="M733" s="22"/>
      <c r="U733" s="22"/>
    </row>
    <row r="734" spans="10:21">
      <c r="J734" s="20" t="e">
        <f>VLOOKUP(G734,MD!M$2:O$93,3,FALSE)</f>
        <v>#N/A</v>
      </c>
      <c r="K734" s="29"/>
      <c r="M734" s="22"/>
      <c r="U734" s="22"/>
    </row>
    <row r="735" spans="10:21">
      <c r="J735" s="20" t="e">
        <f>VLOOKUP(G735,MD!M$2:O$93,3,FALSE)</f>
        <v>#N/A</v>
      </c>
      <c r="K735" s="29"/>
      <c r="M735" s="22"/>
      <c r="U735" s="22"/>
    </row>
    <row r="736" spans="10:21">
      <c r="J736" s="20" t="e">
        <f>VLOOKUP(G736,MD!M$2:O$93,3,FALSE)</f>
        <v>#N/A</v>
      </c>
      <c r="K736" s="29"/>
      <c r="M736" s="22"/>
      <c r="U736" s="22"/>
    </row>
    <row r="737" spans="10:21">
      <c r="J737" s="20" t="e">
        <f>VLOOKUP(G737,MD!M$2:O$93,3,FALSE)</f>
        <v>#N/A</v>
      </c>
      <c r="K737" s="29"/>
      <c r="M737" s="22"/>
      <c r="U737" s="22"/>
    </row>
    <row r="738" spans="10:21">
      <c r="J738" s="20" t="e">
        <f>VLOOKUP(G738,MD!M$2:O$93,3,FALSE)</f>
        <v>#N/A</v>
      </c>
      <c r="K738" s="29"/>
      <c r="M738" s="22"/>
      <c r="U738" s="22"/>
    </row>
    <row r="739" spans="10:21">
      <c r="J739" s="20" t="e">
        <f>VLOOKUP(G739,MD!M$2:O$93,3,FALSE)</f>
        <v>#N/A</v>
      </c>
      <c r="K739" s="29"/>
      <c r="M739" s="22"/>
      <c r="U739" s="22"/>
    </row>
    <row r="740" spans="10:21">
      <c r="J740" s="20" t="e">
        <f>VLOOKUP(G740,MD!M$2:O$93,3,FALSE)</f>
        <v>#N/A</v>
      </c>
      <c r="K740" s="29"/>
      <c r="M740" s="22"/>
      <c r="U740" s="22"/>
    </row>
    <row r="741" spans="10:21">
      <c r="J741" s="20" t="e">
        <f>VLOOKUP(G741,MD!M$2:O$93,3,FALSE)</f>
        <v>#N/A</v>
      </c>
      <c r="K741" s="29"/>
      <c r="M741" s="22"/>
      <c r="U741" s="22"/>
    </row>
    <row r="742" spans="10:21">
      <c r="J742" s="20" t="e">
        <f>VLOOKUP(G742,MD!M$2:O$93,3,FALSE)</f>
        <v>#N/A</v>
      </c>
      <c r="K742" s="29"/>
      <c r="M742" s="22"/>
      <c r="U742" s="22"/>
    </row>
    <row r="743" spans="10:21">
      <c r="J743" s="20" t="e">
        <f>VLOOKUP(G743,MD!M$2:O$93,3,FALSE)</f>
        <v>#N/A</v>
      </c>
      <c r="K743" s="29"/>
      <c r="M743" s="22"/>
      <c r="U743" s="22"/>
    </row>
    <row r="744" spans="10:21">
      <c r="J744" s="20" t="e">
        <f>VLOOKUP(G744,MD!M$2:O$93,3,FALSE)</f>
        <v>#N/A</v>
      </c>
      <c r="K744" s="29"/>
      <c r="M744" s="22"/>
      <c r="U744" s="22"/>
    </row>
    <row r="745" spans="10:21">
      <c r="J745" s="20" t="e">
        <f>VLOOKUP(G745,MD!M$2:O$93,3,FALSE)</f>
        <v>#N/A</v>
      </c>
      <c r="K745" s="29"/>
      <c r="M745" s="22"/>
      <c r="U745" s="22"/>
    </row>
    <row r="746" spans="10:21">
      <c r="J746" s="20" t="e">
        <f>VLOOKUP(G746,MD!M$2:O$93,3,FALSE)</f>
        <v>#N/A</v>
      </c>
      <c r="K746" s="29"/>
      <c r="M746" s="22"/>
      <c r="U746" s="22"/>
    </row>
    <row r="747" spans="10:21">
      <c r="J747" s="20" t="e">
        <f>VLOOKUP(G747,MD!M$2:O$93,3,FALSE)</f>
        <v>#N/A</v>
      </c>
      <c r="K747" s="29"/>
      <c r="M747" s="22"/>
      <c r="U747" s="22"/>
    </row>
    <row r="748" spans="10:21">
      <c r="J748" s="20" t="e">
        <f>VLOOKUP(G748,MD!M$2:O$93,3,FALSE)</f>
        <v>#N/A</v>
      </c>
      <c r="K748" s="29"/>
      <c r="M748" s="22"/>
      <c r="U748" s="22"/>
    </row>
    <row r="749" spans="10:21">
      <c r="J749" s="20" t="e">
        <f>VLOOKUP(G749,MD!M$2:O$93,3,FALSE)</f>
        <v>#N/A</v>
      </c>
      <c r="K749" s="29"/>
      <c r="M749" s="22"/>
      <c r="U749" s="22"/>
    </row>
    <row r="750" spans="10:21">
      <c r="J750" s="20" t="e">
        <f>VLOOKUP(G750,MD!M$2:O$93,3,FALSE)</f>
        <v>#N/A</v>
      </c>
      <c r="K750" s="29"/>
      <c r="M750" s="22"/>
      <c r="U750" s="22"/>
    </row>
    <row r="751" spans="10:21">
      <c r="J751" s="20" t="e">
        <f>VLOOKUP(G751,MD!M$2:O$93,3,FALSE)</f>
        <v>#N/A</v>
      </c>
      <c r="K751" s="29"/>
      <c r="M751" s="22"/>
      <c r="U751" s="22"/>
    </row>
    <row r="752" spans="10:21">
      <c r="J752" s="20" t="e">
        <f>VLOOKUP(G752,MD!M$2:O$93,3,FALSE)</f>
        <v>#N/A</v>
      </c>
      <c r="K752" s="29"/>
      <c r="M752" s="22"/>
      <c r="U752" s="22"/>
    </row>
    <row r="753" spans="10:21">
      <c r="J753" s="20" t="e">
        <f>VLOOKUP(G753,MD!M$2:O$93,3,FALSE)</f>
        <v>#N/A</v>
      </c>
      <c r="K753" s="29"/>
      <c r="M753" s="22"/>
      <c r="U753" s="22"/>
    </row>
    <row r="754" spans="10:21">
      <c r="J754" s="20" t="e">
        <f>VLOOKUP(G754,MD!M$2:O$93,3,FALSE)</f>
        <v>#N/A</v>
      </c>
      <c r="K754" s="29"/>
      <c r="M754" s="22"/>
      <c r="U754" s="22"/>
    </row>
    <row r="755" spans="10:21">
      <c r="J755" s="20" t="e">
        <f>VLOOKUP(G755,MD!M$2:O$93,3,FALSE)</f>
        <v>#N/A</v>
      </c>
      <c r="K755" s="29"/>
      <c r="M755" s="22"/>
      <c r="U755" s="22"/>
    </row>
    <row r="756" spans="10:21">
      <c r="J756" s="20" t="e">
        <f>VLOOKUP(G756,MD!M$2:O$93,3,FALSE)</f>
        <v>#N/A</v>
      </c>
      <c r="K756" s="29"/>
      <c r="M756" s="22"/>
      <c r="U756" s="22"/>
    </row>
    <row r="757" spans="10:21">
      <c r="J757" s="20" t="e">
        <f>VLOOKUP(G757,MD!M$2:O$93,3,FALSE)</f>
        <v>#N/A</v>
      </c>
      <c r="K757" s="29"/>
      <c r="M757" s="22"/>
      <c r="U757" s="22"/>
    </row>
    <row r="758" spans="10:21">
      <c r="J758" s="20" t="e">
        <f>VLOOKUP(G758,MD!M$2:O$93,3,FALSE)</f>
        <v>#N/A</v>
      </c>
      <c r="K758" s="29"/>
      <c r="M758" s="22"/>
      <c r="U758" s="22"/>
    </row>
    <row r="759" spans="10:21">
      <c r="J759" s="20" t="e">
        <f>VLOOKUP(G759,MD!M$2:O$93,3,FALSE)</f>
        <v>#N/A</v>
      </c>
      <c r="K759" s="29"/>
      <c r="M759" s="22"/>
      <c r="U759" s="22"/>
    </row>
    <row r="760" spans="10:21">
      <c r="J760" s="20" t="e">
        <f>VLOOKUP(G760,MD!M$2:O$93,3,FALSE)</f>
        <v>#N/A</v>
      </c>
      <c r="K760" s="29"/>
      <c r="M760" s="22"/>
      <c r="U760" s="22"/>
    </row>
    <row r="761" spans="10:21">
      <c r="J761" s="20" t="e">
        <f>VLOOKUP(G761,MD!M$2:O$93,3,FALSE)</f>
        <v>#N/A</v>
      </c>
      <c r="K761" s="29"/>
      <c r="M761" s="22"/>
      <c r="U761" s="22"/>
    </row>
    <row r="762" spans="10:21">
      <c r="J762" s="20" t="e">
        <f>VLOOKUP(G762,MD!M$2:O$93,3,FALSE)</f>
        <v>#N/A</v>
      </c>
      <c r="K762" s="29"/>
      <c r="M762" s="22"/>
      <c r="U762" s="22"/>
    </row>
    <row r="763" spans="10:21">
      <c r="J763" s="20" t="e">
        <f>VLOOKUP(G763,MD!M$2:O$93,3,FALSE)</f>
        <v>#N/A</v>
      </c>
      <c r="K763" s="29"/>
      <c r="M763" s="22"/>
      <c r="U763" s="22"/>
    </row>
    <row r="764" spans="10:21">
      <c r="J764" s="20" t="e">
        <f>VLOOKUP(G764,MD!M$2:O$93,3,FALSE)</f>
        <v>#N/A</v>
      </c>
      <c r="K764" s="29"/>
      <c r="M764" s="22"/>
      <c r="U764" s="22"/>
    </row>
    <row r="765" spans="10:21">
      <c r="J765" s="20" t="e">
        <f>VLOOKUP(G765,MD!M$2:O$93,3,FALSE)</f>
        <v>#N/A</v>
      </c>
      <c r="K765" s="29"/>
      <c r="M765" s="22"/>
      <c r="U765" s="22"/>
    </row>
    <row r="766" spans="10:21">
      <c r="J766" s="20" t="e">
        <f>VLOOKUP(G766,MD!M$2:O$93,3,FALSE)</f>
        <v>#N/A</v>
      </c>
      <c r="K766" s="29"/>
      <c r="M766" s="22"/>
      <c r="U766" s="22"/>
    </row>
    <row r="767" spans="10:21">
      <c r="J767" s="20" t="e">
        <f>VLOOKUP(G767,MD!M$2:O$93,3,FALSE)</f>
        <v>#N/A</v>
      </c>
      <c r="K767" s="29"/>
      <c r="M767" s="22"/>
      <c r="U767" s="22"/>
    </row>
    <row r="768" spans="10:21">
      <c r="J768" s="20" t="e">
        <f>VLOOKUP(G768,MD!M$2:O$93,3,FALSE)</f>
        <v>#N/A</v>
      </c>
      <c r="K768" s="29"/>
      <c r="M768" s="22"/>
      <c r="U768" s="22"/>
    </row>
    <row r="769" spans="10:21">
      <c r="J769" s="20" t="e">
        <f>VLOOKUP(G769,MD!M$2:O$93,3,FALSE)</f>
        <v>#N/A</v>
      </c>
      <c r="K769" s="29"/>
      <c r="M769" s="22"/>
      <c r="U769" s="22"/>
    </row>
    <row r="770" spans="10:21">
      <c r="J770" s="20" t="e">
        <f>VLOOKUP(G770,MD!M$2:O$93,3,FALSE)</f>
        <v>#N/A</v>
      </c>
      <c r="K770" s="29"/>
      <c r="M770" s="22"/>
      <c r="U770" s="22"/>
    </row>
    <row r="771" spans="10:21">
      <c r="J771" s="20" t="e">
        <f>VLOOKUP(G771,MD!M$2:O$93,3,FALSE)</f>
        <v>#N/A</v>
      </c>
      <c r="K771" s="29"/>
      <c r="M771" s="22"/>
      <c r="U771" s="22"/>
    </row>
    <row r="772" spans="10:21">
      <c r="J772" s="20" t="e">
        <f>VLOOKUP(G772,MD!M$2:O$93,3,FALSE)</f>
        <v>#N/A</v>
      </c>
      <c r="K772" s="29"/>
      <c r="M772" s="22"/>
      <c r="U772" s="22"/>
    </row>
    <row r="773" spans="10:21">
      <c r="J773" s="20" t="e">
        <f>VLOOKUP(G773,MD!M$2:O$93,3,FALSE)</f>
        <v>#N/A</v>
      </c>
      <c r="K773" s="29"/>
      <c r="M773" s="22"/>
      <c r="U773" s="22"/>
    </row>
    <row r="774" spans="10:21">
      <c r="J774" s="20" t="e">
        <f>VLOOKUP(G774,MD!M$2:O$93,3,FALSE)</f>
        <v>#N/A</v>
      </c>
      <c r="K774" s="29"/>
      <c r="M774" s="22"/>
      <c r="U774" s="22"/>
    </row>
    <row r="775" spans="10:21">
      <c r="J775" s="20" t="e">
        <f>VLOOKUP(G775,MD!M$2:O$93,3,FALSE)</f>
        <v>#N/A</v>
      </c>
      <c r="K775" s="29"/>
      <c r="M775" s="22"/>
      <c r="U775" s="22"/>
    </row>
    <row r="776" spans="10:21">
      <c r="J776" s="20" t="e">
        <f>VLOOKUP(G776,MD!M$2:O$93,3,FALSE)</f>
        <v>#N/A</v>
      </c>
      <c r="K776" s="29"/>
      <c r="M776" s="22"/>
      <c r="U776" s="22"/>
    </row>
    <row r="777" spans="10:21">
      <c r="J777" s="20" t="e">
        <f>VLOOKUP(G777,MD!M$2:O$93,3,FALSE)</f>
        <v>#N/A</v>
      </c>
      <c r="K777" s="29"/>
      <c r="M777" s="22"/>
      <c r="U777" s="22"/>
    </row>
    <row r="778" spans="10:21">
      <c r="J778" s="20" t="e">
        <f>VLOOKUP(G778,MD!M$2:O$93,3,FALSE)</f>
        <v>#N/A</v>
      </c>
      <c r="K778" s="29"/>
      <c r="M778" s="22"/>
      <c r="U778" s="22"/>
    </row>
    <row r="779" spans="10:21">
      <c r="J779" s="20" t="e">
        <f>VLOOKUP(G779,MD!M$2:O$93,3,FALSE)</f>
        <v>#N/A</v>
      </c>
      <c r="K779" s="29"/>
      <c r="M779" s="22"/>
      <c r="U779" s="22"/>
    </row>
    <row r="780" spans="10:21">
      <c r="J780" s="20" t="e">
        <f>VLOOKUP(G780,MD!M$2:O$93,3,FALSE)</f>
        <v>#N/A</v>
      </c>
      <c r="K780" s="29"/>
      <c r="M780" s="22"/>
      <c r="U780" s="22"/>
    </row>
    <row r="781" spans="10:21">
      <c r="J781" s="20" t="e">
        <f>VLOOKUP(G781,MD!M$2:O$93,3,FALSE)</f>
        <v>#N/A</v>
      </c>
      <c r="K781" s="29"/>
      <c r="M781" s="22"/>
      <c r="U781" s="22"/>
    </row>
    <row r="782" spans="10:21">
      <c r="J782" s="20" t="e">
        <f>VLOOKUP(G782,MD!M$2:O$93,3,FALSE)</f>
        <v>#N/A</v>
      </c>
      <c r="K782" s="29"/>
      <c r="M782" s="22"/>
      <c r="U782" s="22"/>
    </row>
    <row r="783" spans="10:21">
      <c r="J783" s="20" t="e">
        <f>VLOOKUP(G783,MD!M$2:O$93,3,FALSE)</f>
        <v>#N/A</v>
      </c>
      <c r="K783" s="29"/>
      <c r="M783" s="22"/>
      <c r="U783" s="22"/>
    </row>
    <row r="784" spans="10:21">
      <c r="J784" s="20" t="e">
        <f>VLOOKUP(G784,MD!M$2:O$93,3,FALSE)</f>
        <v>#N/A</v>
      </c>
      <c r="K784" s="29"/>
      <c r="M784" s="22"/>
      <c r="U784" s="22"/>
    </row>
    <row r="785" spans="10:21">
      <c r="J785" s="20" t="e">
        <f>VLOOKUP(G785,MD!M$2:O$93,3,FALSE)</f>
        <v>#N/A</v>
      </c>
      <c r="K785" s="29"/>
      <c r="M785" s="22"/>
      <c r="U785" s="22"/>
    </row>
    <row r="786" spans="10:21">
      <c r="J786" s="20" t="e">
        <f>VLOOKUP(G786,MD!M$2:O$93,3,FALSE)</f>
        <v>#N/A</v>
      </c>
      <c r="K786" s="29"/>
      <c r="M786" s="22"/>
      <c r="U786" s="22"/>
    </row>
    <row r="787" spans="10:21">
      <c r="J787" s="20" t="e">
        <f>VLOOKUP(G787,MD!M$2:O$93,3,FALSE)</f>
        <v>#N/A</v>
      </c>
      <c r="K787" s="29"/>
      <c r="M787" s="22"/>
      <c r="U787" s="22"/>
    </row>
    <row r="788" spans="10:21">
      <c r="J788" s="20" t="e">
        <f>VLOOKUP(G788,MD!M$2:O$93,3,FALSE)</f>
        <v>#N/A</v>
      </c>
      <c r="K788" s="29"/>
      <c r="M788" s="22"/>
      <c r="U788" s="22"/>
    </row>
    <row r="789" spans="10:21">
      <c r="J789" s="20" t="e">
        <f>VLOOKUP(G789,MD!M$2:O$93,3,FALSE)</f>
        <v>#N/A</v>
      </c>
      <c r="K789" s="29"/>
      <c r="M789" s="22"/>
      <c r="U789" s="22"/>
    </row>
    <row r="790" spans="10:21">
      <c r="J790" s="20" t="e">
        <f>VLOOKUP(G790,MD!M$2:O$93,3,FALSE)</f>
        <v>#N/A</v>
      </c>
      <c r="K790" s="29"/>
      <c r="M790" s="22"/>
      <c r="U790" s="22"/>
    </row>
    <row r="791" spans="10:21">
      <c r="J791" s="20" t="e">
        <f>VLOOKUP(G791,MD!M$2:O$93,3,FALSE)</f>
        <v>#N/A</v>
      </c>
      <c r="K791" s="29"/>
      <c r="M791" s="22"/>
      <c r="U791" s="22"/>
    </row>
    <row r="792" spans="10:21">
      <c r="J792" s="20" t="e">
        <f>VLOOKUP(G792,MD!M$2:O$93,3,FALSE)</f>
        <v>#N/A</v>
      </c>
      <c r="K792" s="29"/>
      <c r="M792" s="22"/>
      <c r="U792" s="22"/>
    </row>
    <row r="793" spans="10:21">
      <c r="J793" s="20" t="e">
        <f>VLOOKUP(G793,MD!M$2:O$93,3,FALSE)</f>
        <v>#N/A</v>
      </c>
      <c r="K793" s="29"/>
      <c r="M793" s="22"/>
      <c r="U793" s="22"/>
    </row>
    <row r="794" spans="10:21">
      <c r="J794" s="20" t="e">
        <f>VLOOKUP(G794,MD!M$2:O$93,3,FALSE)</f>
        <v>#N/A</v>
      </c>
      <c r="K794" s="29"/>
      <c r="M794" s="22"/>
      <c r="U794" s="22"/>
    </row>
    <row r="795" spans="10:21">
      <c r="J795" s="20" t="e">
        <f>VLOOKUP(G795,MD!M$2:O$93,3,FALSE)</f>
        <v>#N/A</v>
      </c>
      <c r="K795" s="29"/>
      <c r="M795" s="22"/>
      <c r="U795" s="22"/>
    </row>
    <row r="796" spans="10:21">
      <c r="J796" s="20" t="e">
        <f>VLOOKUP(G796,MD!M$2:O$93,3,FALSE)</f>
        <v>#N/A</v>
      </c>
      <c r="K796" s="29"/>
      <c r="M796" s="22"/>
      <c r="U796" s="22"/>
    </row>
    <row r="797" spans="10:21">
      <c r="J797" s="20" t="e">
        <f>VLOOKUP(G797,MD!M$2:O$93,3,FALSE)</f>
        <v>#N/A</v>
      </c>
      <c r="K797" s="29"/>
      <c r="M797" s="22"/>
      <c r="U797" s="22"/>
    </row>
    <row r="798" spans="10:21">
      <c r="J798" s="20" t="e">
        <f>VLOOKUP(G798,MD!M$2:O$93,3,FALSE)</f>
        <v>#N/A</v>
      </c>
      <c r="K798" s="29"/>
      <c r="M798" s="22"/>
      <c r="U798" s="22"/>
    </row>
    <row r="799" spans="10:21">
      <c r="J799" s="20" t="e">
        <f>VLOOKUP(G799,MD!M$2:O$93,3,FALSE)</f>
        <v>#N/A</v>
      </c>
      <c r="K799" s="29"/>
      <c r="M799" s="22"/>
      <c r="U799" s="22"/>
    </row>
    <row r="800" spans="10:21">
      <c r="J800" s="20" t="e">
        <f>VLOOKUP(G800,MD!M$2:O$93,3,FALSE)</f>
        <v>#N/A</v>
      </c>
      <c r="K800" s="29"/>
      <c r="M800" s="22"/>
      <c r="U800" s="22"/>
    </row>
    <row r="801" spans="10:21">
      <c r="J801" s="20" t="e">
        <f>VLOOKUP(G801,MD!M$2:O$93,3,FALSE)</f>
        <v>#N/A</v>
      </c>
      <c r="K801" s="29"/>
      <c r="M801" s="22"/>
      <c r="U801" s="22"/>
    </row>
    <row r="802" spans="10:21">
      <c r="J802" s="20" t="e">
        <f>VLOOKUP(G802,MD!M$2:O$93,3,FALSE)</f>
        <v>#N/A</v>
      </c>
      <c r="K802" s="29"/>
      <c r="M802" s="22"/>
      <c r="U802" s="22"/>
    </row>
    <row r="803" spans="10:21">
      <c r="J803" s="20" t="e">
        <f>VLOOKUP(G803,MD!M$2:O$93,3,FALSE)</f>
        <v>#N/A</v>
      </c>
      <c r="K803" s="29"/>
      <c r="M803" s="22"/>
      <c r="U803" s="22"/>
    </row>
    <row r="804" spans="10:21">
      <c r="J804" s="20" t="e">
        <f>VLOOKUP(G804,MD!M$2:O$93,3,FALSE)</f>
        <v>#N/A</v>
      </c>
      <c r="K804" s="29"/>
      <c r="M804" s="22"/>
      <c r="U804" s="22"/>
    </row>
    <row r="805" spans="10:21">
      <c r="J805" s="20" t="e">
        <f>VLOOKUP(G805,MD!M$2:O$93,3,FALSE)</f>
        <v>#N/A</v>
      </c>
      <c r="K805" s="29"/>
      <c r="M805" s="22"/>
      <c r="U805" s="22"/>
    </row>
    <row r="806" spans="10:21">
      <c r="J806" s="20" t="e">
        <f>VLOOKUP(G806,MD!M$2:O$93,3,FALSE)</f>
        <v>#N/A</v>
      </c>
      <c r="K806" s="29"/>
      <c r="M806" s="22"/>
      <c r="U806" s="22"/>
    </row>
    <row r="807" spans="10:21">
      <c r="J807" s="20" t="e">
        <f>VLOOKUP(G807,MD!M$2:O$93,3,FALSE)</f>
        <v>#N/A</v>
      </c>
      <c r="K807" s="29"/>
      <c r="M807" s="22"/>
      <c r="U807" s="22"/>
    </row>
    <row r="808" spans="10:21">
      <c r="J808" s="20" t="e">
        <f>VLOOKUP(G808,MD!M$2:O$93,3,FALSE)</f>
        <v>#N/A</v>
      </c>
      <c r="K808" s="29"/>
      <c r="M808" s="22"/>
      <c r="U808" s="22"/>
    </row>
    <row r="809" spans="10:21">
      <c r="J809" s="20" t="e">
        <f>VLOOKUP(G809,MD!M$2:O$93,3,FALSE)</f>
        <v>#N/A</v>
      </c>
      <c r="K809" s="29"/>
      <c r="M809" s="22"/>
      <c r="U809" s="22"/>
    </row>
    <row r="810" spans="10:21">
      <c r="J810" s="20" t="e">
        <f>VLOOKUP(G810,MD!M$2:O$93,3,FALSE)</f>
        <v>#N/A</v>
      </c>
      <c r="K810" s="29"/>
      <c r="M810" s="22"/>
      <c r="U810" s="22"/>
    </row>
    <row r="811" spans="10:21">
      <c r="J811" s="20" t="e">
        <f>VLOOKUP(G811,MD!M$2:O$93,3,FALSE)</f>
        <v>#N/A</v>
      </c>
      <c r="K811" s="29"/>
      <c r="M811" s="22"/>
      <c r="U811" s="22"/>
    </row>
    <row r="812" spans="10:21">
      <c r="J812" s="20" t="e">
        <f>VLOOKUP(G812,MD!M$2:O$93,3,FALSE)</f>
        <v>#N/A</v>
      </c>
      <c r="K812" s="29"/>
      <c r="M812" s="22"/>
      <c r="U812" s="22"/>
    </row>
    <row r="813" spans="10:21">
      <c r="J813" s="20" t="e">
        <f>VLOOKUP(G813,MD!M$2:O$93,3,FALSE)</f>
        <v>#N/A</v>
      </c>
      <c r="K813" s="29"/>
      <c r="M813" s="22"/>
      <c r="U813" s="22"/>
    </row>
    <row r="814" spans="10:21">
      <c r="J814" s="20" t="e">
        <f>VLOOKUP(G814,MD!M$2:O$93,3,FALSE)</f>
        <v>#N/A</v>
      </c>
      <c r="K814" s="29"/>
      <c r="M814" s="22"/>
      <c r="U814" s="22"/>
    </row>
    <row r="815" spans="10:21">
      <c r="J815" s="20" t="e">
        <f>VLOOKUP(G815,MD!M$2:O$93,3,FALSE)</f>
        <v>#N/A</v>
      </c>
      <c r="K815" s="29"/>
      <c r="M815" s="22"/>
      <c r="U815" s="22"/>
    </row>
    <row r="816" spans="10:21">
      <c r="J816" s="20" t="e">
        <f>VLOOKUP(G816,MD!M$2:O$93,3,FALSE)</f>
        <v>#N/A</v>
      </c>
      <c r="K816" s="29"/>
      <c r="M816" s="22"/>
      <c r="U816" s="22"/>
    </row>
    <row r="817" spans="10:21">
      <c r="J817" s="20" t="e">
        <f>VLOOKUP(G817,MD!M$2:O$93,3,FALSE)</f>
        <v>#N/A</v>
      </c>
      <c r="K817" s="29"/>
      <c r="M817" s="22"/>
      <c r="U817" s="22"/>
    </row>
    <row r="818" spans="10:21">
      <c r="J818" s="20" t="e">
        <f>VLOOKUP(G818,MD!M$2:O$93,3,FALSE)</f>
        <v>#N/A</v>
      </c>
      <c r="K818" s="29"/>
      <c r="M818" s="22"/>
      <c r="U818" s="22"/>
    </row>
    <row r="819" spans="10:21">
      <c r="J819" s="20" t="e">
        <f>VLOOKUP(G819,MD!M$2:O$93,3,FALSE)</f>
        <v>#N/A</v>
      </c>
      <c r="K819" s="29"/>
      <c r="M819" s="22"/>
      <c r="U819" s="22"/>
    </row>
    <row r="820" spans="10:21">
      <c r="J820" s="20" t="e">
        <f>VLOOKUP(G820,MD!M$2:O$93,3,FALSE)</f>
        <v>#N/A</v>
      </c>
      <c r="K820" s="29"/>
      <c r="M820" s="22"/>
      <c r="U820" s="22"/>
    </row>
    <row r="821" spans="10:21">
      <c r="J821" s="20" t="e">
        <f>VLOOKUP(G821,MD!M$2:O$93,3,FALSE)</f>
        <v>#N/A</v>
      </c>
      <c r="K821" s="29"/>
      <c r="M821" s="22"/>
      <c r="U821" s="22"/>
    </row>
    <row r="822" spans="10:21">
      <c r="J822" s="20" t="e">
        <f>VLOOKUP(G822,MD!M$2:O$93,3,FALSE)</f>
        <v>#N/A</v>
      </c>
      <c r="K822" s="29"/>
      <c r="M822" s="22"/>
      <c r="U822" s="22"/>
    </row>
    <row r="823" spans="10:21">
      <c r="J823" s="20" t="e">
        <f>VLOOKUP(G823,MD!M$2:O$93,3,FALSE)</f>
        <v>#N/A</v>
      </c>
      <c r="K823" s="29"/>
      <c r="M823" s="22"/>
      <c r="U823" s="22"/>
    </row>
    <row r="824" spans="10:21">
      <c r="J824" s="20" t="e">
        <f>VLOOKUP(G824,MD!M$2:O$93,3,FALSE)</f>
        <v>#N/A</v>
      </c>
      <c r="K824" s="29"/>
      <c r="M824" s="22"/>
      <c r="U824" s="22"/>
    </row>
    <row r="825" spans="10:21">
      <c r="J825" s="20" t="e">
        <f>VLOOKUP(G825,MD!M$2:O$93,3,FALSE)</f>
        <v>#N/A</v>
      </c>
      <c r="K825" s="29"/>
      <c r="M825" s="22"/>
      <c r="U825" s="22"/>
    </row>
    <row r="826" spans="10:21">
      <c r="J826" s="20" t="e">
        <f>VLOOKUP(G826,MD!M$2:O$93,3,FALSE)</f>
        <v>#N/A</v>
      </c>
      <c r="K826" s="29"/>
      <c r="M826" s="22"/>
      <c r="U826" s="22"/>
    </row>
    <row r="827" spans="10:21">
      <c r="J827" s="20" t="e">
        <f>VLOOKUP(G827,MD!M$2:O$93,3,FALSE)</f>
        <v>#N/A</v>
      </c>
      <c r="K827" s="29"/>
      <c r="M827" s="22"/>
      <c r="U827" s="22"/>
    </row>
    <row r="828" spans="10:21">
      <c r="J828" s="20" t="e">
        <f>VLOOKUP(G828,MD!M$2:O$93,3,FALSE)</f>
        <v>#N/A</v>
      </c>
      <c r="K828" s="29"/>
      <c r="M828" s="22"/>
      <c r="U828" s="22"/>
    </row>
    <row r="829" spans="10:21">
      <c r="J829" s="20" t="e">
        <f>VLOOKUP(G829,MD!M$2:O$93,3,FALSE)</f>
        <v>#N/A</v>
      </c>
      <c r="K829" s="29"/>
      <c r="M829" s="22"/>
      <c r="U829" s="22"/>
    </row>
    <row r="830" spans="10:21">
      <c r="J830" s="20" t="e">
        <f>VLOOKUP(G830,MD!M$2:O$93,3,FALSE)</f>
        <v>#N/A</v>
      </c>
      <c r="K830" s="29"/>
      <c r="M830" s="22"/>
      <c r="U830" s="22"/>
    </row>
    <row r="831" spans="10:21">
      <c r="J831" s="20" t="e">
        <f>VLOOKUP(G831,MD!M$2:O$93,3,FALSE)</f>
        <v>#N/A</v>
      </c>
      <c r="K831" s="29"/>
      <c r="M831" s="22"/>
      <c r="U831" s="22"/>
    </row>
    <row r="832" spans="10:21">
      <c r="J832" s="20" t="e">
        <f>VLOOKUP(G832,MD!M$2:O$93,3,FALSE)</f>
        <v>#N/A</v>
      </c>
      <c r="K832" s="29"/>
      <c r="M832" s="22"/>
      <c r="U832" s="22"/>
    </row>
    <row r="833" spans="10:21">
      <c r="J833" s="20" t="e">
        <f>VLOOKUP(G833,MD!M$2:O$93,3,FALSE)</f>
        <v>#N/A</v>
      </c>
      <c r="K833" s="29"/>
      <c r="M833" s="22"/>
      <c r="U833" s="22"/>
    </row>
    <row r="834" spans="10:21">
      <c r="J834" s="20" t="e">
        <f>VLOOKUP(G834,MD!M$2:O$93,3,FALSE)</f>
        <v>#N/A</v>
      </c>
      <c r="K834" s="29"/>
      <c r="M834" s="22"/>
      <c r="U834" s="22"/>
    </row>
    <row r="835" spans="10:21">
      <c r="J835" s="20" t="e">
        <f>VLOOKUP(G835,MD!M$2:O$93,3,FALSE)</f>
        <v>#N/A</v>
      </c>
      <c r="K835" s="29"/>
      <c r="M835" s="22"/>
      <c r="U835" s="22"/>
    </row>
    <row r="836" spans="10:21">
      <c r="J836" s="20" t="e">
        <f>VLOOKUP(G836,MD!M$2:O$93,3,FALSE)</f>
        <v>#N/A</v>
      </c>
      <c r="K836" s="29"/>
      <c r="M836" s="22"/>
      <c r="U836" s="22"/>
    </row>
    <row r="837" spans="10:21">
      <c r="J837" s="20" t="e">
        <f>VLOOKUP(G837,MD!M$2:O$93,3,FALSE)</f>
        <v>#N/A</v>
      </c>
      <c r="K837" s="29"/>
      <c r="M837" s="22"/>
      <c r="U837" s="22"/>
    </row>
    <row r="838" spans="10:21">
      <c r="J838" s="20" t="e">
        <f>VLOOKUP(G838,MD!M$2:O$93,3,FALSE)</f>
        <v>#N/A</v>
      </c>
      <c r="K838" s="29"/>
      <c r="M838" s="22"/>
      <c r="U838" s="22"/>
    </row>
    <row r="839" spans="10:21">
      <c r="J839" s="20" t="e">
        <f>VLOOKUP(G839,MD!M$2:O$93,3,FALSE)</f>
        <v>#N/A</v>
      </c>
      <c r="K839" s="29"/>
      <c r="M839" s="22"/>
      <c r="U839" s="22"/>
    </row>
    <row r="840" spans="10:21">
      <c r="J840" s="20" t="e">
        <f>VLOOKUP(G840,MD!M$2:O$93,3,FALSE)</f>
        <v>#N/A</v>
      </c>
      <c r="K840" s="29"/>
      <c r="M840" s="22"/>
      <c r="U840" s="22"/>
    </row>
    <row r="841" spans="10:21">
      <c r="J841" s="20" t="e">
        <f>VLOOKUP(G841,MD!M$2:O$93,3,FALSE)</f>
        <v>#N/A</v>
      </c>
      <c r="K841" s="29"/>
      <c r="M841" s="22"/>
      <c r="U841" s="22"/>
    </row>
    <row r="842" spans="10:21">
      <c r="J842" s="20" t="e">
        <f>VLOOKUP(G842,MD!M$2:O$93,3,FALSE)</f>
        <v>#N/A</v>
      </c>
      <c r="K842" s="29"/>
      <c r="M842" s="22"/>
      <c r="U842" s="22"/>
    </row>
    <row r="843" spans="10:21">
      <c r="J843" s="20" t="e">
        <f>VLOOKUP(G843,MD!M$2:O$93,3,FALSE)</f>
        <v>#N/A</v>
      </c>
      <c r="K843" s="29"/>
      <c r="M843" s="22"/>
      <c r="U843" s="22"/>
    </row>
    <row r="844" spans="10:21">
      <c r="J844" s="20" t="e">
        <f>VLOOKUP(G844,MD!M$2:O$93,3,FALSE)</f>
        <v>#N/A</v>
      </c>
      <c r="K844" s="29"/>
      <c r="M844" s="22"/>
      <c r="U844" s="22"/>
    </row>
    <row r="845" spans="10:21">
      <c r="J845" s="20" t="e">
        <f>VLOOKUP(G845,MD!M$2:O$93,3,FALSE)</f>
        <v>#N/A</v>
      </c>
      <c r="K845" s="29"/>
      <c r="M845" s="22"/>
      <c r="U845" s="22"/>
    </row>
    <row r="846" spans="10:21">
      <c r="J846" s="20" t="e">
        <f>VLOOKUP(G846,MD!M$2:O$93,3,FALSE)</f>
        <v>#N/A</v>
      </c>
      <c r="K846" s="29"/>
      <c r="M846" s="22"/>
      <c r="U846" s="22"/>
    </row>
    <row r="847" spans="10:21">
      <c r="J847" s="20" t="e">
        <f>VLOOKUP(G847,MD!M$2:O$93,3,FALSE)</f>
        <v>#N/A</v>
      </c>
      <c r="K847" s="29"/>
      <c r="M847" s="22"/>
      <c r="U847" s="22"/>
    </row>
    <row r="848" spans="10:21">
      <c r="J848" s="20" t="e">
        <f>VLOOKUP(G848,MD!M$2:O$93,3,FALSE)</f>
        <v>#N/A</v>
      </c>
      <c r="K848" s="29"/>
      <c r="M848" s="22"/>
      <c r="U848" s="22"/>
    </row>
    <row r="849" spans="10:21">
      <c r="J849" s="20" t="e">
        <f>VLOOKUP(G849,MD!M$2:O$93,3,FALSE)</f>
        <v>#N/A</v>
      </c>
      <c r="K849" s="29"/>
      <c r="M849" s="22"/>
      <c r="U849" s="22"/>
    </row>
    <row r="850" spans="10:21">
      <c r="J850" s="20" t="e">
        <f>VLOOKUP(G850,MD!M$2:O$93,3,FALSE)</f>
        <v>#N/A</v>
      </c>
      <c r="K850" s="29"/>
      <c r="M850" s="22"/>
      <c r="U850" s="22"/>
    </row>
    <row r="851" spans="10:21">
      <c r="J851" s="20" t="e">
        <f>VLOOKUP(G851,MD!M$2:O$93,3,FALSE)</f>
        <v>#N/A</v>
      </c>
      <c r="K851" s="29"/>
      <c r="M851" s="22"/>
      <c r="U851" s="22"/>
    </row>
    <row r="852" spans="10:21">
      <c r="J852" s="20" t="e">
        <f>VLOOKUP(G852,MD!M$2:O$93,3,FALSE)</f>
        <v>#N/A</v>
      </c>
      <c r="K852" s="29"/>
      <c r="M852" s="22"/>
      <c r="U852" s="22"/>
    </row>
    <row r="853" spans="10:21">
      <c r="J853" s="20" t="e">
        <f>VLOOKUP(G853,MD!M$2:O$93,3,FALSE)</f>
        <v>#N/A</v>
      </c>
      <c r="K853" s="29"/>
      <c r="M853" s="22"/>
      <c r="U853" s="22"/>
    </row>
    <row r="854" spans="10:21">
      <c r="J854" s="20" t="e">
        <f>VLOOKUP(G854,MD!M$2:O$93,3,FALSE)</f>
        <v>#N/A</v>
      </c>
      <c r="K854" s="29"/>
      <c r="M854" s="22"/>
      <c r="U854" s="22"/>
    </row>
    <row r="855" spans="10:21">
      <c r="J855" s="20" t="e">
        <f>VLOOKUP(G855,MD!M$2:O$93,3,FALSE)</f>
        <v>#N/A</v>
      </c>
      <c r="K855" s="29"/>
      <c r="M855" s="22"/>
      <c r="U855" s="22"/>
    </row>
    <row r="856" spans="10:21">
      <c r="J856" s="20" t="e">
        <f>VLOOKUP(G856,MD!M$2:O$93,3,FALSE)</f>
        <v>#N/A</v>
      </c>
      <c r="K856" s="29"/>
      <c r="M856" s="22"/>
      <c r="U856" s="22"/>
    </row>
    <row r="857" spans="10:21">
      <c r="J857" s="20" t="e">
        <f>VLOOKUP(G857,MD!M$2:O$93,3,FALSE)</f>
        <v>#N/A</v>
      </c>
      <c r="K857" s="29"/>
      <c r="M857" s="22"/>
      <c r="U857" s="22"/>
    </row>
    <row r="858" spans="10:21">
      <c r="J858" s="20" t="e">
        <f>VLOOKUP(G858,MD!M$2:O$93,3,FALSE)</f>
        <v>#N/A</v>
      </c>
      <c r="K858" s="29"/>
      <c r="M858" s="22"/>
      <c r="U858" s="22"/>
    </row>
    <row r="859" spans="10:21">
      <c r="J859" s="20" t="e">
        <f>VLOOKUP(G859,MD!M$2:O$93,3,FALSE)</f>
        <v>#N/A</v>
      </c>
      <c r="K859" s="29"/>
      <c r="M859" s="22"/>
      <c r="U859" s="22"/>
    </row>
    <row r="860" spans="10:21">
      <c r="J860" s="20" t="e">
        <f>VLOOKUP(G860,MD!M$2:O$93,3,FALSE)</f>
        <v>#N/A</v>
      </c>
      <c r="K860" s="29"/>
      <c r="M860" s="22"/>
      <c r="U860" s="22"/>
    </row>
    <row r="861" spans="10:21">
      <c r="J861" s="20" t="e">
        <f>VLOOKUP(G861,MD!M$2:O$93,3,FALSE)</f>
        <v>#N/A</v>
      </c>
      <c r="K861" s="29"/>
      <c r="M861" s="22"/>
      <c r="U861" s="22"/>
    </row>
    <row r="862" spans="10:21">
      <c r="J862" s="20" t="e">
        <f>VLOOKUP(G862,MD!M$2:O$93,3,FALSE)</f>
        <v>#N/A</v>
      </c>
      <c r="K862" s="29"/>
      <c r="M862" s="22"/>
      <c r="U862" s="22"/>
    </row>
    <row r="863" spans="10:21">
      <c r="J863" s="20" t="e">
        <f>VLOOKUP(G863,MD!M$2:O$93,3,FALSE)</f>
        <v>#N/A</v>
      </c>
      <c r="K863" s="29"/>
      <c r="M863" s="22"/>
      <c r="U863" s="22"/>
    </row>
    <row r="864" spans="10:21">
      <c r="J864" s="20" t="e">
        <f>VLOOKUP(G864,MD!M$2:O$93,3,FALSE)</f>
        <v>#N/A</v>
      </c>
      <c r="K864" s="29"/>
      <c r="M864" s="22"/>
      <c r="U864" s="22"/>
    </row>
    <row r="865" spans="10:21">
      <c r="J865" s="20" t="e">
        <f>VLOOKUP(G865,MD!M$2:O$93,3,FALSE)</f>
        <v>#N/A</v>
      </c>
      <c r="K865" s="29"/>
      <c r="M865" s="22"/>
      <c r="U865" s="22"/>
    </row>
    <row r="866" spans="10:21">
      <c r="J866" s="20" t="e">
        <f>VLOOKUP(G866,MD!M$2:O$93,3,FALSE)</f>
        <v>#N/A</v>
      </c>
      <c r="K866" s="29"/>
      <c r="M866" s="22"/>
      <c r="U866" s="22"/>
    </row>
    <row r="867" spans="10:21">
      <c r="J867" s="20" t="e">
        <f>VLOOKUP(G867,MD!M$2:O$93,3,FALSE)</f>
        <v>#N/A</v>
      </c>
      <c r="K867" s="29"/>
      <c r="M867" s="22"/>
      <c r="U867" s="22"/>
    </row>
    <row r="868" spans="10:21">
      <c r="J868" s="20" t="e">
        <f>VLOOKUP(G868,MD!M$2:O$93,3,FALSE)</f>
        <v>#N/A</v>
      </c>
      <c r="K868" s="29"/>
      <c r="M868" s="22"/>
      <c r="U868" s="22"/>
    </row>
    <row r="869" spans="10:21">
      <c r="J869" s="20" t="e">
        <f>VLOOKUP(G869,MD!M$2:O$93,3,FALSE)</f>
        <v>#N/A</v>
      </c>
      <c r="K869" s="29"/>
      <c r="M869" s="22"/>
      <c r="U869" s="22"/>
    </row>
    <row r="870" spans="10:21">
      <c r="J870" s="20" t="e">
        <f>VLOOKUP(G870,MD!M$2:O$93,3,FALSE)</f>
        <v>#N/A</v>
      </c>
      <c r="K870" s="29"/>
      <c r="M870" s="22"/>
      <c r="U870" s="22"/>
    </row>
    <row r="871" spans="10:21">
      <c r="J871" s="20" t="e">
        <f>VLOOKUP(G871,MD!M$2:O$93,3,FALSE)</f>
        <v>#N/A</v>
      </c>
      <c r="K871" s="29"/>
      <c r="M871" s="22"/>
      <c r="U871" s="22"/>
    </row>
    <row r="872" spans="10:21">
      <c r="J872" s="20" t="e">
        <f>VLOOKUP(G872,MD!M$2:O$93,3,FALSE)</f>
        <v>#N/A</v>
      </c>
      <c r="K872" s="29"/>
      <c r="M872" s="22"/>
      <c r="U872" s="22"/>
    </row>
    <row r="873" spans="10:21">
      <c r="J873" s="20" t="e">
        <f>VLOOKUP(G873,MD!M$2:O$93,3,FALSE)</f>
        <v>#N/A</v>
      </c>
      <c r="K873" s="29"/>
      <c r="M873" s="22"/>
      <c r="U873" s="22"/>
    </row>
    <row r="874" spans="10:21">
      <c r="J874" s="20" t="e">
        <f>VLOOKUP(G874,MD!M$2:O$93,3,FALSE)</f>
        <v>#N/A</v>
      </c>
      <c r="K874" s="29"/>
      <c r="M874" s="22"/>
      <c r="U874" s="22"/>
    </row>
    <row r="875" spans="10:21">
      <c r="J875" s="20" t="e">
        <f>VLOOKUP(G875,MD!M$2:O$93,3,FALSE)</f>
        <v>#N/A</v>
      </c>
      <c r="K875" s="29"/>
      <c r="M875" s="22"/>
      <c r="U875" s="22"/>
    </row>
    <row r="876" spans="10:21">
      <c r="J876" s="20" t="e">
        <f>VLOOKUP(G876,MD!M$2:O$93,3,FALSE)</f>
        <v>#N/A</v>
      </c>
      <c r="K876" s="29"/>
      <c r="M876" s="22"/>
      <c r="U876" s="22"/>
    </row>
    <row r="877" spans="10:21">
      <c r="J877" s="20" t="e">
        <f>VLOOKUP(G877,MD!M$2:O$93,3,FALSE)</f>
        <v>#N/A</v>
      </c>
      <c r="K877" s="29"/>
      <c r="M877" s="22"/>
      <c r="U877" s="22"/>
    </row>
    <row r="878" spans="10:21">
      <c r="J878" s="20" t="e">
        <f>VLOOKUP(G878,MD!M$2:O$93,3,FALSE)</f>
        <v>#N/A</v>
      </c>
      <c r="K878" s="29"/>
      <c r="M878" s="22"/>
      <c r="U878" s="22"/>
    </row>
    <row r="879" spans="10:21">
      <c r="J879" s="20" t="e">
        <f>VLOOKUP(G879,MD!M$2:O$93,3,FALSE)</f>
        <v>#N/A</v>
      </c>
      <c r="K879" s="29"/>
      <c r="M879" s="22"/>
      <c r="U879" s="22"/>
    </row>
    <row r="880" spans="10:21">
      <c r="J880" s="20" t="e">
        <f>VLOOKUP(G880,MD!M$2:O$93,3,FALSE)</f>
        <v>#N/A</v>
      </c>
      <c r="K880" s="29"/>
      <c r="M880" s="22"/>
      <c r="U880" s="22"/>
    </row>
    <row r="881" spans="10:21">
      <c r="J881" s="20" t="e">
        <f>VLOOKUP(G881,MD!M$2:O$93,3,FALSE)</f>
        <v>#N/A</v>
      </c>
      <c r="K881" s="29"/>
      <c r="M881" s="22"/>
      <c r="U881" s="22"/>
    </row>
    <row r="882" spans="10:21">
      <c r="J882" s="20" t="e">
        <f>VLOOKUP(G882,MD!M$2:O$93,3,FALSE)</f>
        <v>#N/A</v>
      </c>
      <c r="K882" s="29"/>
      <c r="M882" s="22"/>
      <c r="U882" s="22"/>
    </row>
    <row r="883" spans="10:21">
      <c r="J883" s="20" t="e">
        <f>VLOOKUP(G883,MD!M$2:O$93,3,FALSE)</f>
        <v>#N/A</v>
      </c>
      <c r="K883" s="29"/>
      <c r="M883" s="22"/>
      <c r="U883" s="22"/>
    </row>
    <row r="884" spans="10:21">
      <c r="J884" s="20" t="e">
        <f>VLOOKUP(G884,MD!M$2:O$93,3,FALSE)</f>
        <v>#N/A</v>
      </c>
      <c r="K884" s="29"/>
      <c r="M884" s="22"/>
      <c r="U884" s="22"/>
    </row>
    <row r="885" spans="10:21">
      <c r="J885" s="20" t="e">
        <f>VLOOKUP(G885,MD!M$2:O$93,3,FALSE)</f>
        <v>#N/A</v>
      </c>
      <c r="K885" s="29"/>
      <c r="M885" s="22"/>
      <c r="U885" s="22"/>
    </row>
    <row r="886" spans="10:21">
      <c r="J886" s="20" t="e">
        <f>VLOOKUP(G886,MD!M$2:O$93,3,FALSE)</f>
        <v>#N/A</v>
      </c>
      <c r="K886" s="29"/>
      <c r="M886" s="22"/>
      <c r="U886" s="22"/>
    </row>
    <row r="887" spans="10:21">
      <c r="J887" s="20" t="e">
        <f>VLOOKUP(G887,MD!M$2:O$93,3,FALSE)</f>
        <v>#N/A</v>
      </c>
      <c r="K887" s="29"/>
      <c r="M887" s="22"/>
      <c r="U887" s="22"/>
    </row>
    <row r="888" spans="10:21">
      <c r="J888" s="20" t="e">
        <f>VLOOKUP(G888,MD!M$2:O$93,3,FALSE)</f>
        <v>#N/A</v>
      </c>
      <c r="K888" s="29"/>
      <c r="M888" s="22"/>
      <c r="U888" s="22"/>
    </row>
    <row r="889" spans="10:21">
      <c r="J889" s="20" t="e">
        <f>VLOOKUP(G889,MD!M$2:O$93,3,FALSE)</f>
        <v>#N/A</v>
      </c>
      <c r="K889" s="29"/>
      <c r="M889" s="22"/>
      <c r="U889" s="22"/>
    </row>
    <row r="890" spans="10:21">
      <c r="J890" s="20" t="e">
        <f>VLOOKUP(G890,MD!M$2:O$93,3,FALSE)</f>
        <v>#N/A</v>
      </c>
      <c r="K890" s="29"/>
      <c r="M890" s="22"/>
      <c r="U890" s="22"/>
    </row>
    <row r="891" spans="10:21">
      <c r="J891" s="20" t="e">
        <f>VLOOKUP(G891,MD!M$2:O$93,3,FALSE)</f>
        <v>#N/A</v>
      </c>
      <c r="K891" s="29"/>
      <c r="M891" s="22"/>
      <c r="U891" s="22"/>
    </row>
    <row r="892" spans="10:21">
      <c r="J892" s="20" t="e">
        <f>VLOOKUP(G892,MD!M$2:O$93,3,FALSE)</f>
        <v>#N/A</v>
      </c>
      <c r="K892" s="29"/>
      <c r="M892" s="22"/>
      <c r="U892" s="22"/>
    </row>
    <row r="893" spans="10:21">
      <c r="J893" s="20" t="e">
        <f>VLOOKUP(G893,MD!M$2:O$93,3,FALSE)</f>
        <v>#N/A</v>
      </c>
      <c r="K893" s="29"/>
      <c r="M893" s="22"/>
      <c r="U893" s="22"/>
    </row>
    <row r="894" spans="10:21">
      <c r="J894" s="20" t="e">
        <f>VLOOKUP(G894,MD!M$2:O$93,3,FALSE)</f>
        <v>#N/A</v>
      </c>
      <c r="K894" s="29"/>
      <c r="M894" s="22"/>
      <c r="U894" s="22"/>
    </row>
    <row r="895" spans="10:21">
      <c r="J895" s="20" t="e">
        <f>VLOOKUP(G895,MD!M$2:O$93,3,FALSE)</f>
        <v>#N/A</v>
      </c>
      <c r="K895" s="29"/>
      <c r="M895" s="22"/>
      <c r="U895" s="22"/>
    </row>
    <row r="896" spans="10:21">
      <c r="J896" s="20" t="e">
        <f>VLOOKUP(G896,MD!M$2:O$93,3,FALSE)</f>
        <v>#N/A</v>
      </c>
      <c r="K896" s="29"/>
      <c r="M896" s="22"/>
      <c r="U896" s="22"/>
    </row>
    <row r="897" spans="10:21">
      <c r="J897" s="20" t="e">
        <f>VLOOKUP(G897,MD!M$2:O$93,3,FALSE)</f>
        <v>#N/A</v>
      </c>
      <c r="K897" s="29"/>
      <c r="M897" s="22"/>
      <c r="U897" s="22"/>
    </row>
    <row r="898" spans="10:21">
      <c r="J898" s="20" t="e">
        <f>VLOOKUP(G898,MD!M$2:O$93,3,FALSE)</f>
        <v>#N/A</v>
      </c>
      <c r="K898" s="29"/>
      <c r="M898" s="22"/>
      <c r="U898" s="22"/>
    </row>
    <row r="899" spans="10:21">
      <c r="J899" s="20" t="e">
        <f>VLOOKUP(G899,MD!M$2:O$93,3,FALSE)</f>
        <v>#N/A</v>
      </c>
      <c r="K899" s="29"/>
      <c r="M899" s="22"/>
      <c r="U899" s="22"/>
    </row>
    <row r="900" spans="10:21">
      <c r="J900" s="20" t="e">
        <f>VLOOKUP(G900,MD!M$2:O$93,3,FALSE)</f>
        <v>#N/A</v>
      </c>
      <c r="K900" s="29"/>
      <c r="M900" s="22"/>
      <c r="U900" s="22"/>
    </row>
    <row r="901" spans="10:21">
      <c r="J901" s="20" t="e">
        <f>VLOOKUP(G901,MD!M$2:O$93,3,FALSE)</f>
        <v>#N/A</v>
      </c>
      <c r="K901" s="29"/>
      <c r="M901" s="22"/>
      <c r="U901" s="22"/>
    </row>
    <row r="902" spans="10:21">
      <c r="J902" s="20" t="e">
        <f>VLOOKUP(G902,MD!M$2:O$93,3,FALSE)</f>
        <v>#N/A</v>
      </c>
      <c r="K902" s="29"/>
      <c r="M902" s="22"/>
      <c r="U902" s="22"/>
    </row>
    <row r="903" spans="10:21">
      <c r="J903" s="20" t="e">
        <f>VLOOKUP(G903,MD!M$2:O$93,3,FALSE)</f>
        <v>#N/A</v>
      </c>
      <c r="K903" s="29"/>
      <c r="M903" s="22"/>
      <c r="U903" s="22"/>
    </row>
    <row r="904" spans="10:21">
      <c r="J904" s="20" t="e">
        <f>VLOOKUP(G904,MD!M$2:O$93,3,FALSE)</f>
        <v>#N/A</v>
      </c>
      <c r="K904" s="29"/>
      <c r="M904" s="22"/>
      <c r="U904" s="22"/>
    </row>
    <row r="905" spans="10:21">
      <c r="J905" s="20" t="e">
        <f>VLOOKUP(G905,MD!M$2:O$93,3,FALSE)</f>
        <v>#N/A</v>
      </c>
      <c r="K905" s="29"/>
      <c r="M905" s="22"/>
      <c r="U905" s="22"/>
    </row>
    <row r="906" spans="10:21">
      <c r="J906" s="20" t="e">
        <f>VLOOKUP(G906,MD!M$2:O$93,3,FALSE)</f>
        <v>#N/A</v>
      </c>
      <c r="K906" s="29"/>
      <c r="M906" s="22"/>
      <c r="U906" s="22"/>
    </row>
    <row r="907" spans="10:21">
      <c r="J907" s="20" t="e">
        <f>VLOOKUP(G907,MD!M$2:O$93,3,FALSE)</f>
        <v>#N/A</v>
      </c>
      <c r="K907" s="29"/>
      <c r="M907" s="22"/>
      <c r="U907" s="22"/>
    </row>
    <row r="908" spans="10:21">
      <c r="J908" s="20" t="e">
        <f>VLOOKUP(G908,MD!M$2:O$93,3,FALSE)</f>
        <v>#N/A</v>
      </c>
      <c r="K908" s="29"/>
      <c r="M908" s="22"/>
      <c r="U908" s="22"/>
    </row>
    <row r="909" spans="10:21">
      <c r="J909" s="20" t="e">
        <f>VLOOKUP(G909,MD!M$2:O$93,3,FALSE)</f>
        <v>#N/A</v>
      </c>
      <c r="K909" s="29"/>
      <c r="M909" s="22"/>
      <c r="U909" s="22"/>
    </row>
    <row r="910" spans="10:21">
      <c r="J910" s="20" t="e">
        <f>VLOOKUP(G910,MD!M$2:O$93,3,FALSE)</f>
        <v>#N/A</v>
      </c>
      <c r="K910" s="29"/>
      <c r="M910" s="22"/>
      <c r="U910" s="22"/>
    </row>
    <row r="911" spans="10:21">
      <c r="J911" s="20" t="e">
        <f>VLOOKUP(G911,MD!M$2:O$93,3,FALSE)</f>
        <v>#N/A</v>
      </c>
      <c r="K911" s="29"/>
      <c r="M911" s="22"/>
      <c r="U911" s="22"/>
    </row>
    <row r="912" spans="10:21">
      <c r="J912" s="20" t="e">
        <f>VLOOKUP(G912,MD!M$2:O$93,3,FALSE)</f>
        <v>#N/A</v>
      </c>
      <c r="K912" s="29"/>
      <c r="M912" s="22"/>
      <c r="U912" s="22"/>
    </row>
    <row r="913" spans="10:21">
      <c r="J913" s="20" t="e">
        <f>VLOOKUP(G913,MD!M$2:O$93,3,FALSE)</f>
        <v>#N/A</v>
      </c>
      <c r="K913" s="29"/>
      <c r="M913" s="22"/>
      <c r="U913" s="22"/>
    </row>
    <row r="914" spans="10:21">
      <c r="J914" s="20" t="e">
        <f>VLOOKUP(G914,MD!M$2:O$93,3,FALSE)</f>
        <v>#N/A</v>
      </c>
      <c r="K914" s="29"/>
      <c r="M914" s="22"/>
      <c r="U914" s="22"/>
    </row>
    <row r="915" spans="10:21">
      <c r="J915" s="20" t="e">
        <f>VLOOKUP(G915,MD!M$2:O$93,3,FALSE)</f>
        <v>#N/A</v>
      </c>
      <c r="K915" s="29"/>
      <c r="M915" s="22"/>
      <c r="U915" s="22"/>
    </row>
    <row r="916" spans="10:21">
      <c r="J916" s="20" t="e">
        <f>VLOOKUP(G916,MD!M$2:O$93,3,FALSE)</f>
        <v>#N/A</v>
      </c>
      <c r="K916" s="29"/>
      <c r="M916" s="22"/>
      <c r="U916" s="22"/>
    </row>
    <row r="917" spans="10:21">
      <c r="J917" s="20" t="e">
        <f>VLOOKUP(G917,MD!M$2:O$93,3,FALSE)</f>
        <v>#N/A</v>
      </c>
      <c r="K917" s="29"/>
      <c r="M917" s="22"/>
      <c r="U917" s="22"/>
    </row>
    <row r="918" spans="10:21">
      <c r="J918" s="20" t="e">
        <f>VLOOKUP(G918,MD!M$2:O$93,3,FALSE)</f>
        <v>#N/A</v>
      </c>
      <c r="K918" s="29"/>
      <c r="M918" s="22"/>
      <c r="U918" s="22"/>
    </row>
    <row r="919" spans="10:21">
      <c r="J919" s="20" t="e">
        <f>VLOOKUP(G919,MD!M$2:O$93,3,FALSE)</f>
        <v>#N/A</v>
      </c>
      <c r="K919" s="29"/>
      <c r="M919" s="22"/>
      <c r="U919" s="22"/>
    </row>
    <row r="920" spans="10:21">
      <c r="J920" s="20" t="e">
        <f>VLOOKUP(G920,MD!M$2:O$93,3,FALSE)</f>
        <v>#N/A</v>
      </c>
      <c r="K920" s="29"/>
      <c r="M920" s="22"/>
      <c r="U920" s="22"/>
    </row>
    <row r="921" spans="10:21">
      <c r="J921" s="20" t="e">
        <f>VLOOKUP(G921,MD!M$2:O$93,3,FALSE)</f>
        <v>#N/A</v>
      </c>
      <c r="K921" s="29"/>
      <c r="M921" s="22"/>
      <c r="U921" s="22"/>
    </row>
    <row r="922" spans="10:21">
      <c r="J922" s="20" t="e">
        <f>VLOOKUP(G922,MD!M$2:O$93,3,FALSE)</f>
        <v>#N/A</v>
      </c>
      <c r="K922" s="29"/>
      <c r="M922" s="22"/>
      <c r="U922" s="22"/>
    </row>
    <row r="923" spans="10:21">
      <c r="J923" s="20" t="e">
        <f>VLOOKUP(G923,MD!M$2:O$93,3,FALSE)</f>
        <v>#N/A</v>
      </c>
      <c r="K923" s="29"/>
      <c r="M923" s="22"/>
      <c r="U923" s="22"/>
    </row>
    <row r="924" spans="10:21">
      <c r="J924" s="20" t="e">
        <f>VLOOKUP(G924,MD!M$2:O$93,3,FALSE)</f>
        <v>#N/A</v>
      </c>
      <c r="K924" s="29"/>
      <c r="M924" s="22"/>
      <c r="U924" s="22"/>
    </row>
    <row r="925" spans="10:21">
      <c r="J925" s="20" t="e">
        <f>VLOOKUP(G925,MD!M$2:O$93,3,FALSE)</f>
        <v>#N/A</v>
      </c>
      <c r="K925" s="29"/>
      <c r="M925" s="22"/>
      <c r="U925" s="22"/>
    </row>
    <row r="926" spans="10:21">
      <c r="J926" s="20" t="e">
        <f>VLOOKUP(G926,MD!M$2:O$93,3,FALSE)</f>
        <v>#N/A</v>
      </c>
      <c r="K926" s="29"/>
      <c r="M926" s="22"/>
      <c r="U926" s="22"/>
    </row>
    <row r="927" spans="10:21">
      <c r="J927" s="20" t="e">
        <f>VLOOKUP(G927,MD!M$2:O$93,3,FALSE)</f>
        <v>#N/A</v>
      </c>
      <c r="K927" s="29"/>
      <c r="M927" s="22"/>
      <c r="U927" s="22"/>
    </row>
    <row r="928" spans="10:21">
      <c r="J928" s="20" t="e">
        <f>VLOOKUP(G928,MD!M$2:O$93,3,FALSE)</f>
        <v>#N/A</v>
      </c>
      <c r="K928" s="29"/>
      <c r="M928" s="22"/>
      <c r="U928" s="22"/>
    </row>
    <row r="929" spans="10:21">
      <c r="J929" s="20" t="e">
        <f>VLOOKUP(G929,MD!M$2:O$93,3,FALSE)</f>
        <v>#N/A</v>
      </c>
      <c r="K929" s="29"/>
      <c r="M929" s="22"/>
      <c r="U929" s="22"/>
    </row>
    <row r="930" spans="10:21">
      <c r="J930" s="20" t="e">
        <f>VLOOKUP(G930,MD!M$2:O$93,3,FALSE)</f>
        <v>#N/A</v>
      </c>
      <c r="K930" s="29"/>
      <c r="M930" s="22"/>
      <c r="U930" s="22"/>
    </row>
    <row r="931" spans="10:21">
      <c r="J931" s="20" t="e">
        <f>VLOOKUP(G931,MD!M$2:O$93,3,FALSE)</f>
        <v>#N/A</v>
      </c>
      <c r="K931" s="29"/>
      <c r="M931" s="22"/>
      <c r="U931" s="22"/>
    </row>
    <row r="932" spans="10:21">
      <c r="J932" s="20" t="e">
        <f>VLOOKUP(G932,MD!M$2:O$93,3,FALSE)</f>
        <v>#N/A</v>
      </c>
      <c r="K932" s="29"/>
      <c r="M932" s="22"/>
      <c r="U932" s="22"/>
    </row>
    <row r="933" spans="10:21">
      <c r="J933" s="20" t="e">
        <f>VLOOKUP(G933,MD!M$2:O$93,3,FALSE)</f>
        <v>#N/A</v>
      </c>
      <c r="K933" s="29"/>
      <c r="M933" s="22"/>
      <c r="U933" s="22"/>
    </row>
    <row r="934" spans="10:21">
      <c r="J934" s="20" t="e">
        <f>VLOOKUP(G934,MD!M$2:O$93,3,FALSE)</f>
        <v>#N/A</v>
      </c>
      <c r="K934" s="29"/>
      <c r="M934" s="22"/>
      <c r="U934" s="22"/>
    </row>
    <row r="935" spans="10:21">
      <c r="J935" s="20" t="e">
        <f>VLOOKUP(G935,MD!M$2:O$93,3,FALSE)</f>
        <v>#N/A</v>
      </c>
      <c r="K935" s="29"/>
      <c r="M935" s="22"/>
      <c r="U935" s="22"/>
    </row>
    <row r="936" spans="10:21">
      <c r="J936" s="20" t="e">
        <f>VLOOKUP(G936,MD!M$2:O$93,3,FALSE)</f>
        <v>#N/A</v>
      </c>
      <c r="K936" s="29"/>
      <c r="M936" s="22"/>
      <c r="U936" s="22"/>
    </row>
    <row r="937" spans="10:21">
      <c r="J937" s="20" t="e">
        <f>VLOOKUP(G937,MD!M$2:O$93,3,FALSE)</f>
        <v>#N/A</v>
      </c>
      <c r="K937" s="29"/>
      <c r="M937" s="22"/>
      <c r="U937" s="22"/>
    </row>
    <row r="938" spans="10:21">
      <c r="J938" s="20" t="e">
        <f>VLOOKUP(G938,MD!M$2:O$93,3,FALSE)</f>
        <v>#N/A</v>
      </c>
      <c r="K938" s="29"/>
      <c r="M938" s="22"/>
      <c r="U938" s="22"/>
    </row>
    <row r="939" spans="10:21">
      <c r="J939" s="20" t="e">
        <f>VLOOKUP(G939,MD!M$2:O$93,3,FALSE)</f>
        <v>#N/A</v>
      </c>
      <c r="K939" s="29"/>
      <c r="M939" s="22"/>
      <c r="U939" s="22"/>
    </row>
    <row r="940" spans="10:21">
      <c r="J940" s="20" t="e">
        <f>VLOOKUP(G940,MD!M$2:O$93,3,FALSE)</f>
        <v>#N/A</v>
      </c>
      <c r="K940" s="29"/>
      <c r="M940" s="22"/>
      <c r="U940" s="22"/>
    </row>
    <row r="941" spans="10:21">
      <c r="J941" s="20" t="e">
        <f>VLOOKUP(G941,MD!M$2:O$93,3,FALSE)</f>
        <v>#N/A</v>
      </c>
      <c r="K941" s="29"/>
      <c r="M941" s="22"/>
      <c r="U941" s="22"/>
    </row>
    <row r="942" spans="10:21">
      <c r="J942" s="20" t="e">
        <f>VLOOKUP(G942,MD!M$2:O$93,3,FALSE)</f>
        <v>#N/A</v>
      </c>
      <c r="K942" s="29"/>
      <c r="M942" s="22"/>
      <c r="U942" s="22"/>
    </row>
    <row r="943" spans="10:21">
      <c r="J943" s="20" t="e">
        <f>VLOOKUP(G943,MD!M$2:O$93,3,FALSE)</f>
        <v>#N/A</v>
      </c>
      <c r="K943" s="29"/>
      <c r="M943" s="22"/>
      <c r="U943" s="22"/>
    </row>
    <row r="944" spans="10:21">
      <c r="J944" s="20" t="e">
        <f>VLOOKUP(G944,MD!M$2:O$93,3,FALSE)</f>
        <v>#N/A</v>
      </c>
      <c r="K944" s="29"/>
      <c r="M944" s="22"/>
      <c r="U944" s="22"/>
    </row>
    <row r="945" spans="10:21">
      <c r="J945" s="20" t="e">
        <f>VLOOKUP(G945,MD!M$2:O$93,3,FALSE)</f>
        <v>#N/A</v>
      </c>
      <c r="K945" s="29"/>
      <c r="M945" s="22"/>
      <c r="U945" s="22"/>
    </row>
    <row r="946" spans="10:21">
      <c r="J946" s="20" t="e">
        <f>VLOOKUP(G946,MD!M$2:O$93,3,FALSE)</f>
        <v>#N/A</v>
      </c>
      <c r="K946" s="29"/>
      <c r="M946" s="22"/>
      <c r="U946" s="22"/>
    </row>
    <row r="947" spans="10:21">
      <c r="J947" s="20" t="e">
        <f>VLOOKUP(G947,MD!M$2:O$93,3,FALSE)</f>
        <v>#N/A</v>
      </c>
      <c r="K947" s="29"/>
      <c r="M947" s="22"/>
      <c r="U947" s="22"/>
    </row>
    <row r="948" spans="10:21">
      <c r="J948" s="20" t="e">
        <f>VLOOKUP(G948,MD!M$2:O$93,3,FALSE)</f>
        <v>#N/A</v>
      </c>
      <c r="K948" s="29"/>
      <c r="M948" s="22"/>
      <c r="U948" s="22"/>
    </row>
    <row r="949" spans="10:21">
      <c r="J949" s="20" t="e">
        <f>VLOOKUP(G949,MD!M$2:O$93,3,FALSE)</f>
        <v>#N/A</v>
      </c>
      <c r="K949" s="29"/>
      <c r="M949" s="22"/>
      <c r="U949" s="22"/>
    </row>
    <row r="950" spans="10:21">
      <c r="J950" s="20" t="e">
        <f>VLOOKUP(G950,MD!M$2:O$93,3,FALSE)</f>
        <v>#N/A</v>
      </c>
      <c r="K950" s="29"/>
      <c r="M950" s="22"/>
      <c r="U950" s="22"/>
    </row>
    <row r="951" spans="10:21">
      <c r="J951" s="20" t="e">
        <f>VLOOKUP(G951,MD!M$2:O$93,3,FALSE)</f>
        <v>#N/A</v>
      </c>
      <c r="K951" s="29"/>
      <c r="M951" s="22"/>
      <c r="U951" s="22"/>
    </row>
    <row r="952" spans="10:21">
      <c r="J952" s="20" t="e">
        <f>VLOOKUP(G952,MD!M$2:O$93,3,FALSE)</f>
        <v>#N/A</v>
      </c>
      <c r="K952" s="29"/>
      <c r="M952" s="22"/>
      <c r="U952" s="22"/>
    </row>
    <row r="953" spans="10:21">
      <c r="J953" s="20" t="e">
        <f>VLOOKUP(G953,MD!M$2:O$93,3,FALSE)</f>
        <v>#N/A</v>
      </c>
      <c r="K953" s="29"/>
      <c r="M953" s="22"/>
      <c r="U953" s="22"/>
    </row>
    <row r="954" spans="10:21">
      <c r="J954" s="20" t="e">
        <f>VLOOKUP(G954,MD!M$2:O$93,3,FALSE)</f>
        <v>#N/A</v>
      </c>
      <c r="K954" s="29"/>
      <c r="M954" s="22"/>
      <c r="U954" s="22"/>
    </row>
    <row r="955" spans="10:21">
      <c r="J955" s="20" t="e">
        <f>VLOOKUP(G955,MD!M$2:O$93,3,FALSE)</f>
        <v>#N/A</v>
      </c>
      <c r="K955" s="29"/>
      <c r="M955" s="22"/>
      <c r="U955" s="22"/>
    </row>
    <row r="956" spans="10:21">
      <c r="J956" s="20" t="e">
        <f>VLOOKUP(G956,MD!M$2:O$93,3,FALSE)</f>
        <v>#N/A</v>
      </c>
      <c r="K956" s="29"/>
      <c r="M956" s="22"/>
      <c r="U956" s="22"/>
    </row>
    <row r="957" spans="10:21">
      <c r="J957" s="20" t="e">
        <f>VLOOKUP(G957,MD!M$2:O$93,3,FALSE)</f>
        <v>#N/A</v>
      </c>
      <c r="K957" s="29"/>
      <c r="M957" s="22"/>
      <c r="U957" s="22"/>
    </row>
    <row r="958" spans="10:21">
      <c r="J958" s="20" t="e">
        <f>VLOOKUP(G958,MD!M$2:O$93,3,FALSE)</f>
        <v>#N/A</v>
      </c>
      <c r="K958" s="29"/>
      <c r="M958" s="22"/>
      <c r="U958" s="22"/>
    </row>
    <row r="959" spans="10:21">
      <c r="J959" s="20" t="e">
        <f>VLOOKUP(G959,MD!M$2:O$93,3,FALSE)</f>
        <v>#N/A</v>
      </c>
      <c r="K959" s="29"/>
      <c r="M959" s="22"/>
      <c r="U959" s="22"/>
    </row>
    <row r="960" spans="10:21">
      <c r="J960" s="20" t="e">
        <f>VLOOKUP(G960,MD!M$2:O$93,3,FALSE)</f>
        <v>#N/A</v>
      </c>
      <c r="K960" s="29"/>
      <c r="M960" s="22"/>
      <c r="U960" s="22"/>
    </row>
    <row r="961" spans="10:21">
      <c r="J961" s="20" t="e">
        <f>VLOOKUP(G961,MD!M$2:O$93,3,FALSE)</f>
        <v>#N/A</v>
      </c>
      <c r="K961" s="29"/>
      <c r="M961" s="22"/>
      <c r="U961" s="22"/>
    </row>
    <row r="962" spans="10:21">
      <c r="J962" s="20" t="e">
        <f>VLOOKUP(G962,MD!M$2:O$93,3,FALSE)</f>
        <v>#N/A</v>
      </c>
      <c r="K962" s="29"/>
      <c r="M962" s="22"/>
      <c r="U962" s="22"/>
    </row>
    <row r="963" spans="10:21">
      <c r="J963" s="20" t="e">
        <f>VLOOKUP(G963,MD!M$2:O$93,3,FALSE)</f>
        <v>#N/A</v>
      </c>
      <c r="K963" s="29"/>
      <c r="M963" s="22"/>
      <c r="U963" s="22"/>
    </row>
    <row r="964" spans="10:21">
      <c r="J964" s="20" t="e">
        <f>VLOOKUP(G964,MD!M$2:O$93,3,FALSE)</f>
        <v>#N/A</v>
      </c>
      <c r="K964" s="29"/>
      <c r="M964" s="22"/>
      <c r="U964" s="22"/>
    </row>
    <row r="965" spans="10:21">
      <c r="J965" s="20" t="e">
        <f>VLOOKUP(G965,MD!M$2:O$93,3,FALSE)</f>
        <v>#N/A</v>
      </c>
      <c r="K965" s="29"/>
      <c r="M965" s="22"/>
      <c r="U965" s="22"/>
    </row>
    <row r="966" spans="10:21">
      <c r="J966" s="20" t="e">
        <f>VLOOKUP(G966,MD!M$2:O$93,3,FALSE)</f>
        <v>#N/A</v>
      </c>
      <c r="K966" s="29"/>
      <c r="M966" s="22"/>
      <c r="U966" s="22"/>
    </row>
    <row r="967" spans="10:21">
      <c r="J967" s="20" t="e">
        <f>VLOOKUP(G967,MD!M$2:O$93,3,FALSE)</f>
        <v>#N/A</v>
      </c>
      <c r="K967" s="29"/>
      <c r="M967" s="22"/>
      <c r="U967" s="22"/>
    </row>
    <row r="968" spans="10:21">
      <c r="J968" s="20" t="e">
        <f>VLOOKUP(G968,MD!M$2:O$93,3,FALSE)</f>
        <v>#N/A</v>
      </c>
      <c r="K968" s="29"/>
      <c r="M968" s="22"/>
      <c r="U968" s="22"/>
    </row>
    <row r="969" spans="10:21">
      <c r="J969" s="20" t="e">
        <f>VLOOKUP(G969,MD!M$2:O$93,3,FALSE)</f>
        <v>#N/A</v>
      </c>
      <c r="K969" s="29"/>
      <c r="M969" s="22"/>
      <c r="U969" s="22"/>
    </row>
    <row r="970" spans="10:21">
      <c r="J970" s="20" t="e">
        <f>VLOOKUP(G970,MD!M$2:O$93,3,FALSE)</f>
        <v>#N/A</v>
      </c>
      <c r="K970" s="29"/>
      <c r="M970" s="22"/>
      <c r="U970" s="22"/>
    </row>
    <row r="971" spans="10:21">
      <c r="J971" s="20" t="e">
        <f>VLOOKUP(G971,MD!M$2:O$93,3,FALSE)</f>
        <v>#N/A</v>
      </c>
      <c r="K971" s="29"/>
      <c r="M971" s="22"/>
      <c r="U971" s="22"/>
    </row>
    <row r="972" spans="10:21">
      <c r="J972" s="20" t="e">
        <f>VLOOKUP(G972,MD!M$2:O$93,3,FALSE)</f>
        <v>#N/A</v>
      </c>
      <c r="K972" s="29"/>
      <c r="M972" s="22"/>
      <c r="U972" s="22"/>
    </row>
    <row r="973" spans="10:21">
      <c r="J973" s="20" t="e">
        <f>VLOOKUP(G973,MD!M$2:O$93,3,FALSE)</f>
        <v>#N/A</v>
      </c>
      <c r="K973" s="29"/>
      <c r="M973" s="22"/>
      <c r="U973" s="22"/>
    </row>
    <row r="974" spans="10:21">
      <c r="J974" s="20" t="e">
        <f>VLOOKUP(G974,MD!M$2:O$93,3,FALSE)</f>
        <v>#N/A</v>
      </c>
      <c r="K974" s="29"/>
      <c r="M974" s="22"/>
      <c r="U974" s="22"/>
    </row>
    <row r="975" spans="10:21">
      <c r="J975" s="20" t="e">
        <f>VLOOKUP(G975,MD!M$2:O$93,3,FALSE)</f>
        <v>#N/A</v>
      </c>
      <c r="K975" s="29"/>
      <c r="M975" s="22"/>
      <c r="U975" s="22"/>
    </row>
    <row r="976" spans="10:21">
      <c r="J976" s="20" t="e">
        <f>VLOOKUP(G976,MD!M$2:O$93,3,FALSE)</f>
        <v>#N/A</v>
      </c>
      <c r="K976" s="29"/>
      <c r="M976" s="22"/>
      <c r="U976" s="22"/>
    </row>
    <row r="977" spans="10:21">
      <c r="J977" s="20" t="e">
        <f>VLOOKUP(G977,MD!M$2:O$93,3,FALSE)</f>
        <v>#N/A</v>
      </c>
      <c r="K977" s="29"/>
      <c r="M977" s="22"/>
      <c r="U977" s="22"/>
    </row>
    <row r="978" spans="10:21">
      <c r="J978" s="20" t="e">
        <f>VLOOKUP(G978,MD!M$2:O$93,3,FALSE)</f>
        <v>#N/A</v>
      </c>
      <c r="K978" s="29"/>
      <c r="M978" s="22"/>
      <c r="U978" s="22"/>
    </row>
    <row r="979" spans="10:21">
      <c r="J979" s="20" t="e">
        <f>VLOOKUP(G979,MD!M$2:O$93,3,FALSE)</f>
        <v>#N/A</v>
      </c>
      <c r="K979" s="29"/>
      <c r="M979" s="22"/>
      <c r="U979" s="22"/>
    </row>
    <row r="980" spans="10:21">
      <c r="J980" s="20" t="e">
        <f>VLOOKUP(G980,MD!M$2:O$93,3,FALSE)</f>
        <v>#N/A</v>
      </c>
      <c r="K980" s="29"/>
      <c r="M980" s="22"/>
      <c r="U980" s="22"/>
    </row>
    <row r="981" spans="10:21">
      <c r="J981" s="20" t="e">
        <f>VLOOKUP(G981,MD!M$2:O$93,3,FALSE)</f>
        <v>#N/A</v>
      </c>
      <c r="K981" s="29"/>
      <c r="M981" s="22"/>
      <c r="U981" s="22"/>
    </row>
    <row r="982" spans="10:21">
      <c r="J982" s="20" t="e">
        <f>VLOOKUP(G982,MD!M$2:O$93,3,FALSE)</f>
        <v>#N/A</v>
      </c>
      <c r="K982" s="29"/>
      <c r="M982" s="22"/>
      <c r="U982" s="22"/>
    </row>
    <row r="983" spans="10:21">
      <c r="J983" s="20" t="e">
        <f>VLOOKUP(G983,MD!M$2:O$93,3,FALSE)</f>
        <v>#N/A</v>
      </c>
      <c r="K983" s="29"/>
      <c r="M983" s="22"/>
      <c r="U983" s="22"/>
    </row>
    <row r="984" spans="10:21">
      <c r="J984" s="20" t="e">
        <f>VLOOKUP(G984,MD!M$2:O$93,3,FALSE)</f>
        <v>#N/A</v>
      </c>
      <c r="K984" s="29"/>
      <c r="M984" s="22"/>
      <c r="U984" s="22"/>
    </row>
    <row r="985" spans="10:21">
      <c r="J985" s="20" t="e">
        <f>VLOOKUP(G985,MD!M$2:O$93,3,FALSE)</f>
        <v>#N/A</v>
      </c>
      <c r="K985" s="29"/>
      <c r="M985" s="22"/>
      <c r="U985" s="22"/>
    </row>
    <row r="986" spans="10:21">
      <c r="J986" s="20" t="e">
        <f>VLOOKUP(G986,MD!M$2:O$93,3,FALSE)</f>
        <v>#N/A</v>
      </c>
      <c r="K986" s="29"/>
      <c r="M986" s="22"/>
      <c r="U986" s="22"/>
    </row>
    <row r="987" spans="10:21">
      <c r="J987" s="20" t="e">
        <f>VLOOKUP(G987,MD!M$2:O$93,3,FALSE)</f>
        <v>#N/A</v>
      </c>
      <c r="K987" s="29"/>
      <c r="M987" s="22"/>
      <c r="U987" s="22"/>
    </row>
    <row r="988" spans="10:21">
      <c r="J988" s="20" t="e">
        <f>VLOOKUP(G988,MD!M$2:O$93,3,FALSE)</f>
        <v>#N/A</v>
      </c>
      <c r="K988" s="29"/>
      <c r="M988" s="22"/>
      <c r="U988" s="22"/>
    </row>
    <row r="989" spans="10:21">
      <c r="J989" s="20" t="e">
        <f>VLOOKUP(G989,MD!M$2:O$93,3,FALSE)</f>
        <v>#N/A</v>
      </c>
      <c r="K989" s="29"/>
      <c r="M989" s="22"/>
      <c r="U989" s="22"/>
    </row>
    <row r="990" spans="10:21">
      <c r="J990" s="20" t="e">
        <f>VLOOKUP(G990,MD!M$2:O$93,3,FALSE)</f>
        <v>#N/A</v>
      </c>
      <c r="K990" s="29"/>
      <c r="M990" s="22"/>
      <c r="U990" s="22"/>
    </row>
    <row r="991" spans="10:21">
      <c r="J991" s="20" t="e">
        <f>VLOOKUP(G991,MD!M$2:O$93,3,FALSE)</f>
        <v>#N/A</v>
      </c>
      <c r="K991" s="29"/>
      <c r="M991" s="22"/>
      <c r="U991" s="22"/>
    </row>
    <row r="992" spans="10:21">
      <c r="J992" s="20" t="e">
        <f>VLOOKUP(G992,MD!M$2:O$93,3,FALSE)</f>
        <v>#N/A</v>
      </c>
      <c r="K992" s="29"/>
      <c r="M992" s="22"/>
      <c r="U992" s="22"/>
    </row>
    <row r="993" spans="10:21">
      <c r="J993" s="20" t="e">
        <f>VLOOKUP(G993,MD!M$2:O$93,3,FALSE)</f>
        <v>#N/A</v>
      </c>
      <c r="K993" s="29"/>
      <c r="M993" s="22"/>
      <c r="U993" s="22"/>
    </row>
    <row r="994" spans="10:21">
      <c r="J994" s="20" t="e">
        <f>VLOOKUP(G994,MD!M$2:O$93,3,FALSE)</f>
        <v>#N/A</v>
      </c>
      <c r="K994" s="29"/>
      <c r="M994" s="22"/>
      <c r="U994" s="22"/>
    </row>
    <row r="995" spans="10:21">
      <c r="J995" s="20" t="e">
        <f>VLOOKUP(G995,MD!M$2:O$93,3,FALSE)</f>
        <v>#N/A</v>
      </c>
      <c r="K995" s="29"/>
      <c r="M995" s="22"/>
      <c r="U995" s="22"/>
    </row>
    <row r="996" spans="10:21">
      <c r="J996" s="20" t="e">
        <f>VLOOKUP(G996,MD!M$2:O$93,3,FALSE)</f>
        <v>#N/A</v>
      </c>
      <c r="K996" s="29"/>
      <c r="M996" s="22"/>
      <c r="U996" s="22"/>
    </row>
  </sheetData>
  <autoFilter ref="A1:F996"/>
  <phoneticPr fontId="15" type="noConversion"/>
  <dataValidations count="2">
    <dataValidation type="list" allowBlank="1" showInputMessage="1" showErrorMessage="1" sqref="G2:G996">
      <formula1>INDIRECT($F2)</formula1>
    </dataValidation>
    <dataValidation type="list" allowBlank="1" showInputMessage="1" showErrorMessage="1" sqref="F2:F996">
      <formula1>Listes_des_grandes_opérations</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sheetPr codeName="Feuil7"/>
  <dimension ref="A1:AE1019"/>
  <sheetViews>
    <sheetView zoomScale="85" zoomScaleNormal="85" workbookViewId="0">
      <pane xSplit="5" ySplit="1" topLeftCell="F150" activePane="bottomRight" state="frozenSplit"/>
      <selection pane="topRight" activeCell="E1" sqref="E1"/>
      <selection pane="bottomLeft"/>
      <selection pane="bottomRight" activeCell="G158" sqref="G158"/>
    </sheetView>
  </sheetViews>
  <sheetFormatPr baseColWidth="10" defaultRowHeight="15"/>
  <cols>
    <col min="1" max="1" width="12.7109375" style="50" bestFit="1" customWidth="1"/>
    <col min="2" max="2" width="8.42578125" style="50" bestFit="1" customWidth="1"/>
    <col min="3" max="3" width="7.42578125" style="49" bestFit="1" customWidth="1"/>
    <col min="4" max="4" width="7.42578125" style="49" customWidth="1"/>
    <col min="5" max="5" width="11.5703125" style="47" bestFit="1" customWidth="1"/>
    <col min="6" max="6" width="16.42578125" style="18" bestFit="1" customWidth="1"/>
    <col min="7" max="7" width="46" style="18" customWidth="1"/>
    <col min="8" max="8" width="33.7109375" style="27" bestFit="1" customWidth="1"/>
    <col min="9" max="9" width="11.42578125" style="24"/>
    <col min="10" max="10" width="11.42578125" style="21"/>
    <col min="11" max="11" width="13.28515625" style="30" bestFit="1" customWidth="1"/>
    <col min="12" max="12" width="80.5703125" style="27" bestFit="1" customWidth="1"/>
    <col min="13" max="13" width="21.42578125" style="25" customWidth="1"/>
    <col min="14" max="15" width="13.42578125" style="25" customWidth="1"/>
    <col min="16" max="18" width="11.42578125" style="44"/>
    <col min="19" max="19" width="13.28515625" style="44" bestFit="1" customWidth="1"/>
    <col min="20" max="23" width="11.42578125" style="25"/>
    <col min="24" max="26" width="11.42578125" style="44"/>
    <col min="27" max="27" width="13.28515625" style="44" bestFit="1" customWidth="1"/>
    <col min="28" max="31" width="11.42578125" style="25"/>
  </cols>
  <sheetData>
    <row r="1" spans="1:31" s="1" customFormat="1">
      <c r="A1" s="45" t="s">
        <v>126</v>
      </c>
      <c r="B1" s="45" t="s">
        <v>0</v>
      </c>
      <c r="C1" s="46" t="s">
        <v>3</v>
      </c>
      <c r="D1" s="69" t="s">
        <v>198</v>
      </c>
      <c r="E1" s="45" t="s">
        <v>125</v>
      </c>
      <c r="F1" s="17" t="s">
        <v>1</v>
      </c>
      <c r="G1" s="17" t="s">
        <v>4</v>
      </c>
      <c r="H1" s="26" t="s">
        <v>96</v>
      </c>
      <c r="I1" s="23" t="s">
        <v>5</v>
      </c>
      <c r="J1" s="19" t="s">
        <v>6</v>
      </c>
      <c r="K1" s="28" t="s">
        <v>7</v>
      </c>
      <c r="L1" s="26" t="s">
        <v>127</v>
      </c>
      <c r="M1" s="79" t="s">
        <v>260</v>
      </c>
      <c r="N1" s="79" t="s">
        <v>381</v>
      </c>
      <c r="O1" s="79" t="s">
        <v>365</v>
      </c>
      <c r="P1" s="16" t="s">
        <v>9</v>
      </c>
      <c r="Q1" s="16" t="s">
        <v>10</v>
      </c>
      <c r="R1" s="16" t="s">
        <v>11</v>
      </c>
      <c r="S1" s="16" t="s">
        <v>8</v>
      </c>
      <c r="T1" s="23" t="s">
        <v>14</v>
      </c>
      <c r="U1" s="23" t="s">
        <v>15</v>
      </c>
      <c r="V1" s="23" t="s">
        <v>16</v>
      </c>
      <c r="W1" s="23" t="s">
        <v>12</v>
      </c>
      <c r="X1" s="16" t="s">
        <v>18</v>
      </c>
      <c r="Y1" s="16" t="s">
        <v>19</v>
      </c>
      <c r="Z1" s="16" t="s">
        <v>20</v>
      </c>
      <c r="AA1" s="16" t="s">
        <v>13</v>
      </c>
      <c r="AB1" s="23" t="s">
        <v>21</v>
      </c>
      <c r="AC1" s="23" t="s">
        <v>22</v>
      </c>
      <c r="AD1" s="23" t="s">
        <v>23</v>
      </c>
      <c r="AE1" s="23" t="s">
        <v>17</v>
      </c>
    </row>
    <row r="2" spans="1:31" s="5" customFormat="1">
      <c r="A2" s="47" t="s">
        <v>121</v>
      </c>
      <c r="B2" s="47" t="s">
        <v>122</v>
      </c>
      <c r="C2" s="48">
        <v>43015</v>
      </c>
      <c r="D2" s="64">
        <v>40</v>
      </c>
      <c r="E2" s="47" t="s">
        <v>123</v>
      </c>
      <c r="F2" s="18" t="s">
        <v>83</v>
      </c>
      <c r="G2" s="18" t="s">
        <v>63</v>
      </c>
      <c r="H2" s="27" t="s">
        <v>128</v>
      </c>
      <c r="I2" s="24">
        <v>1</v>
      </c>
      <c r="J2" s="20" t="str">
        <f>VLOOKUP(G2,MD!M$2:O$93,3,FALSE)</f>
        <v>ha</v>
      </c>
      <c r="K2" s="29">
        <v>1</v>
      </c>
      <c r="L2" s="27"/>
      <c r="M2" s="25"/>
      <c r="N2" s="25"/>
      <c r="O2" s="25"/>
      <c r="P2" s="22"/>
      <c r="Q2" s="22"/>
      <c r="R2" s="22"/>
      <c r="S2" s="22"/>
      <c r="T2" s="24"/>
      <c r="U2" s="24"/>
      <c r="V2" s="24"/>
      <c r="W2" s="24"/>
      <c r="X2" s="22"/>
      <c r="Y2" s="22"/>
      <c r="Z2" s="22"/>
      <c r="AA2" s="22"/>
      <c r="AB2" s="24"/>
      <c r="AC2" s="24"/>
      <c r="AD2" s="24"/>
      <c r="AE2" s="24"/>
    </row>
    <row r="3" spans="1:31">
      <c r="A3" s="47" t="s">
        <v>121</v>
      </c>
      <c r="B3" s="47" t="s">
        <v>122</v>
      </c>
      <c r="C3" s="48">
        <v>43015</v>
      </c>
      <c r="D3" s="64">
        <v>40</v>
      </c>
      <c r="E3" s="47" t="s">
        <v>123</v>
      </c>
      <c r="F3" s="18" t="s">
        <v>84</v>
      </c>
      <c r="G3" s="18" t="s">
        <v>76</v>
      </c>
      <c r="I3" s="24">
        <v>1</v>
      </c>
      <c r="J3" s="20" t="str">
        <f>VLOOKUP(G3,MD!M$2:O$93,3,FALSE)</f>
        <v>ha</v>
      </c>
      <c r="K3" s="29">
        <v>1</v>
      </c>
      <c r="P3" s="22"/>
      <c r="X3" s="22"/>
    </row>
    <row r="4" spans="1:31">
      <c r="A4" s="47" t="s">
        <v>121</v>
      </c>
      <c r="B4" s="47" t="s">
        <v>122</v>
      </c>
      <c r="C4" s="48">
        <v>43015</v>
      </c>
      <c r="D4" s="64">
        <v>40</v>
      </c>
      <c r="E4" s="47" t="s">
        <v>123</v>
      </c>
      <c r="F4" s="18" t="s">
        <v>87</v>
      </c>
      <c r="G4" s="18" t="s">
        <v>93</v>
      </c>
      <c r="H4" s="27" t="s">
        <v>131</v>
      </c>
      <c r="I4" s="24">
        <v>210</v>
      </c>
      <c r="J4" s="20" t="str">
        <f>VLOOKUP(G4,MD!M$2:O$93,3,FALSE)</f>
        <v>gr./m2</v>
      </c>
      <c r="K4" s="29">
        <v>1</v>
      </c>
      <c r="P4" s="22"/>
      <c r="X4" s="22"/>
    </row>
    <row r="5" spans="1:31" s="59" customFormat="1">
      <c r="A5" s="47" t="s">
        <v>121</v>
      </c>
      <c r="B5" s="47" t="s">
        <v>122</v>
      </c>
      <c r="C5" s="48">
        <v>43015</v>
      </c>
      <c r="D5" s="64">
        <v>40</v>
      </c>
      <c r="E5" s="47" t="s">
        <v>123</v>
      </c>
      <c r="F5" s="18" t="s">
        <v>89</v>
      </c>
      <c r="G5" s="18" t="s">
        <v>133</v>
      </c>
      <c r="H5" s="27" t="s">
        <v>97</v>
      </c>
      <c r="I5" s="24"/>
      <c r="J5" s="20" t="s">
        <v>114</v>
      </c>
      <c r="K5" s="29">
        <v>1</v>
      </c>
      <c r="L5" s="27" t="s">
        <v>750</v>
      </c>
      <c r="M5" s="25" t="s">
        <v>263</v>
      </c>
      <c r="N5" s="103">
        <f>175*0.4*210*0.056*0.00001*10000</f>
        <v>82.320000000000022</v>
      </c>
      <c r="O5" s="25" t="s">
        <v>358</v>
      </c>
      <c r="P5" s="22"/>
      <c r="Q5" s="44"/>
      <c r="R5" s="44"/>
      <c r="S5" s="44"/>
      <c r="T5" s="25"/>
      <c r="U5" s="25"/>
      <c r="V5" s="25"/>
      <c r="W5" s="25"/>
      <c r="X5" s="22"/>
      <c r="Y5" s="44"/>
      <c r="Z5" s="44"/>
      <c r="AA5" s="44"/>
      <c r="AB5" s="25"/>
      <c r="AC5" s="25"/>
      <c r="AD5" s="25"/>
      <c r="AE5" s="25"/>
    </row>
    <row r="6" spans="1:31">
      <c r="A6" s="47" t="s">
        <v>121</v>
      </c>
      <c r="B6" s="47" t="s">
        <v>122</v>
      </c>
      <c r="C6" s="48">
        <v>43039</v>
      </c>
      <c r="D6" s="64">
        <v>44</v>
      </c>
      <c r="E6" s="47" t="s">
        <v>121</v>
      </c>
      <c r="F6" s="18" t="s">
        <v>86</v>
      </c>
      <c r="G6" s="18" t="s">
        <v>64</v>
      </c>
      <c r="I6" s="57">
        <v>1</v>
      </c>
      <c r="J6" s="20" t="str">
        <f>VLOOKUP(G6,MD!M$2:O$93,3,FALSE)</f>
        <v>ha</v>
      </c>
      <c r="K6" s="29">
        <v>1</v>
      </c>
      <c r="P6" s="22"/>
      <c r="X6" s="22"/>
    </row>
    <row r="7" spans="1:31" s="59" customFormat="1">
      <c r="A7" s="47" t="s">
        <v>121</v>
      </c>
      <c r="B7" s="47" t="s">
        <v>122</v>
      </c>
      <c r="C7" s="48">
        <v>43039</v>
      </c>
      <c r="D7" s="64">
        <v>44</v>
      </c>
      <c r="E7" s="47" t="s">
        <v>121</v>
      </c>
      <c r="F7" s="18" t="s">
        <v>89</v>
      </c>
      <c r="G7" s="18" t="s">
        <v>113</v>
      </c>
      <c r="H7" s="27" t="s">
        <v>746</v>
      </c>
      <c r="I7" s="57">
        <f>4/4.5</f>
        <v>0.88888888888888884</v>
      </c>
      <c r="J7" s="20" t="str">
        <f>VLOOKUP(G7,MD!M$2:O$93,3,FALSE)</f>
        <v>Dose hom.</v>
      </c>
      <c r="K7" s="29">
        <v>1</v>
      </c>
      <c r="L7" s="27" t="s">
        <v>161</v>
      </c>
      <c r="M7" s="25" t="s">
        <v>402</v>
      </c>
      <c r="N7" s="25">
        <f>4*400</f>
        <v>1600</v>
      </c>
      <c r="O7" s="25" t="s">
        <v>358</v>
      </c>
      <c r="P7" s="22"/>
      <c r="Q7" s="44"/>
      <c r="R7" s="44"/>
      <c r="S7" s="44"/>
      <c r="T7" s="25"/>
      <c r="U7" s="25"/>
      <c r="V7" s="25"/>
      <c r="W7" s="25"/>
      <c r="X7" s="22"/>
      <c r="Y7" s="44"/>
      <c r="Z7" s="44"/>
      <c r="AA7" s="44"/>
      <c r="AB7" s="25"/>
      <c r="AC7" s="25"/>
      <c r="AD7" s="25"/>
      <c r="AE7" s="25"/>
    </row>
    <row r="8" spans="1:31" s="59" customFormat="1">
      <c r="A8" s="47" t="s">
        <v>121</v>
      </c>
      <c r="B8" s="47" t="s">
        <v>122</v>
      </c>
      <c r="C8" s="48">
        <v>43039</v>
      </c>
      <c r="D8" s="64">
        <v>44</v>
      </c>
      <c r="E8" s="47" t="s">
        <v>121</v>
      </c>
      <c r="F8" s="18" t="s">
        <v>89</v>
      </c>
      <c r="G8" s="18" t="s">
        <v>113</v>
      </c>
      <c r="H8" s="27" t="s">
        <v>747</v>
      </c>
      <c r="I8" s="57">
        <f>4/4.5</f>
        <v>0.88888888888888884</v>
      </c>
      <c r="J8" s="20" t="str">
        <f>VLOOKUP(G8,MD!M$2:O$93,3,FALSE)</f>
        <v>Dose hom.</v>
      </c>
      <c r="K8" s="29">
        <v>1</v>
      </c>
      <c r="L8" s="27" t="s">
        <v>161</v>
      </c>
      <c r="M8" s="25" t="s">
        <v>751</v>
      </c>
      <c r="N8" s="25">
        <f>4*25</f>
        <v>100</v>
      </c>
      <c r="O8" s="25" t="s">
        <v>358</v>
      </c>
      <c r="P8" s="22"/>
      <c r="Q8" s="44"/>
      <c r="R8" s="44"/>
      <c r="S8" s="44"/>
      <c r="T8" s="25"/>
      <c r="U8" s="25"/>
      <c r="V8" s="25"/>
      <c r="W8" s="25"/>
      <c r="X8" s="22"/>
      <c r="Y8" s="44"/>
      <c r="Z8" s="44"/>
      <c r="AA8" s="44"/>
      <c r="AB8" s="25"/>
      <c r="AC8" s="25"/>
      <c r="AD8" s="25"/>
      <c r="AE8" s="25"/>
    </row>
    <row r="9" spans="1:31">
      <c r="A9" s="47" t="s">
        <v>121</v>
      </c>
      <c r="B9" s="47" t="s">
        <v>122</v>
      </c>
      <c r="C9" s="48">
        <v>43175</v>
      </c>
      <c r="D9" s="64">
        <v>11</v>
      </c>
      <c r="E9" s="47" t="s">
        <v>121</v>
      </c>
      <c r="F9" s="18" t="s">
        <v>85</v>
      </c>
      <c r="G9" s="18" t="s">
        <v>67</v>
      </c>
      <c r="I9" s="24">
        <v>1</v>
      </c>
      <c r="J9" s="20" t="str">
        <f>VLOOKUP(G9,MD!M$2:O$93,3,FALSE)</f>
        <v>ha</v>
      </c>
      <c r="K9" s="29">
        <v>0.96</v>
      </c>
      <c r="P9" s="22"/>
      <c r="X9" s="22"/>
    </row>
    <row r="10" spans="1:31">
      <c r="A10" s="47" t="s">
        <v>121</v>
      </c>
      <c r="B10" s="47" t="s">
        <v>122</v>
      </c>
      <c r="C10" s="48">
        <v>43175</v>
      </c>
      <c r="D10" s="64">
        <v>11</v>
      </c>
      <c r="E10" s="47" t="s">
        <v>121</v>
      </c>
      <c r="F10" s="18" t="s">
        <v>88</v>
      </c>
      <c r="G10" s="18" t="s">
        <v>192</v>
      </c>
      <c r="H10" s="27" t="s">
        <v>194</v>
      </c>
      <c r="I10" s="24">
        <v>100</v>
      </c>
      <c r="J10" s="20" t="str">
        <f>VLOOKUP(G10,MD!M$2:O$93,3,FALSE)</f>
        <v>l/ha</v>
      </c>
      <c r="K10" s="29">
        <v>0.96</v>
      </c>
      <c r="P10" s="22"/>
      <c r="X10" s="22"/>
    </row>
    <row r="11" spans="1:31">
      <c r="A11" s="47" t="s">
        <v>121</v>
      </c>
      <c r="B11" s="47" t="s">
        <v>122</v>
      </c>
      <c r="C11" s="48">
        <v>43186</v>
      </c>
      <c r="D11" s="64">
        <v>13</v>
      </c>
      <c r="E11" s="47" t="s">
        <v>121</v>
      </c>
      <c r="F11" s="18" t="s">
        <v>85</v>
      </c>
      <c r="G11" s="18" t="s">
        <v>67</v>
      </c>
      <c r="I11" s="24">
        <v>1</v>
      </c>
      <c r="J11" s="20" t="str">
        <f>VLOOKUP(G11,MD!M$2:O$93,3,FALSE)</f>
        <v>ha</v>
      </c>
      <c r="K11" s="29">
        <v>0.96</v>
      </c>
      <c r="P11" s="22"/>
      <c r="X11" s="22"/>
    </row>
    <row r="12" spans="1:31">
      <c r="A12" s="47" t="s">
        <v>121</v>
      </c>
      <c r="B12" s="47" t="s">
        <v>122</v>
      </c>
      <c r="C12" s="48">
        <v>43186</v>
      </c>
      <c r="D12" s="64">
        <v>13</v>
      </c>
      <c r="E12" s="47" t="s">
        <v>121</v>
      </c>
      <c r="F12" s="18" t="s">
        <v>88</v>
      </c>
      <c r="G12" s="18" t="s">
        <v>192</v>
      </c>
      <c r="H12" s="27" t="s">
        <v>209</v>
      </c>
      <c r="I12" s="24">
        <v>150</v>
      </c>
      <c r="J12" s="20" t="str">
        <f>VLOOKUP(G12,MD!M$2:O$93,3,FALSE)</f>
        <v>l/ha</v>
      </c>
      <c r="K12" s="29">
        <v>0.96</v>
      </c>
      <c r="L12" s="27" t="s">
        <v>210</v>
      </c>
      <c r="P12" s="22"/>
      <c r="X12" s="22"/>
    </row>
    <row r="13" spans="1:31" s="59" customFormat="1">
      <c r="A13" s="47" t="s">
        <v>121</v>
      </c>
      <c r="B13" s="47" t="s">
        <v>122</v>
      </c>
      <c r="C13" s="48">
        <v>43202</v>
      </c>
      <c r="D13" s="64">
        <v>15</v>
      </c>
      <c r="E13" s="47" t="s">
        <v>121</v>
      </c>
      <c r="F13" s="18" t="s">
        <v>85</v>
      </c>
      <c r="G13" s="18" t="s">
        <v>67</v>
      </c>
      <c r="H13" s="27"/>
      <c r="I13" s="24">
        <v>1</v>
      </c>
      <c r="J13" s="20" t="str">
        <f>VLOOKUP(G13,MD!M$2:O$93,3,FALSE)</f>
        <v>ha</v>
      </c>
      <c r="K13" s="29">
        <v>0.96</v>
      </c>
      <c r="L13" s="27"/>
      <c r="M13" s="25"/>
      <c r="N13" s="25"/>
      <c r="O13" s="25"/>
      <c r="P13" s="22"/>
      <c r="Q13" s="44"/>
      <c r="R13" s="44"/>
      <c r="S13" s="44"/>
      <c r="T13" s="25"/>
      <c r="U13" s="25"/>
      <c r="V13" s="25"/>
      <c r="W13" s="25"/>
      <c r="X13" s="22"/>
      <c r="Y13" s="44"/>
      <c r="Z13" s="44"/>
      <c r="AA13" s="44"/>
      <c r="AB13" s="25"/>
      <c r="AC13" s="25"/>
      <c r="AD13" s="25"/>
      <c r="AE13" s="25"/>
    </row>
    <row r="14" spans="1:31" s="59" customFormat="1">
      <c r="A14" s="47" t="s">
        <v>121</v>
      </c>
      <c r="B14" s="47" t="s">
        <v>122</v>
      </c>
      <c r="C14" s="48">
        <v>43202</v>
      </c>
      <c r="D14" s="64">
        <v>15</v>
      </c>
      <c r="E14" s="47" t="s">
        <v>121</v>
      </c>
      <c r="F14" s="18" t="s">
        <v>88</v>
      </c>
      <c r="G14" s="18" t="s">
        <v>191</v>
      </c>
      <c r="H14" s="27" t="s">
        <v>215</v>
      </c>
      <c r="I14" s="24">
        <v>103</v>
      </c>
      <c r="J14" s="20" t="str">
        <f>VLOOKUP(G14,MD!M$2:O$93,3,FALSE)</f>
        <v>l/ha</v>
      </c>
      <c r="K14" s="29">
        <v>0.96</v>
      </c>
      <c r="L14" s="27"/>
      <c r="M14" s="25"/>
      <c r="N14" s="25"/>
      <c r="O14" s="25"/>
      <c r="P14" s="22"/>
      <c r="Q14" s="44"/>
      <c r="R14" s="44"/>
      <c r="S14" s="44"/>
      <c r="T14" s="25"/>
      <c r="U14" s="25"/>
      <c r="V14" s="25"/>
      <c r="W14" s="25"/>
      <c r="X14" s="22"/>
      <c r="Y14" s="44"/>
      <c r="Z14" s="44"/>
      <c r="AA14" s="44"/>
      <c r="AB14" s="25"/>
      <c r="AC14" s="25"/>
      <c r="AD14" s="25"/>
      <c r="AE14" s="25"/>
    </row>
    <row r="15" spans="1:31" s="59" customFormat="1">
      <c r="A15" s="47" t="s">
        <v>121</v>
      </c>
      <c r="B15" s="47" t="s">
        <v>122</v>
      </c>
      <c r="C15" s="48">
        <v>43207</v>
      </c>
      <c r="D15" s="64">
        <v>16</v>
      </c>
      <c r="E15" s="47" t="s">
        <v>121</v>
      </c>
      <c r="F15" s="18" t="s">
        <v>86</v>
      </c>
      <c r="G15" s="18" t="s">
        <v>64</v>
      </c>
      <c r="H15" s="27"/>
      <c r="I15" s="24">
        <v>1</v>
      </c>
      <c r="J15" s="20" t="str">
        <f>VLOOKUP(G15,MD!M$2:O$93,3,FALSE)</f>
        <v>ha</v>
      </c>
      <c r="K15" s="29">
        <v>1</v>
      </c>
      <c r="L15" s="27"/>
      <c r="M15" s="25"/>
      <c r="N15" s="25"/>
      <c r="O15" s="25"/>
      <c r="P15" s="22"/>
      <c r="Q15" s="44"/>
      <c r="R15" s="44"/>
      <c r="S15" s="44"/>
      <c r="T15" s="25"/>
      <c r="U15" s="25"/>
      <c r="V15" s="25"/>
      <c r="W15" s="25"/>
      <c r="X15" s="22"/>
      <c r="Y15" s="44"/>
      <c r="Z15" s="44"/>
      <c r="AA15" s="44"/>
      <c r="AB15" s="25"/>
      <c r="AC15" s="25"/>
      <c r="AD15" s="25"/>
      <c r="AE15" s="25"/>
    </row>
    <row r="16" spans="1:31" s="59" customFormat="1">
      <c r="A16" s="47" t="s">
        <v>121</v>
      </c>
      <c r="B16" s="47" t="s">
        <v>122</v>
      </c>
      <c r="C16" s="48">
        <v>43207</v>
      </c>
      <c r="D16" s="64">
        <v>16</v>
      </c>
      <c r="E16" s="47" t="s">
        <v>121</v>
      </c>
      <c r="F16" s="18" t="s">
        <v>89</v>
      </c>
      <c r="G16" s="18" t="s">
        <v>112</v>
      </c>
      <c r="H16" s="27" t="s">
        <v>752</v>
      </c>
      <c r="I16" s="24">
        <f>1.33/2</f>
        <v>0.66500000000000004</v>
      </c>
      <c r="J16" s="20" t="str">
        <f>VLOOKUP(G16,MD!M$2:O$93,3,FALSE)</f>
        <v>Dose hom.</v>
      </c>
      <c r="K16" s="29">
        <v>1</v>
      </c>
      <c r="L16" s="27" t="s">
        <v>756</v>
      </c>
      <c r="M16" s="25" t="s">
        <v>754</v>
      </c>
      <c r="N16" s="103">
        <f>1.33*62.5</f>
        <v>83.125</v>
      </c>
      <c r="O16" s="25" t="s">
        <v>358</v>
      </c>
      <c r="P16" s="22"/>
      <c r="Q16" s="44"/>
      <c r="R16" s="44"/>
      <c r="S16" s="44"/>
      <c r="T16" s="25"/>
      <c r="U16" s="25"/>
      <c r="V16" s="25"/>
      <c r="W16" s="25"/>
      <c r="X16" s="22"/>
      <c r="Y16" s="44"/>
      <c r="Z16" s="44"/>
      <c r="AA16" s="44"/>
      <c r="AB16" s="25"/>
      <c r="AC16" s="25"/>
      <c r="AD16" s="25"/>
      <c r="AE16" s="25"/>
    </row>
    <row r="17" spans="1:31" s="59" customFormat="1">
      <c r="A17" s="47" t="s">
        <v>121</v>
      </c>
      <c r="B17" s="47" t="s">
        <v>122</v>
      </c>
      <c r="C17" s="48">
        <v>43207</v>
      </c>
      <c r="D17" s="64">
        <v>16</v>
      </c>
      <c r="E17" s="47" t="s">
        <v>121</v>
      </c>
      <c r="F17" s="18" t="s">
        <v>89</v>
      </c>
      <c r="G17" s="18" t="s">
        <v>112</v>
      </c>
      <c r="H17" s="27" t="s">
        <v>752</v>
      </c>
      <c r="I17" s="24">
        <f>1.33/2</f>
        <v>0.66500000000000004</v>
      </c>
      <c r="J17" s="20" t="str">
        <f>VLOOKUP(G17,MD!M$2:O$93,3,FALSE)</f>
        <v>Dose hom.</v>
      </c>
      <c r="K17" s="29">
        <v>1</v>
      </c>
      <c r="L17" s="27" t="s">
        <v>757</v>
      </c>
      <c r="M17" s="25" t="s">
        <v>755</v>
      </c>
      <c r="N17" s="103">
        <f>1.33*50</f>
        <v>66.5</v>
      </c>
      <c r="O17" s="25" t="s">
        <v>358</v>
      </c>
      <c r="P17" s="22"/>
      <c r="Q17" s="44"/>
      <c r="R17" s="44"/>
      <c r="S17" s="44"/>
      <c r="T17" s="25"/>
      <c r="U17" s="25"/>
      <c r="V17" s="25"/>
      <c r="W17" s="25"/>
      <c r="X17" s="22"/>
      <c r="Y17" s="44"/>
      <c r="Z17" s="44"/>
      <c r="AA17" s="44"/>
      <c r="AB17" s="25"/>
      <c r="AC17" s="25"/>
      <c r="AD17" s="25"/>
      <c r="AE17" s="25"/>
    </row>
    <row r="18" spans="1:31" s="59" customFormat="1">
      <c r="A18" s="47" t="s">
        <v>121</v>
      </c>
      <c r="B18" s="47" t="s">
        <v>122</v>
      </c>
      <c r="C18" s="48">
        <v>43207</v>
      </c>
      <c r="D18" s="64">
        <v>16</v>
      </c>
      <c r="E18" s="47" t="s">
        <v>121</v>
      </c>
      <c r="F18" s="18" t="s">
        <v>89</v>
      </c>
      <c r="G18" s="18" t="s">
        <v>112</v>
      </c>
      <c r="H18" s="27" t="s">
        <v>752</v>
      </c>
      <c r="I18" s="24">
        <f>1.33/2</f>
        <v>0.66500000000000004</v>
      </c>
      <c r="J18" s="20" t="str">
        <f>VLOOKUP(G18,MD!M$2:O$93,3,FALSE)</f>
        <v>Dose hom.</v>
      </c>
      <c r="K18" s="29">
        <v>1</v>
      </c>
      <c r="L18" s="27" t="s">
        <v>758</v>
      </c>
      <c r="M18" s="25" t="s">
        <v>474</v>
      </c>
      <c r="N18" s="103">
        <f>1.33*375</f>
        <v>498.75</v>
      </c>
      <c r="O18" s="25" t="s">
        <v>358</v>
      </c>
      <c r="P18" s="22"/>
      <c r="Q18" s="44"/>
      <c r="R18" s="44"/>
      <c r="S18" s="44"/>
      <c r="T18" s="25"/>
      <c r="U18" s="25"/>
      <c r="V18" s="25"/>
      <c r="W18" s="25"/>
      <c r="X18" s="22"/>
      <c r="Y18" s="44"/>
      <c r="Z18" s="44"/>
      <c r="AA18" s="44"/>
      <c r="AB18" s="25"/>
      <c r="AC18" s="25"/>
      <c r="AD18" s="25"/>
      <c r="AE18" s="25"/>
    </row>
    <row r="19" spans="1:31" s="59" customFormat="1">
      <c r="A19" s="47" t="s">
        <v>121</v>
      </c>
      <c r="B19" s="47" t="s">
        <v>122</v>
      </c>
      <c r="C19" s="48">
        <v>43207</v>
      </c>
      <c r="D19" s="64">
        <v>16</v>
      </c>
      <c r="E19" s="47" t="s">
        <v>121</v>
      </c>
      <c r="F19" s="18" t="s">
        <v>89</v>
      </c>
      <c r="G19" s="18" t="s">
        <v>112</v>
      </c>
      <c r="H19" s="27" t="s">
        <v>753</v>
      </c>
      <c r="I19" s="24"/>
      <c r="J19" s="20" t="str">
        <f>VLOOKUP(G19,MD!M$2:O$93,3,FALSE)</f>
        <v>Dose hom.</v>
      </c>
      <c r="K19" s="29">
        <v>1</v>
      </c>
      <c r="L19" s="27" t="s">
        <v>760</v>
      </c>
      <c r="M19" s="25" t="s">
        <v>759</v>
      </c>
      <c r="N19" s="103">
        <f>0.35*50</f>
        <v>17.5</v>
      </c>
      <c r="O19" s="25" t="s">
        <v>358</v>
      </c>
      <c r="P19" s="22"/>
      <c r="Q19" s="44"/>
      <c r="R19" s="44"/>
      <c r="S19" s="44"/>
      <c r="T19" s="25"/>
      <c r="U19" s="25"/>
      <c r="V19" s="25"/>
      <c r="W19" s="25"/>
      <c r="X19" s="22"/>
      <c r="Y19" s="44"/>
      <c r="Z19" s="44"/>
      <c r="AA19" s="44"/>
      <c r="AB19" s="25"/>
      <c r="AC19" s="25"/>
      <c r="AD19" s="25"/>
      <c r="AE19" s="25"/>
    </row>
    <row r="20" spans="1:31" s="59" customFormat="1">
      <c r="A20" s="47" t="s">
        <v>121</v>
      </c>
      <c r="B20" s="47" t="s">
        <v>122</v>
      </c>
      <c r="C20" s="48">
        <v>43207</v>
      </c>
      <c r="D20" s="64">
        <v>16</v>
      </c>
      <c r="E20" s="47" t="s">
        <v>121</v>
      </c>
      <c r="F20" s="18" t="s">
        <v>89</v>
      </c>
      <c r="G20" s="18" t="s">
        <v>112</v>
      </c>
      <c r="H20" s="27" t="s">
        <v>753</v>
      </c>
      <c r="I20" s="24"/>
      <c r="J20" s="20" t="str">
        <f>VLOOKUP(G20,MD!M$2:O$93,3,FALSE)</f>
        <v>Dose hom.</v>
      </c>
      <c r="K20" s="29">
        <v>1</v>
      </c>
      <c r="L20" s="27" t="s">
        <v>761</v>
      </c>
      <c r="M20" s="25" t="s">
        <v>469</v>
      </c>
      <c r="N20" s="103">
        <f>0.35*75</f>
        <v>26.25</v>
      </c>
      <c r="O20" s="25" t="s">
        <v>358</v>
      </c>
      <c r="P20" s="22"/>
      <c r="Q20" s="44"/>
      <c r="R20" s="44"/>
      <c r="S20" s="44"/>
      <c r="T20" s="25"/>
      <c r="U20" s="25"/>
      <c r="V20" s="25"/>
      <c r="W20" s="25"/>
      <c r="X20" s="22"/>
      <c r="Y20" s="44"/>
      <c r="Z20" s="44"/>
      <c r="AA20" s="44"/>
      <c r="AB20" s="25"/>
      <c r="AC20" s="25"/>
      <c r="AD20" s="25"/>
      <c r="AE20" s="25"/>
    </row>
    <row r="21" spans="1:31" s="59" customFormat="1">
      <c r="A21" s="47" t="s">
        <v>121</v>
      </c>
      <c r="B21" s="47" t="s">
        <v>122</v>
      </c>
      <c r="C21" s="48">
        <v>43231</v>
      </c>
      <c r="D21" s="64">
        <v>19</v>
      </c>
      <c r="E21" s="47" t="s">
        <v>121</v>
      </c>
      <c r="F21" s="18" t="s">
        <v>86</v>
      </c>
      <c r="G21" s="18" t="s">
        <v>64</v>
      </c>
      <c r="H21" s="27"/>
      <c r="I21" s="24">
        <v>1</v>
      </c>
      <c r="J21" s="20" t="str">
        <f>VLOOKUP(G21,MD!M$2:O$93,3,FALSE)</f>
        <v>ha</v>
      </c>
      <c r="K21" s="29">
        <v>1</v>
      </c>
      <c r="L21" s="27"/>
      <c r="M21" s="25"/>
      <c r="N21" s="25"/>
      <c r="O21" s="25"/>
      <c r="P21" s="22"/>
      <c r="Q21" s="44"/>
      <c r="R21" s="44"/>
      <c r="S21" s="44"/>
      <c r="T21" s="25"/>
      <c r="U21" s="25"/>
      <c r="V21" s="25"/>
      <c r="W21" s="25"/>
      <c r="X21" s="22"/>
      <c r="Y21" s="44"/>
      <c r="Z21" s="44"/>
      <c r="AA21" s="44"/>
      <c r="AB21" s="25"/>
      <c r="AC21" s="25"/>
      <c r="AD21" s="25"/>
      <c r="AE21" s="25"/>
    </row>
    <row r="22" spans="1:31" s="59" customFormat="1">
      <c r="A22" s="47" t="s">
        <v>121</v>
      </c>
      <c r="B22" s="47" t="s">
        <v>122</v>
      </c>
      <c r="C22" s="48">
        <v>43231</v>
      </c>
      <c r="D22" s="64">
        <v>19</v>
      </c>
      <c r="E22" s="47" t="s">
        <v>121</v>
      </c>
      <c r="F22" s="18" t="s">
        <v>89</v>
      </c>
      <c r="G22" s="18" t="s">
        <v>112</v>
      </c>
      <c r="H22" s="27" t="s">
        <v>762</v>
      </c>
      <c r="I22" s="24"/>
      <c r="J22" s="20" t="str">
        <f>VLOOKUP(G22,MD!M$2:O$93,3,FALSE)</f>
        <v>Dose hom.</v>
      </c>
      <c r="K22" s="29">
        <v>1</v>
      </c>
      <c r="L22" s="27" t="s">
        <v>764</v>
      </c>
      <c r="M22" s="25" t="s">
        <v>471</v>
      </c>
      <c r="N22" s="103">
        <f>0.5*75</f>
        <v>37.5</v>
      </c>
      <c r="O22" s="25" t="s">
        <v>358</v>
      </c>
      <c r="P22" s="22"/>
      <c r="Q22" s="44"/>
      <c r="R22" s="44"/>
      <c r="S22" s="44"/>
      <c r="T22" s="25"/>
      <c r="U22" s="25"/>
      <c r="V22" s="25"/>
      <c r="W22" s="25"/>
      <c r="X22" s="22"/>
      <c r="Y22" s="44"/>
      <c r="Z22" s="44"/>
      <c r="AA22" s="44"/>
      <c r="AB22" s="25"/>
      <c r="AC22" s="25"/>
      <c r="AD22" s="25"/>
      <c r="AE22" s="25"/>
    </row>
    <row r="23" spans="1:31" s="59" customFormat="1">
      <c r="A23" s="47" t="s">
        <v>121</v>
      </c>
      <c r="B23" s="47" t="s">
        <v>122</v>
      </c>
      <c r="C23" s="48">
        <v>43231</v>
      </c>
      <c r="D23" s="64">
        <v>19</v>
      </c>
      <c r="E23" s="47" t="s">
        <v>121</v>
      </c>
      <c r="F23" s="18" t="s">
        <v>89</v>
      </c>
      <c r="G23" s="18" t="s">
        <v>112</v>
      </c>
      <c r="H23" s="27" t="s">
        <v>763</v>
      </c>
      <c r="I23" s="24"/>
      <c r="J23" s="20" t="str">
        <f>VLOOKUP(G23,MD!M$2:O$93,3,FALSE)</f>
        <v>Dose hom.</v>
      </c>
      <c r="K23" s="29">
        <v>1</v>
      </c>
      <c r="L23" s="27" t="s">
        <v>765</v>
      </c>
      <c r="M23" s="25" t="s">
        <v>754</v>
      </c>
      <c r="N23" s="25">
        <f>0.5*150</f>
        <v>75</v>
      </c>
      <c r="O23" s="25" t="s">
        <v>358</v>
      </c>
      <c r="P23" s="22"/>
      <c r="Q23" s="44"/>
      <c r="R23" s="44"/>
      <c r="S23" s="44"/>
      <c r="T23" s="25"/>
      <c r="U23" s="25"/>
      <c r="V23" s="25"/>
      <c r="W23" s="25"/>
      <c r="X23" s="22"/>
      <c r="Y23" s="44"/>
      <c r="Z23" s="44"/>
      <c r="AA23" s="44"/>
      <c r="AB23" s="25"/>
      <c r="AC23" s="25"/>
      <c r="AD23" s="25"/>
      <c r="AE23" s="25"/>
    </row>
    <row r="24" spans="1:31" s="59" customFormat="1">
      <c r="A24" s="47" t="s">
        <v>121</v>
      </c>
      <c r="B24" s="47" t="s">
        <v>122</v>
      </c>
      <c r="C24" s="48">
        <v>43231</v>
      </c>
      <c r="D24" s="64">
        <v>19</v>
      </c>
      <c r="E24" s="47" t="s">
        <v>121</v>
      </c>
      <c r="F24" s="18" t="s">
        <v>89</v>
      </c>
      <c r="G24" s="18" t="s">
        <v>112</v>
      </c>
      <c r="H24" s="27" t="s">
        <v>766</v>
      </c>
      <c r="I24" s="24"/>
      <c r="J24" s="20" t="str">
        <f>VLOOKUP(G24,MD!M$2:O$93,3,FALSE)</f>
        <v>Dose hom.</v>
      </c>
      <c r="K24" s="29">
        <v>1</v>
      </c>
      <c r="L24" s="27" t="s">
        <v>767</v>
      </c>
      <c r="M24" s="25" t="s">
        <v>548</v>
      </c>
      <c r="N24" s="25">
        <f>0.5*90</f>
        <v>45</v>
      </c>
      <c r="O24" s="25" t="s">
        <v>358</v>
      </c>
      <c r="P24" s="22"/>
      <c r="Q24" s="44"/>
      <c r="R24" s="44"/>
      <c r="S24" s="44"/>
      <c r="T24" s="25"/>
      <c r="U24" s="25"/>
      <c r="V24" s="25"/>
      <c r="W24" s="25"/>
      <c r="X24" s="22"/>
      <c r="Y24" s="44"/>
      <c r="Z24" s="44"/>
      <c r="AA24" s="44"/>
      <c r="AB24" s="25"/>
      <c r="AC24" s="25"/>
      <c r="AD24" s="25"/>
      <c r="AE24" s="25"/>
    </row>
    <row r="25" spans="1:31" s="59" customFormat="1">
      <c r="A25" s="47" t="s">
        <v>121</v>
      </c>
      <c r="B25" s="47" t="s">
        <v>122</v>
      </c>
      <c r="C25" s="48">
        <v>43232</v>
      </c>
      <c r="D25" s="64">
        <v>19</v>
      </c>
      <c r="E25" s="47" t="s">
        <v>121</v>
      </c>
      <c r="F25" s="18" t="s">
        <v>85</v>
      </c>
      <c r="G25" s="18" t="s">
        <v>67</v>
      </c>
      <c r="H25" s="27"/>
      <c r="I25" s="24">
        <v>1</v>
      </c>
      <c r="J25" s="20" t="str">
        <f>VLOOKUP(G25,MD!M$2:O$93,3,FALSE)</f>
        <v>ha</v>
      </c>
      <c r="K25" s="29">
        <v>0.96</v>
      </c>
      <c r="L25" s="27"/>
      <c r="M25" s="25"/>
      <c r="N25" s="25"/>
      <c r="O25" s="25"/>
      <c r="P25" s="22"/>
      <c r="Q25" s="44"/>
      <c r="R25" s="44"/>
      <c r="S25" s="44"/>
      <c r="T25" s="25"/>
      <c r="U25" s="25"/>
      <c r="V25" s="25"/>
      <c r="W25" s="25"/>
      <c r="X25" s="22"/>
      <c r="Y25" s="44"/>
      <c r="Z25" s="44"/>
      <c r="AA25" s="44"/>
      <c r="AB25" s="25"/>
      <c r="AC25" s="25"/>
      <c r="AD25" s="25"/>
      <c r="AE25" s="25"/>
    </row>
    <row r="26" spans="1:31" s="59" customFormat="1">
      <c r="A26" s="47" t="s">
        <v>121</v>
      </c>
      <c r="B26" s="47" t="s">
        <v>122</v>
      </c>
      <c r="C26" s="48">
        <v>43232</v>
      </c>
      <c r="D26" s="64">
        <v>19</v>
      </c>
      <c r="E26" s="47" t="s">
        <v>121</v>
      </c>
      <c r="F26" s="18" t="s">
        <v>88</v>
      </c>
      <c r="G26" s="18" t="s">
        <v>191</v>
      </c>
      <c r="H26" s="27" t="s">
        <v>282</v>
      </c>
      <c r="I26" s="24">
        <v>130</v>
      </c>
      <c r="J26" s="20" t="str">
        <f>VLOOKUP(G26,MD!M$2:O$93,3,FALSE)</f>
        <v>l/ha</v>
      </c>
      <c r="K26" s="29">
        <v>0.96</v>
      </c>
      <c r="L26" s="27" t="s">
        <v>254</v>
      </c>
      <c r="M26" s="25"/>
      <c r="N26" s="25"/>
      <c r="O26" s="25"/>
      <c r="P26" s="22"/>
      <c r="Q26" s="44"/>
      <c r="R26" s="44"/>
      <c r="S26" s="44"/>
      <c r="T26" s="25"/>
      <c r="U26" s="25"/>
      <c r="V26" s="25"/>
      <c r="W26" s="25"/>
      <c r="X26" s="22"/>
      <c r="Y26" s="44"/>
      <c r="Z26" s="44"/>
      <c r="AA26" s="44"/>
      <c r="AB26" s="25"/>
      <c r="AC26" s="25"/>
      <c r="AD26" s="25"/>
      <c r="AE26" s="25"/>
    </row>
    <row r="27" spans="1:31">
      <c r="A27" s="47" t="s">
        <v>121</v>
      </c>
      <c r="B27" s="47" t="s">
        <v>122</v>
      </c>
      <c r="C27" s="48">
        <v>43247</v>
      </c>
      <c r="D27" s="64">
        <v>21</v>
      </c>
      <c r="E27" s="47" t="s">
        <v>121</v>
      </c>
      <c r="F27" s="18" t="s">
        <v>86</v>
      </c>
      <c r="G27" s="18" t="s">
        <v>64</v>
      </c>
      <c r="I27" s="24">
        <v>1</v>
      </c>
      <c r="J27" s="20" t="str">
        <f>VLOOKUP(G27,MD!M$2:O$93,3,FALSE)</f>
        <v>ha</v>
      </c>
      <c r="K27" s="29">
        <v>1</v>
      </c>
      <c r="P27" s="22"/>
      <c r="X27" s="22"/>
    </row>
    <row r="28" spans="1:31" s="59" customFormat="1">
      <c r="A28" s="47" t="s">
        <v>121</v>
      </c>
      <c r="B28" s="47" t="s">
        <v>122</v>
      </c>
      <c r="C28" s="48">
        <v>43247</v>
      </c>
      <c r="D28" s="64">
        <v>21</v>
      </c>
      <c r="E28" s="47" t="s">
        <v>121</v>
      </c>
      <c r="F28" s="18" t="s">
        <v>89</v>
      </c>
      <c r="G28" s="18" t="s">
        <v>112</v>
      </c>
      <c r="H28" s="27" t="s">
        <v>773</v>
      </c>
      <c r="I28" s="24">
        <v>115</v>
      </c>
      <c r="J28" s="20" t="str">
        <f>VLOOKUP(G28,MD!M$2:O$93,3,FALSE)</f>
        <v>Dose hom.</v>
      </c>
      <c r="K28" s="29">
        <v>1</v>
      </c>
      <c r="L28" s="27" t="s">
        <v>775</v>
      </c>
      <c r="M28" s="25" t="s">
        <v>367</v>
      </c>
      <c r="N28" s="25">
        <f>0.6*160</f>
        <v>96</v>
      </c>
      <c r="O28" s="25" t="s">
        <v>358</v>
      </c>
      <c r="P28" s="22"/>
      <c r="Q28" s="44"/>
      <c r="R28" s="44"/>
      <c r="S28" s="44"/>
      <c r="T28" s="25"/>
      <c r="U28" s="25"/>
      <c r="V28" s="25"/>
      <c r="W28" s="25"/>
      <c r="X28" s="22"/>
      <c r="Y28" s="44"/>
      <c r="Z28" s="44"/>
      <c r="AA28" s="44"/>
      <c r="AB28" s="25"/>
      <c r="AC28" s="25"/>
      <c r="AD28" s="25"/>
      <c r="AE28" s="25"/>
    </row>
    <row r="29" spans="1:31" s="59" customFormat="1">
      <c r="A29" s="47" t="s">
        <v>121</v>
      </c>
      <c r="B29" s="47" t="s">
        <v>122</v>
      </c>
      <c r="C29" s="48">
        <v>43247</v>
      </c>
      <c r="D29" s="64">
        <v>21</v>
      </c>
      <c r="E29" s="47" t="s">
        <v>121</v>
      </c>
      <c r="F29" s="18" t="s">
        <v>89</v>
      </c>
      <c r="G29" s="18" t="s">
        <v>112</v>
      </c>
      <c r="H29" s="27" t="s">
        <v>773</v>
      </c>
      <c r="I29" s="24">
        <v>115</v>
      </c>
      <c r="J29" s="20" t="str">
        <f>VLOOKUP(G29,MD!M$2:O$93,3,FALSE)</f>
        <v>Dose hom.</v>
      </c>
      <c r="K29" s="29">
        <v>1</v>
      </c>
      <c r="L29" s="27" t="s">
        <v>774</v>
      </c>
      <c r="M29" s="25" t="s">
        <v>371</v>
      </c>
      <c r="N29" s="25">
        <f>0.6*80</f>
        <v>48</v>
      </c>
      <c r="O29" s="25" t="s">
        <v>358</v>
      </c>
      <c r="P29" s="22"/>
      <c r="Q29" s="44"/>
      <c r="R29" s="44"/>
      <c r="S29" s="44"/>
      <c r="T29" s="25"/>
      <c r="U29" s="25"/>
      <c r="V29" s="25"/>
      <c r="W29" s="25"/>
      <c r="X29" s="22"/>
      <c r="Y29" s="44"/>
      <c r="Z29" s="44"/>
      <c r="AA29" s="44"/>
      <c r="AB29" s="25"/>
      <c r="AC29" s="25"/>
      <c r="AD29" s="25"/>
      <c r="AE29" s="25"/>
    </row>
    <row r="30" spans="1:31" s="59" customFormat="1">
      <c r="A30" s="47" t="s">
        <v>121</v>
      </c>
      <c r="B30" s="47" t="s">
        <v>122</v>
      </c>
      <c r="C30" s="48">
        <v>43247</v>
      </c>
      <c r="D30" s="64">
        <v>21</v>
      </c>
      <c r="E30" s="47" t="s">
        <v>121</v>
      </c>
      <c r="F30" s="18" t="s">
        <v>89</v>
      </c>
      <c r="G30" s="18" t="s">
        <v>112</v>
      </c>
      <c r="H30" s="27" t="s">
        <v>772</v>
      </c>
      <c r="I30" s="24">
        <v>115</v>
      </c>
      <c r="J30" s="20" t="str">
        <f>VLOOKUP(G30,MD!M$2:O$93,3,FALSE)</f>
        <v>Dose hom.</v>
      </c>
      <c r="K30" s="29">
        <v>1</v>
      </c>
      <c r="L30" s="27" t="s">
        <v>777</v>
      </c>
      <c r="M30" s="25" t="s">
        <v>776</v>
      </c>
      <c r="N30" s="103">
        <f>0.115*845</f>
        <v>97.174999999999997</v>
      </c>
      <c r="O30" s="25" t="s">
        <v>358</v>
      </c>
      <c r="P30" s="22"/>
      <c r="Q30" s="44"/>
      <c r="R30" s="44"/>
      <c r="S30" s="44"/>
      <c r="T30" s="25"/>
      <c r="U30" s="25"/>
      <c r="V30" s="25"/>
      <c r="W30" s="25"/>
      <c r="X30" s="22"/>
      <c r="Y30" s="44"/>
      <c r="Z30" s="44"/>
      <c r="AA30" s="44"/>
      <c r="AB30" s="25"/>
      <c r="AC30" s="25"/>
      <c r="AD30" s="25"/>
      <c r="AE30" s="25"/>
    </row>
    <row r="31" spans="1:31" s="59" customFormat="1">
      <c r="A31" s="47" t="s">
        <v>121</v>
      </c>
      <c r="B31" s="47" t="s">
        <v>122</v>
      </c>
      <c r="C31" s="48">
        <v>43294</v>
      </c>
      <c r="D31" s="64">
        <v>28</v>
      </c>
      <c r="E31" s="47" t="s">
        <v>121</v>
      </c>
      <c r="F31" s="18" t="s">
        <v>86</v>
      </c>
      <c r="G31" s="18" t="s">
        <v>55</v>
      </c>
      <c r="H31" s="27"/>
      <c r="I31" s="24">
        <v>1</v>
      </c>
      <c r="J31" s="20" t="str">
        <f>VLOOKUP(G31,MD!M$2:O$93,3,FALSE)</f>
        <v>ha</v>
      </c>
      <c r="K31" s="29">
        <v>1</v>
      </c>
      <c r="L31" s="27"/>
      <c r="M31" s="25"/>
      <c r="N31" s="25"/>
      <c r="O31" s="25"/>
      <c r="P31" s="22"/>
      <c r="Q31" s="44"/>
      <c r="R31" s="44"/>
      <c r="S31" s="44"/>
      <c r="T31" s="25"/>
      <c r="U31" s="25"/>
      <c r="V31" s="25"/>
      <c r="W31" s="25"/>
      <c r="X31" s="22"/>
      <c r="Y31" s="44"/>
      <c r="Z31" s="44"/>
      <c r="AA31" s="44"/>
      <c r="AB31" s="25"/>
      <c r="AC31" s="25"/>
      <c r="AD31" s="25"/>
      <c r="AE31" s="25"/>
    </row>
    <row r="32" spans="1:31" s="59" customFormat="1">
      <c r="A32" s="47" t="s">
        <v>121</v>
      </c>
      <c r="B32" s="47" t="s">
        <v>122</v>
      </c>
      <c r="C32" s="48">
        <v>43294</v>
      </c>
      <c r="D32" s="64">
        <v>28</v>
      </c>
      <c r="E32" s="47" t="s">
        <v>121</v>
      </c>
      <c r="F32" s="18" t="s">
        <v>2</v>
      </c>
      <c r="G32" s="18" t="s">
        <v>115</v>
      </c>
      <c r="H32" s="27" t="s">
        <v>285</v>
      </c>
      <c r="I32" s="24">
        <v>102</v>
      </c>
      <c r="J32" s="20" t="str">
        <f>VLOOKUP(G32,MD!M$2:O$93,3,FALSE)</f>
        <v>Qtx/ha</v>
      </c>
      <c r="K32" s="29">
        <v>1</v>
      </c>
      <c r="L32" s="27" t="s">
        <v>291</v>
      </c>
      <c r="M32" s="25"/>
      <c r="N32" s="25"/>
      <c r="O32" s="25"/>
      <c r="P32" s="22"/>
      <c r="Q32" s="44"/>
      <c r="R32" s="44"/>
      <c r="S32" s="44"/>
      <c r="T32" s="25"/>
      <c r="U32" s="25"/>
      <c r="V32" s="25"/>
      <c r="W32" s="25"/>
      <c r="X32" s="22"/>
      <c r="Y32" s="44"/>
      <c r="Z32" s="44"/>
      <c r="AA32" s="44"/>
      <c r="AB32" s="25"/>
      <c r="AC32" s="25"/>
      <c r="AD32" s="25"/>
      <c r="AE32" s="25"/>
    </row>
    <row r="33" spans="1:31" s="59" customFormat="1">
      <c r="A33" s="47" t="s">
        <v>121</v>
      </c>
      <c r="B33" s="47" t="s">
        <v>122</v>
      </c>
      <c r="C33" s="48"/>
      <c r="D33" s="64">
        <v>29</v>
      </c>
      <c r="E33" s="47" t="s">
        <v>121</v>
      </c>
      <c r="F33" s="18" t="s">
        <v>86</v>
      </c>
      <c r="G33" s="18" t="s">
        <v>74</v>
      </c>
      <c r="H33" s="27" t="s">
        <v>292</v>
      </c>
      <c r="I33" s="24">
        <v>4.5</v>
      </c>
      <c r="J33" s="20" t="str">
        <f>VLOOKUP(G33,MD!M$2:O$93,3,FALSE)</f>
        <v>t/ha</v>
      </c>
      <c r="K33" s="29">
        <v>1</v>
      </c>
      <c r="L33" s="27"/>
      <c r="M33" s="25"/>
      <c r="N33" s="25"/>
      <c r="O33" s="25"/>
      <c r="P33" s="22"/>
      <c r="Q33" s="44"/>
      <c r="R33" s="44"/>
      <c r="S33" s="44"/>
      <c r="T33" s="25"/>
      <c r="U33" s="25"/>
      <c r="V33" s="25"/>
      <c r="W33" s="25"/>
      <c r="X33" s="22"/>
      <c r="Y33" s="44"/>
      <c r="Z33" s="44"/>
      <c r="AA33" s="44"/>
      <c r="AB33" s="25"/>
      <c r="AC33" s="25"/>
      <c r="AD33" s="25"/>
      <c r="AE33" s="25"/>
    </row>
    <row r="34" spans="1:31" s="59" customFormat="1">
      <c r="A34" s="47" t="s">
        <v>121</v>
      </c>
      <c r="B34" s="47" t="s">
        <v>122</v>
      </c>
      <c r="C34" s="48"/>
      <c r="D34" s="64">
        <v>29</v>
      </c>
      <c r="E34" s="47" t="s">
        <v>121</v>
      </c>
      <c r="F34" s="18" t="s">
        <v>86</v>
      </c>
      <c r="G34" s="18" t="s">
        <v>49</v>
      </c>
      <c r="H34" s="27" t="s">
        <v>292</v>
      </c>
      <c r="I34" s="24">
        <v>4.5</v>
      </c>
      <c r="J34" s="20" t="str">
        <f>VLOOKUP(G34,MD!M$2:O$93,3,FALSE)</f>
        <v>t/ha</v>
      </c>
      <c r="K34" s="29">
        <v>1</v>
      </c>
      <c r="L34" s="27"/>
      <c r="M34" s="25"/>
      <c r="N34" s="25"/>
      <c r="O34" s="25"/>
      <c r="P34" s="22"/>
      <c r="Q34" s="44"/>
      <c r="R34" s="44"/>
      <c r="S34" s="44"/>
      <c r="T34" s="25"/>
      <c r="U34" s="25"/>
      <c r="V34" s="25"/>
      <c r="W34" s="25"/>
      <c r="X34" s="22"/>
      <c r="Y34" s="44"/>
      <c r="Z34" s="44"/>
      <c r="AA34" s="44"/>
      <c r="AB34" s="25"/>
      <c r="AC34" s="25"/>
      <c r="AD34" s="25"/>
      <c r="AE34" s="25"/>
    </row>
    <row r="35" spans="1:31" s="59" customFormat="1">
      <c r="A35" s="47" t="s">
        <v>121</v>
      </c>
      <c r="B35" s="47" t="s">
        <v>122</v>
      </c>
      <c r="C35" s="48"/>
      <c r="D35" s="64">
        <v>29</v>
      </c>
      <c r="E35" s="47" t="s">
        <v>121</v>
      </c>
      <c r="F35" s="18" t="s">
        <v>86</v>
      </c>
      <c r="G35" s="18" t="s">
        <v>79</v>
      </c>
      <c r="H35" s="27" t="s">
        <v>292</v>
      </c>
      <c r="I35" s="24">
        <v>4.5</v>
      </c>
      <c r="J35" s="20" t="str">
        <f>VLOOKUP(G35,MD!M$2:O$93,3,FALSE)</f>
        <v>t/ha</v>
      </c>
      <c r="K35" s="29">
        <v>1</v>
      </c>
      <c r="L35" s="27"/>
      <c r="M35" s="25"/>
      <c r="N35" s="25"/>
      <c r="O35" s="25"/>
      <c r="P35" s="22"/>
      <c r="Q35" s="44"/>
      <c r="R35" s="44"/>
      <c r="S35" s="44"/>
      <c r="T35" s="25"/>
      <c r="U35" s="25"/>
      <c r="V35" s="25"/>
      <c r="W35" s="25"/>
      <c r="X35" s="22"/>
      <c r="Y35" s="44"/>
      <c r="Z35" s="44"/>
      <c r="AA35" s="44"/>
      <c r="AB35" s="25"/>
      <c r="AC35" s="25"/>
      <c r="AD35" s="25"/>
      <c r="AE35" s="25"/>
    </row>
    <row r="36" spans="1:31" s="59" customFormat="1">
      <c r="A36" s="47" t="s">
        <v>121</v>
      </c>
      <c r="B36" s="47" t="s">
        <v>122</v>
      </c>
      <c r="C36" s="48"/>
      <c r="D36" s="64">
        <v>29</v>
      </c>
      <c r="E36" s="47" t="s">
        <v>121</v>
      </c>
      <c r="F36" s="18" t="s">
        <v>2</v>
      </c>
      <c r="G36" s="18" t="s">
        <v>116</v>
      </c>
      <c r="H36" s="27" t="s">
        <v>292</v>
      </c>
      <c r="I36" s="24">
        <v>4.5</v>
      </c>
      <c r="J36" s="20" t="str">
        <f>VLOOKUP(G36,MD!M$2:O$93,3,FALSE)</f>
        <v>t/ha</v>
      </c>
      <c r="K36" s="29">
        <v>1</v>
      </c>
      <c r="L36" s="27"/>
      <c r="M36" s="25"/>
      <c r="N36" s="25"/>
      <c r="O36" s="25"/>
      <c r="P36" s="22"/>
      <c r="Q36" s="44"/>
      <c r="R36" s="44"/>
      <c r="S36" s="44"/>
      <c r="T36" s="25"/>
      <c r="U36" s="25"/>
      <c r="V36" s="25"/>
      <c r="W36" s="25"/>
      <c r="X36" s="22"/>
      <c r="Y36" s="44"/>
      <c r="Z36" s="44"/>
      <c r="AA36" s="44"/>
      <c r="AB36" s="25"/>
      <c r="AC36" s="25"/>
      <c r="AD36" s="25"/>
      <c r="AE36" s="25"/>
    </row>
    <row r="37" spans="1:31" s="59" customFormat="1">
      <c r="A37" s="47" t="s">
        <v>269</v>
      </c>
      <c r="B37" s="47" t="s">
        <v>270</v>
      </c>
      <c r="C37" s="48">
        <v>43322</v>
      </c>
      <c r="D37" s="64">
        <f t="shared" ref="D37:D72" si="0">WEEKNUM(C37)</f>
        <v>32</v>
      </c>
      <c r="E37" s="47" t="s">
        <v>123</v>
      </c>
      <c r="F37" s="18" t="s">
        <v>83</v>
      </c>
      <c r="G37" s="18" t="s">
        <v>37</v>
      </c>
      <c r="H37" s="27"/>
      <c r="I37" s="24">
        <v>1</v>
      </c>
      <c r="J37" s="20" t="str">
        <f>VLOOKUP(G37,MD!M$2:O$93,3,FALSE)</f>
        <v>ha</v>
      </c>
      <c r="K37" s="29">
        <v>1</v>
      </c>
      <c r="L37" s="27"/>
      <c r="M37" s="25"/>
      <c r="N37" s="25"/>
      <c r="O37" s="25"/>
      <c r="P37" s="22"/>
      <c r="Q37" s="44"/>
      <c r="R37" s="44"/>
      <c r="S37" s="44"/>
      <c r="T37" s="25"/>
      <c r="U37" s="25"/>
      <c r="V37" s="25"/>
      <c r="W37" s="25"/>
      <c r="X37" s="22"/>
      <c r="Y37" s="44"/>
      <c r="Z37" s="44"/>
      <c r="AA37" s="44"/>
      <c r="AB37" s="25"/>
      <c r="AC37" s="25"/>
      <c r="AD37" s="25"/>
      <c r="AE37" s="25"/>
    </row>
    <row r="38" spans="1:31">
      <c r="A38" s="47" t="s">
        <v>269</v>
      </c>
      <c r="B38" s="47" t="s">
        <v>270</v>
      </c>
      <c r="C38" s="48">
        <v>43373</v>
      </c>
      <c r="D38" s="64">
        <f t="shared" si="0"/>
        <v>40</v>
      </c>
      <c r="E38" s="47" t="s">
        <v>123</v>
      </c>
      <c r="F38" s="18" t="s">
        <v>85</v>
      </c>
      <c r="G38" s="18" t="s">
        <v>295</v>
      </c>
      <c r="I38" s="24">
        <v>1</v>
      </c>
      <c r="J38" s="20" t="str">
        <f>VLOOKUP(G38,MD!M$2:O$93,3,FALSE)</f>
        <v>ha</v>
      </c>
      <c r="K38" s="29">
        <v>1</v>
      </c>
      <c r="P38" s="22"/>
      <c r="X38" s="22"/>
    </row>
    <row r="39" spans="1:31">
      <c r="A39" s="47" t="s">
        <v>269</v>
      </c>
      <c r="B39" s="47" t="s">
        <v>270</v>
      </c>
      <c r="C39" s="48">
        <v>43373</v>
      </c>
      <c r="D39" s="64">
        <f t="shared" si="0"/>
        <v>40</v>
      </c>
      <c r="E39" s="47" t="s">
        <v>123</v>
      </c>
      <c r="F39" s="18" t="s">
        <v>88</v>
      </c>
      <c r="G39" s="18" t="s">
        <v>99</v>
      </c>
      <c r="H39" s="27" t="s">
        <v>669</v>
      </c>
      <c r="I39" s="24">
        <v>41</v>
      </c>
      <c r="J39" s="20" t="str">
        <f>VLOOKUP(G39,MD!M$2:O$93,3,FALSE)</f>
        <v>m3/ha</v>
      </c>
      <c r="K39" s="29">
        <v>1</v>
      </c>
      <c r="L39" s="27" t="s">
        <v>300</v>
      </c>
      <c r="P39" s="22"/>
      <c r="X39" s="22"/>
    </row>
    <row r="40" spans="1:31">
      <c r="A40" s="47" t="s">
        <v>269</v>
      </c>
      <c r="B40" s="47" t="s">
        <v>270</v>
      </c>
      <c r="C40" s="48">
        <v>43389</v>
      </c>
      <c r="D40" s="64">
        <f t="shared" si="0"/>
        <v>42</v>
      </c>
      <c r="E40" s="47" t="s">
        <v>123</v>
      </c>
      <c r="F40" s="18" t="s">
        <v>83</v>
      </c>
      <c r="G40" s="18" t="s">
        <v>63</v>
      </c>
      <c r="I40" s="24">
        <v>1</v>
      </c>
      <c r="J40" s="20" t="str">
        <f>VLOOKUP(G40,MD!M$2:O$93,3,FALSE)</f>
        <v>ha</v>
      </c>
      <c r="K40" s="29">
        <v>1</v>
      </c>
      <c r="P40" s="22"/>
      <c r="X40" s="22"/>
    </row>
    <row r="41" spans="1:31">
      <c r="A41" s="47" t="s">
        <v>269</v>
      </c>
      <c r="B41" s="47" t="s">
        <v>270</v>
      </c>
      <c r="C41" s="48">
        <v>43389</v>
      </c>
      <c r="D41" s="64">
        <f t="shared" si="0"/>
        <v>42</v>
      </c>
      <c r="E41" s="47" t="s">
        <v>123</v>
      </c>
      <c r="F41" s="18" t="s">
        <v>84</v>
      </c>
      <c r="G41" s="18" t="s">
        <v>76</v>
      </c>
      <c r="I41" s="24">
        <v>1</v>
      </c>
      <c r="J41" s="20" t="str">
        <f>VLOOKUP(G41,MD!M$2:O$93,3,FALSE)</f>
        <v>ha</v>
      </c>
      <c r="K41" s="29">
        <v>1</v>
      </c>
      <c r="P41" s="22"/>
      <c r="X41" s="22"/>
    </row>
    <row r="42" spans="1:31">
      <c r="A42" s="47" t="s">
        <v>269</v>
      </c>
      <c r="B42" s="47" t="s">
        <v>270</v>
      </c>
      <c r="C42" s="48">
        <v>43389</v>
      </c>
      <c r="D42" s="64">
        <f t="shared" si="0"/>
        <v>42</v>
      </c>
      <c r="E42" s="47" t="s">
        <v>123</v>
      </c>
      <c r="F42" s="18" t="s">
        <v>87</v>
      </c>
      <c r="G42" s="18" t="s">
        <v>93</v>
      </c>
      <c r="H42" s="27" t="s">
        <v>305</v>
      </c>
      <c r="I42" s="24">
        <v>220</v>
      </c>
      <c r="J42" s="20" t="str">
        <f>VLOOKUP(G42,MD!M$2:O$93,3,FALSE)</f>
        <v>gr./m2</v>
      </c>
      <c r="K42" s="29">
        <v>1</v>
      </c>
      <c r="L42" s="27" t="s">
        <v>582</v>
      </c>
      <c r="M42" s="25">
        <f>50*220/1000/1000*10000</f>
        <v>110</v>
      </c>
      <c r="P42" s="22"/>
      <c r="X42" s="22"/>
    </row>
    <row r="43" spans="1:31" s="59" customFormat="1">
      <c r="A43" s="47" t="s">
        <v>269</v>
      </c>
      <c r="B43" s="47" t="s">
        <v>270</v>
      </c>
      <c r="C43" s="48">
        <v>43389</v>
      </c>
      <c r="D43" s="64">
        <f t="shared" si="0"/>
        <v>42</v>
      </c>
      <c r="E43" s="47" t="s">
        <v>123</v>
      </c>
      <c r="F43" s="18" t="s">
        <v>89</v>
      </c>
      <c r="G43" s="18" t="s">
        <v>133</v>
      </c>
      <c r="H43" s="27" t="s">
        <v>366</v>
      </c>
      <c r="I43" s="24"/>
      <c r="J43" s="20" t="str">
        <f>VLOOKUP(G43,MD!M$2:O$93,3,FALSE)</f>
        <v>Dose hom.</v>
      </c>
      <c r="K43" s="29">
        <v>1</v>
      </c>
      <c r="L43" s="27" t="s">
        <v>382</v>
      </c>
      <c r="M43" s="25" t="s">
        <v>367</v>
      </c>
      <c r="N43" s="104">
        <f>100*0.05*220*0.043*0.00001*10000</f>
        <v>4.7300000000000004</v>
      </c>
      <c r="O43" s="25" t="s">
        <v>358</v>
      </c>
      <c r="P43" s="22"/>
      <c r="Q43" s="44"/>
      <c r="R43" s="44"/>
      <c r="S43" s="44"/>
      <c r="T43" s="25"/>
      <c r="U43" s="25"/>
      <c r="V43" s="25"/>
      <c r="W43" s="25"/>
      <c r="X43" s="22"/>
      <c r="Y43" s="44"/>
      <c r="Z43" s="44"/>
      <c r="AA43" s="44"/>
      <c r="AB43" s="25"/>
      <c r="AC43" s="25"/>
      <c r="AD43" s="25"/>
      <c r="AE43" s="25"/>
    </row>
    <row r="44" spans="1:31" s="59" customFormat="1">
      <c r="A44" s="47" t="s">
        <v>269</v>
      </c>
      <c r="B44" s="47" t="s">
        <v>270</v>
      </c>
      <c r="C44" s="48">
        <v>43389</v>
      </c>
      <c r="D44" s="64">
        <f t="shared" si="0"/>
        <v>42</v>
      </c>
      <c r="E44" s="47" t="s">
        <v>123</v>
      </c>
      <c r="F44" s="18" t="s">
        <v>89</v>
      </c>
      <c r="G44" s="18" t="s">
        <v>133</v>
      </c>
      <c r="H44" s="27" t="s">
        <v>368</v>
      </c>
      <c r="I44" s="24"/>
      <c r="J44" s="20" t="str">
        <f>VLOOKUP(G44,MD!M$2:O$93,3,FALSE)</f>
        <v>Dose hom.</v>
      </c>
      <c r="K44" s="29">
        <v>1</v>
      </c>
      <c r="L44" s="27" t="s">
        <v>383</v>
      </c>
      <c r="M44" s="25" t="s">
        <v>369</v>
      </c>
      <c r="N44" s="104">
        <f>20*0.05*220*0.043*0.00001*10000</f>
        <v>0.94599999999999995</v>
      </c>
      <c r="O44" s="25" t="s">
        <v>358</v>
      </c>
      <c r="P44" s="22"/>
      <c r="Q44" s="44"/>
      <c r="R44" s="44"/>
      <c r="S44" s="44"/>
      <c r="T44" s="25"/>
      <c r="U44" s="25"/>
      <c r="V44" s="25"/>
      <c r="W44" s="25"/>
      <c r="X44" s="22"/>
      <c r="Y44" s="44"/>
      <c r="Z44" s="44"/>
      <c r="AA44" s="44"/>
      <c r="AB44" s="25"/>
      <c r="AC44" s="25"/>
      <c r="AD44" s="25"/>
      <c r="AE44" s="25"/>
    </row>
    <row r="45" spans="1:31" s="59" customFormat="1">
      <c r="A45" s="47" t="s">
        <v>269</v>
      </c>
      <c r="B45" s="47" t="s">
        <v>270</v>
      </c>
      <c r="C45" s="48">
        <v>43389</v>
      </c>
      <c r="D45" s="64">
        <f t="shared" si="0"/>
        <v>42</v>
      </c>
      <c r="E45" s="47" t="s">
        <v>123</v>
      </c>
      <c r="F45" s="18" t="s">
        <v>89</v>
      </c>
      <c r="G45" s="18" t="s">
        <v>133</v>
      </c>
      <c r="H45" s="27" t="s">
        <v>370</v>
      </c>
      <c r="I45" s="24"/>
      <c r="J45" s="20" t="str">
        <f>VLOOKUP(G45,MD!M$2:O$93,3,FALSE)</f>
        <v>Dose hom.</v>
      </c>
      <c r="K45" s="29">
        <v>1</v>
      </c>
      <c r="L45" s="27" t="s">
        <v>384</v>
      </c>
      <c r="M45" s="25" t="s">
        <v>371</v>
      </c>
      <c r="N45" s="104">
        <f>60*0.05*220*0.043*0.00001*10000</f>
        <v>2.8380000000000001</v>
      </c>
      <c r="O45" s="25" t="s">
        <v>358</v>
      </c>
      <c r="P45" s="22"/>
      <c r="Q45" s="44"/>
      <c r="R45" s="44"/>
      <c r="S45" s="44"/>
      <c r="T45" s="25"/>
      <c r="U45" s="25"/>
      <c r="V45" s="25"/>
      <c r="W45" s="25"/>
      <c r="X45" s="22"/>
      <c r="Y45" s="44"/>
      <c r="Z45" s="44"/>
      <c r="AA45" s="44"/>
      <c r="AB45" s="25"/>
      <c r="AC45" s="25"/>
      <c r="AD45" s="25"/>
      <c r="AE45" s="25"/>
    </row>
    <row r="46" spans="1:31">
      <c r="A46" s="47" t="s">
        <v>269</v>
      </c>
      <c r="B46" s="47" t="s">
        <v>270</v>
      </c>
      <c r="C46" s="48">
        <v>43390</v>
      </c>
      <c r="D46" s="64">
        <f t="shared" si="0"/>
        <v>42</v>
      </c>
      <c r="E46" s="47" t="s">
        <v>269</v>
      </c>
      <c r="F46" s="18" t="s">
        <v>83</v>
      </c>
      <c r="G46" s="18" t="s">
        <v>56</v>
      </c>
      <c r="I46" s="24">
        <v>1</v>
      </c>
      <c r="J46" s="20" t="str">
        <f>VLOOKUP(G46,MD!M$2:O$93,3,FALSE)</f>
        <v>ha</v>
      </c>
      <c r="K46" s="29">
        <v>1</v>
      </c>
      <c r="P46" s="22"/>
      <c r="X46" s="22"/>
    </row>
    <row r="47" spans="1:31" s="59" customFormat="1">
      <c r="A47" s="47" t="s">
        <v>269</v>
      </c>
      <c r="B47" s="47" t="s">
        <v>270</v>
      </c>
      <c r="C47" s="48">
        <v>43427</v>
      </c>
      <c r="D47" s="64">
        <f t="shared" si="0"/>
        <v>47</v>
      </c>
      <c r="E47" s="47" t="s">
        <v>269</v>
      </c>
      <c r="F47" s="18" t="s">
        <v>86</v>
      </c>
      <c r="G47" s="18" t="s">
        <v>64</v>
      </c>
      <c r="H47" s="27"/>
      <c r="I47" s="24">
        <v>1</v>
      </c>
      <c r="J47" s="20" t="str">
        <f>VLOOKUP(G47,MD!M$2:O$93,3,FALSE)</f>
        <v>ha</v>
      </c>
      <c r="K47" s="29">
        <v>1</v>
      </c>
      <c r="L47" s="27"/>
      <c r="M47" s="25"/>
      <c r="N47" s="25"/>
      <c r="O47" s="25"/>
      <c r="P47" s="22"/>
      <c r="Q47" s="44"/>
      <c r="R47" s="44"/>
      <c r="S47" s="44"/>
      <c r="T47" s="25"/>
      <c r="U47" s="25"/>
      <c r="V47" s="25"/>
      <c r="W47" s="25"/>
      <c r="X47" s="22"/>
      <c r="Y47" s="44"/>
      <c r="Z47" s="44"/>
      <c r="AA47" s="44"/>
      <c r="AB47" s="25"/>
      <c r="AC47" s="25"/>
      <c r="AD47" s="25"/>
      <c r="AE47" s="25"/>
    </row>
    <row r="48" spans="1:31" s="59" customFormat="1">
      <c r="A48" s="47" t="s">
        <v>269</v>
      </c>
      <c r="B48" s="47" t="s">
        <v>270</v>
      </c>
      <c r="C48" s="48">
        <v>43427</v>
      </c>
      <c r="D48" s="64">
        <f t="shared" si="0"/>
        <v>47</v>
      </c>
      <c r="E48" s="47" t="s">
        <v>269</v>
      </c>
      <c r="F48" s="18" t="s">
        <v>89</v>
      </c>
      <c r="G48" s="18" t="s">
        <v>113</v>
      </c>
      <c r="H48" s="27" t="s">
        <v>338</v>
      </c>
      <c r="I48" s="102">
        <f>0.4/0.6</f>
        <v>0.66666666666666674</v>
      </c>
      <c r="J48" s="20" t="str">
        <f>VLOOKUP(G48,MD!M$2:O$93,3,FALSE)</f>
        <v>Dose hom.</v>
      </c>
      <c r="K48" s="29">
        <v>1</v>
      </c>
      <c r="L48" s="27" t="s">
        <v>342</v>
      </c>
      <c r="M48" s="25" t="s">
        <v>339</v>
      </c>
      <c r="N48" s="25">
        <v>80</v>
      </c>
      <c r="O48" s="25" t="s">
        <v>358</v>
      </c>
      <c r="P48" s="22"/>
      <c r="Q48" s="44"/>
      <c r="R48" s="44"/>
      <c r="S48" s="44"/>
      <c r="T48" s="25"/>
      <c r="U48" s="25"/>
      <c r="V48" s="25"/>
      <c r="W48" s="25"/>
      <c r="X48" s="22"/>
      <c r="Y48" s="44"/>
      <c r="Z48" s="44"/>
      <c r="AA48" s="44"/>
      <c r="AB48" s="25"/>
      <c r="AC48" s="25"/>
      <c r="AD48" s="25"/>
      <c r="AE48" s="25"/>
    </row>
    <row r="49" spans="1:31" s="59" customFormat="1">
      <c r="A49" s="47" t="s">
        <v>269</v>
      </c>
      <c r="B49" s="47" t="s">
        <v>270</v>
      </c>
      <c r="C49" s="48">
        <v>43427</v>
      </c>
      <c r="D49" s="64">
        <f t="shared" si="0"/>
        <v>47</v>
      </c>
      <c r="E49" s="47" t="s">
        <v>269</v>
      </c>
      <c r="F49" s="18" t="s">
        <v>89</v>
      </c>
      <c r="G49" s="18" t="s">
        <v>113</v>
      </c>
      <c r="H49" s="27" t="s">
        <v>341</v>
      </c>
      <c r="I49" s="102">
        <f>0.4/0.6</f>
        <v>0.66666666666666674</v>
      </c>
      <c r="J49" s="20" t="str">
        <f>VLOOKUP(G49,MD!M$2:O$93,3,FALSE)</f>
        <v>Dose hom.</v>
      </c>
      <c r="K49" s="29">
        <v>1</v>
      </c>
      <c r="L49" s="27" t="s">
        <v>343</v>
      </c>
      <c r="M49" s="25" t="s">
        <v>340</v>
      </c>
      <c r="N49" s="25">
        <v>160</v>
      </c>
      <c r="O49" s="25" t="s">
        <v>358</v>
      </c>
      <c r="P49" s="22"/>
      <c r="Q49" s="44"/>
      <c r="R49" s="44"/>
      <c r="S49" s="44"/>
      <c r="T49" s="25"/>
      <c r="U49" s="25"/>
      <c r="V49" s="25"/>
      <c r="W49" s="25"/>
      <c r="X49" s="22"/>
      <c r="Y49" s="44"/>
      <c r="Z49" s="44"/>
      <c r="AA49" s="44"/>
      <c r="AB49" s="25"/>
      <c r="AC49" s="25"/>
      <c r="AD49" s="25"/>
      <c r="AE49" s="25"/>
    </row>
    <row r="50" spans="1:31" s="59" customFormat="1">
      <c r="A50" s="47" t="s">
        <v>269</v>
      </c>
      <c r="B50" s="47" t="s">
        <v>270</v>
      </c>
      <c r="C50" s="48">
        <v>43514</v>
      </c>
      <c r="D50" s="64">
        <f t="shared" si="0"/>
        <v>8</v>
      </c>
      <c r="E50" s="47" t="s">
        <v>269</v>
      </c>
      <c r="F50" s="18" t="s">
        <v>85</v>
      </c>
      <c r="G50" s="18" t="s">
        <v>67</v>
      </c>
      <c r="H50" s="27"/>
      <c r="I50" s="24">
        <v>1</v>
      </c>
      <c r="J50" s="20" t="str">
        <f>VLOOKUP(G50,MD!M$2:O$93,3,FALSE)</f>
        <v>ha</v>
      </c>
      <c r="K50" s="29">
        <v>1</v>
      </c>
      <c r="L50" s="27"/>
      <c r="M50" s="25"/>
      <c r="N50" s="25"/>
      <c r="O50" s="25"/>
      <c r="P50" s="22"/>
      <c r="Q50" s="44"/>
      <c r="R50" s="44"/>
      <c r="S50" s="44"/>
      <c r="T50" s="25"/>
      <c r="U50" s="25"/>
      <c r="V50" s="25"/>
      <c r="W50" s="25"/>
      <c r="X50" s="22"/>
      <c r="Y50" s="44"/>
      <c r="Z50" s="44"/>
      <c r="AA50" s="44"/>
      <c r="AB50" s="25"/>
      <c r="AC50" s="25"/>
      <c r="AD50" s="25"/>
      <c r="AE50" s="25"/>
    </row>
    <row r="51" spans="1:31" s="59" customFormat="1">
      <c r="A51" s="47" t="s">
        <v>269</v>
      </c>
      <c r="B51" s="47" t="s">
        <v>270</v>
      </c>
      <c r="C51" s="48">
        <v>43514</v>
      </c>
      <c r="D51" s="64">
        <f t="shared" si="0"/>
        <v>8</v>
      </c>
      <c r="E51" s="47" t="s">
        <v>269</v>
      </c>
      <c r="F51" s="18" t="s">
        <v>88</v>
      </c>
      <c r="G51" s="18" t="s">
        <v>406</v>
      </c>
      <c r="H51" s="27" t="s">
        <v>403</v>
      </c>
      <c r="I51" s="24">
        <v>100</v>
      </c>
      <c r="J51" s="20" t="str">
        <f>VLOOKUP(G51,MD!M$2:O$93,3,FALSE)</f>
        <v>l/ha</v>
      </c>
      <c r="K51" s="29">
        <v>1</v>
      </c>
      <c r="L51" s="27"/>
      <c r="M51" s="25"/>
      <c r="N51" s="25"/>
      <c r="O51" s="25"/>
      <c r="P51" s="22"/>
      <c r="Q51" s="44"/>
      <c r="R51" s="44"/>
      <c r="S51" s="44"/>
      <c r="T51" s="25"/>
      <c r="U51" s="25"/>
      <c r="V51" s="25"/>
      <c r="W51" s="25"/>
      <c r="X51" s="22"/>
      <c r="Y51" s="44"/>
      <c r="Z51" s="44"/>
      <c r="AA51" s="44"/>
      <c r="AB51" s="25"/>
      <c r="AC51" s="25"/>
      <c r="AD51" s="25"/>
      <c r="AE51" s="25"/>
    </row>
    <row r="52" spans="1:31" s="59" customFormat="1">
      <c r="A52" s="47" t="s">
        <v>269</v>
      </c>
      <c r="B52" s="47" t="s">
        <v>270</v>
      </c>
      <c r="C52" s="48">
        <v>43557</v>
      </c>
      <c r="D52" s="64">
        <f t="shared" si="0"/>
        <v>14</v>
      </c>
      <c r="E52" s="47" t="s">
        <v>269</v>
      </c>
      <c r="F52" s="18" t="s">
        <v>85</v>
      </c>
      <c r="G52" s="18" t="s">
        <v>67</v>
      </c>
      <c r="H52" s="27"/>
      <c r="I52" s="24">
        <v>1</v>
      </c>
      <c r="J52" s="20" t="str">
        <f>VLOOKUP(G52,MD!M$2:O$93,3,FALSE)</f>
        <v>ha</v>
      </c>
      <c r="K52" s="29">
        <v>1</v>
      </c>
      <c r="L52" s="27"/>
      <c r="M52" s="25"/>
      <c r="N52" s="25"/>
      <c r="O52" s="25"/>
      <c r="P52" s="22"/>
      <c r="Q52" s="44"/>
      <c r="R52" s="44"/>
      <c r="S52" s="44"/>
      <c r="T52" s="25"/>
      <c r="U52" s="25"/>
      <c r="V52" s="25"/>
      <c r="W52" s="25"/>
      <c r="X52" s="22"/>
      <c r="Y52" s="44"/>
      <c r="Z52" s="44"/>
      <c r="AA52" s="44"/>
      <c r="AB52" s="25"/>
      <c r="AC52" s="25"/>
      <c r="AD52" s="25"/>
      <c r="AE52" s="25"/>
    </row>
    <row r="53" spans="1:31" s="59" customFormat="1">
      <c r="A53" s="47" t="s">
        <v>269</v>
      </c>
      <c r="B53" s="47" t="s">
        <v>270</v>
      </c>
      <c r="C53" s="48">
        <v>43557</v>
      </c>
      <c r="D53" s="64">
        <f t="shared" si="0"/>
        <v>14</v>
      </c>
      <c r="E53" s="47" t="s">
        <v>269</v>
      </c>
      <c r="F53" s="18" t="s">
        <v>88</v>
      </c>
      <c r="G53" s="18" t="s">
        <v>191</v>
      </c>
      <c r="H53" s="27" t="s">
        <v>670</v>
      </c>
      <c r="I53" s="24">
        <v>75</v>
      </c>
      <c r="J53" s="20" t="str">
        <f>VLOOKUP(G53,MD!M$2:O$93,3,FALSE)</f>
        <v>l/ha</v>
      </c>
      <c r="K53" s="29">
        <v>1</v>
      </c>
      <c r="L53" s="27"/>
      <c r="M53" s="25"/>
      <c r="N53" s="25"/>
      <c r="O53" s="25"/>
      <c r="P53" s="22"/>
      <c r="Q53" s="44"/>
      <c r="R53" s="44"/>
      <c r="S53" s="44"/>
      <c r="T53" s="25"/>
      <c r="U53" s="25"/>
      <c r="V53" s="25"/>
      <c r="W53" s="25"/>
      <c r="X53" s="22"/>
      <c r="Y53" s="44"/>
      <c r="Z53" s="44"/>
      <c r="AA53" s="44"/>
      <c r="AB53" s="25"/>
      <c r="AC53" s="25"/>
      <c r="AD53" s="25"/>
      <c r="AE53" s="25"/>
    </row>
    <row r="54" spans="1:31" s="59" customFormat="1">
      <c r="A54" s="47" t="s">
        <v>269</v>
      </c>
      <c r="B54" s="47" t="s">
        <v>270</v>
      </c>
      <c r="C54" s="48">
        <v>43561</v>
      </c>
      <c r="D54" s="64">
        <f t="shared" si="0"/>
        <v>14</v>
      </c>
      <c r="E54" s="47" t="s">
        <v>269</v>
      </c>
      <c r="F54" s="18" t="s">
        <v>86</v>
      </c>
      <c r="G54" s="18" t="s">
        <v>64</v>
      </c>
      <c r="H54" s="27"/>
      <c r="I54" s="24">
        <v>1</v>
      </c>
      <c r="J54" s="20" t="str">
        <f>VLOOKUP(G54,MD!M$2:O$93,3,FALSE)</f>
        <v>ha</v>
      </c>
      <c r="K54" s="29">
        <v>1</v>
      </c>
      <c r="L54" s="27"/>
      <c r="M54" s="25"/>
      <c r="N54" s="25"/>
      <c r="O54" s="25"/>
      <c r="P54" s="22"/>
      <c r="Q54" s="44"/>
      <c r="R54" s="44"/>
      <c r="S54" s="44"/>
      <c r="T54" s="25"/>
      <c r="U54" s="25"/>
      <c r="V54" s="25"/>
      <c r="W54" s="25"/>
      <c r="X54" s="22"/>
      <c r="Y54" s="44"/>
      <c r="Z54" s="44"/>
      <c r="AA54" s="44"/>
      <c r="AB54" s="25"/>
      <c r="AC54" s="25"/>
      <c r="AD54" s="25"/>
      <c r="AE54" s="25"/>
    </row>
    <row r="55" spans="1:31" s="59" customFormat="1">
      <c r="A55" s="47" t="s">
        <v>269</v>
      </c>
      <c r="B55" s="47" t="s">
        <v>270</v>
      </c>
      <c r="C55" s="48">
        <v>43561</v>
      </c>
      <c r="D55" s="64">
        <f t="shared" si="0"/>
        <v>14</v>
      </c>
      <c r="E55" s="47" t="s">
        <v>269</v>
      </c>
      <c r="F55" s="18" t="s">
        <v>89</v>
      </c>
      <c r="G55" s="18" t="s">
        <v>112</v>
      </c>
      <c r="H55" s="27" t="s">
        <v>466</v>
      </c>
      <c r="I55" s="24">
        <f>0.4/1.25</f>
        <v>0.32</v>
      </c>
      <c r="J55" s="20" t="str">
        <f>VLOOKUP(G55,MD!M$2:O$93,3,FALSE)</f>
        <v>Dose hom.</v>
      </c>
      <c r="K55" s="29">
        <v>1</v>
      </c>
      <c r="L55" s="27" t="s">
        <v>492</v>
      </c>
      <c r="M55" s="25" t="s">
        <v>460</v>
      </c>
      <c r="N55" s="25">
        <v>64</v>
      </c>
      <c r="O55" s="25" t="s">
        <v>358</v>
      </c>
      <c r="P55" s="22"/>
      <c r="Q55" s="44"/>
      <c r="R55" s="44"/>
      <c r="S55" s="44"/>
      <c r="T55" s="25"/>
      <c r="U55" s="25"/>
      <c r="V55" s="25"/>
      <c r="W55" s="25"/>
      <c r="X55" s="22"/>
      <c r="Y55" s="44"/>
      <c r="Z55" s="44"/>
      <c r="AA55" s="44"/>
      <c r="AB55" s="25"/>
      <c r="AC55" s="25"/>
      <c r="AD55" s="25"/>
      <c r="AE55" s="25"/>
    </row>
    <row r="56" spans="1:31" s="59" customFormat="1">
      <c r="A56" s="47" t="s">
        <v>269</v>
      </c>
      <c r="B56" s="47" t="s">
        <v>270</v>
      </c>
      <c r="C56" s="48">
        <v>43561</v>
      </c>
      <c r="D56" s="64">
        <f t="shared" si="0"/>
        <v>14</v>
      </c>
      <c r="E56" s="47" t="s">
        <v>269</v>
      </c>
      <c r="F56" s="18" t="s">
        <v>89</v>
      </c>
      <c r="G56" s="18" t="s">
        <v>112</v>
      </c>
      <c r="H56" s="27" t="s">
        <v>461</v>
      </c>
      <c r="I56" s="24">
        <f>0.4/1.25</f>
        <v>0.32</v>
      </c>
      <c r="J56" s="20" t="str">
        <f>VLOOKUP(G56,MD!M$2:O$93,3,FALSE)</f>
        <v>Dose hom.</v>
      </c>
      <c r="K56" s="29">
        <v>1</v>
      </c>
      <c r="L56" s="27" t="s">
        <v>493</v>
      </c>
      <c r="M56" s="25" t="s">
        <v>462</v>
      </c>
      <c r="N56" s="25">
        <v>120</v>
      </c>
      <c r="O56" s="25" t="s">
        <v>358</v>
      </c>
      <c r="P56" s="22"/>
      <c r="Q56" s="44"/>
      <c r="R56" s="44"/>
      <c r="S56" s="44"/>
      <c r="T56" s="25"/>
      <c r="U56" s="25"/>
      <c r="V56" s="25"/>
      <c r="W56" s="25"/>
      <c r="X56" s="22"/>
      <c r="Y56" s="44"/>
      <c r="Z56" s="44"/>
      <c r="AA56" s="44"/>
      <c r="AB56" s="25"/>
      <c r="AC56" s="25"/>
      <c r="AD56" s="25"/>
      <c r="AE56" s="25"/>
    </row>
    <row r="57" spans="1:31" s="59" customFormat="1">
      <c r="A57" s="47" t="s">
        <v>269</v>
      </c>
      <c r="B57" s="47" t="s">
        <v>270</v>
      </c>
      <c r="C57" s="48">
        <v>43574</v>
      </c>
      <c r="D57" s="64">
        <f t="shared" si="0"/>
        <v>16</v>
      </c>
      <c r="E57" s="47" t="s">
        <v>269</v>
      </c>
      <c r="F57" s="18" t="s">
        <v>86</v>
      </c>
      <c r="G57" s="18" t="s">
        <v>64</v>
      </c>
      <c r="H57" s="27"/>
      <c r="I57" s="24">
        <v>1</v>
      </c>
      <c r="J57" s="20" t="str">
        <f>VLOOKUP(G57,MD!M$2:O$93,3,FALSE)</f>
        <v>ha</v>
      </c>
      <c r="K57" s="29">
        <v>1</v>
      </c>
      <c r="L57" s="27"/>
      <c r="M57" s="25"/>
      <c r="N57" s="25"/>
      <c r="O57" s="25"/>
      <c r="P57" s="22"/>
      <c r="Q57" s="44"/>
      <c r="R57" s="44"/>
      <c r="S57" s="44"/>
      <c r="T57" s="25"/>
      <c r="U57" s="25"/>
      <c r="V57" s="25"/>
      <c r="W57" s="25"/>
      <c r="X57" s="22"/>
      <c r="Y57" s="44"/>
      <c r="Z57" s="44"/>
      <c r="AA57" s="44"/>
      <c r="AB57" s="25"/>
      <c r="AC57" s="25"/>
      <c r="AD57" s="25"/>
      <c r="AE57" s="25"/>
    </row>
    <row r="58" spans="1:31" s="59" customFormat="1">
      <c r="A58" s="47" t="s">
        <v>269</v>
      </c>
      <c r="B58" s="47" t="s">
        <v>270</v>
      </c>
      <c r="C58" s="48">
        <v>43574</v>
      </c>
      <c r="D58" s="64">
        <f t="shared" si="0"/>
        <v>16</v>
      </c>
      <c r="E58" s="47" t="s">
        <v>269</v>
      </c>
      <c r="F58" s="18" t="s">
        <v>89</v>
      </c>
      <c r="G58" s="18" t="s">
        <v>112</v>
      </c>
      <c r="H58" s="27" t="s">
        <v>466</v>
      </c>
      <c r="I58" s="24">
        <f>0.2/1.25</f>
        <v>0.16</v>
      </c>
      <c r="J58" s="20" t="str">
        <f>VLOOKUP(G58,MD!M$2:O$93,3,FALSE)</f>
        <v>Dose hom.</v>
      </c>
      <c r="K58" s="29">
        <v>1</v>
      </c>
      <c r="L58" s="27" t="s">
        <v>494</v>
      </c>
      <c r="M58" s="25" t="s">
        <v>460</v>
      </c>
      <c r="N58" s="25">
        <v>32</v>
      </c>
      <c r="O58" s="25" t="s">
        <v>358</v>
      </c>
      <c r="P58" s="22"/>
      <c r="Q58" s="44"/>
      <c r="R58" s="44"/>
      <c r="S58" s="44"/>
      <c r="T58" s="25"/>
      <c r="U58" s="25"/>
      <c r="V58" s="25"/>
      <c r="W58" s="25"/>
      <c r="X58" s="22"/>
      <c r="Y58" s="44"/>
      <c r="Z58" s="44"/>
      <c r="AA58" s="44"/>
      <c r="AB58" s="25"/>
      <c r="AC58" s="25"/>
      <c r="AD58" s="25"/>
      <c r="AE58" s="25"/>
    </row>
    <row r="59" spans="1:31" s="59" customFormat="1">
      <c r="A59" s="47" t="s">
        <v>269</v>
      </c>
      <c r="B59" s="47" t="s">
        <v>270</v>
      </c>
      <c r="C59" s="48">
        <v>43574</v>
      </c>
      <c r="D59" s="64">
        <f t="shared" si="0"/>
        <v>16</v>
      </c>
      <c r="E59" s="47" t="s">
        <v>269</v>
      </c>
      <c r="F59" s="18" t="s">
        <v>89</v>
      </c>
      <c r="G59" s="18" t="s">
        <v>112</v>
      </c>
      <c r="H59" s="27" t="s">
        <v>461</v>
      </c>
      <c r="I59" s="24">
        <f>0.2/1.25</f>
        <v>0.16</v>
      </c>
      <c r="J59" s="20" t="str">
        <f>VLOOKUP(G59,MD!M$2:O$93,3,FALSE)</f>
        <v>Dose hom.</v>
      </c>
      <c r="K59" s="29">
        <v>1</v>
      </c>
      <c r="L59" s="27" t="s">
        <v>561</v>
      </c>
      <c r="M59" s="25" t="s">
        <v>462</v>
      </c>
      <c r="N59" s="25">
        <v>60</v>
      </c>
      <c r="O59" s="25" t="s">
        <v>358</v>
      </c>
      <c r="P59" s="22"/>
      <c r="Q59" s="44"/>
      <c r="R59" s="44"/>
      <c r="S59" s="44"/>
      <c r="T59" s="25"/>
      <c r="U59" s="25"/>
      <c r="V59" s="25"/>
      <c r="W59" s="25"/>
      <c r="X59" s="22"/>
      <c r="Y59" s="44"/>
      <c r="Z59" s="44"/>
      <c r="AA59" s="44"/>
      <c r="AB59" s="25"/>
      <c r="AC59" s="25"/>
      <c r="AD59" s="25"/>
      <c r="AE59" s="25"/>
    </row>
    <row r="60" spans="1:31" s="59" customFormat="1">
      <c r="A60" s="47" t="s">
        <v>269</v>
      </c>
      <c r="B60" s="47" t="s">
        <v>270</v>
      </c>
      <c r="C60" s="48">
        <v>43574</v>
      </c>
      <c r="D60" s="64">
        <f t="shared" si="0"/>
        <v>16</v>
      </c>
      <c r="E60" s="47" t="s">
        <v>269</v>
      </c>
      <c r="F60" s="18" t="s">
        <v>89</v>
      </c>
      <c r="G60" s="18" t="s">
        <v>110</v>
      </c>
      <c r="H60" s="27" t="s">
        <v>465</v>
      </c>
      <c r="I60" s="24">
        <f>0.35/1</f>
        <v>0.35</v>
      </c>
      <c r="J60" s="20" t="str">
        <f>VLOOKUP(G60,MD!M$2:O$93,3,FALSE)</f>
        <v>Dose hom.</v>
      </c>
      <c r="K60" s="29">
        <v>1</v>
      </c>
      <c r="L60" s="27" t="s">
        <v>567</v>
      </c>
      <c r="M60" s="25" t="s">
        <v>467</v>
      </c>
      <c r="N60" s="25">
        <f>50*0.35</f>
        <v>17.5</v>
      </c>
      <c r="O60" s="25" t="s">
        <v>358</v>
      </c>
      <c r="P60" s="22"/>
      <c r="Q60" s="44"/>
      <c r="R60" s="44"/>
      <c r="S60" s="44"/>
      <c r="T60" s="25"/>
      <c r="U60" s="25"/>
      <c r="V60" s="25"/>
      <c r="W60" s="25"/>
      <c r="X60" s="22"/>
      <c r="Y60" s="44"/>
      <c r="Z60" s="44"/>
      <c r="AA60" s="44"/>
      <c r="AB60" s="25"/>
      <c r="AC60" s="25"/>
      <c r="AD60" s="25"/>
      <c r="AE60" s="25"/>
    </row>
    <row r="61" spans="1:31" s="59" customFormat="1">
      <c r="A61" s="47" t="s">
        <v>269</v>
      </c>
      <c r="B61" s="47" t="s">
        <v>270</v>
      </c>
      <c r="C61" s="48">
        <v>43574</v>
      </c>
      <c r="D61" s="64">
        <f t="shared" si="0"/>
        <v>16</v>
      </c>
      <c r="E61" s="47" t="s">
        <v>269</v>
      </c>
      <c r="F61" s="18" t="s">
        <v>89</v>
      </c>
      <c r="G61" s="18" t="s">
        <v>110</v>
      </c>
      <c r="H61" s="27" t="s">
        <v>468</v>
      </c>
      <c r="I61" s="24">
        <f>0.35/1</f>
        <v>0.35</v>
      </c>
      <c r="J61" s="20" t="str">
        <f>VLOOKUP(G61,MD!M$2:O$93,3,FALSE)</f>
        <v>Dose hom.</v>
      </c>
      <c r="K61" s="29">
        <v>1</v>
      </c>
      <c r="L61" s="27" t="s">
        <v>568</v>
      </c>
      <c r="M61" s="25" t="s">
        <v>469</v>
      </c>
      <c r="N61" s="25">
        <f>75*0.35</f>
        <v>26.25</v>
      </c>
      <c r="O61" s="25" t="s">
        <v>358</v>
      </c>
      <c r="P61" s="22"/>
      <c r="Q61" s="44"/>
      <c r="R61" s="44"/>
      <c r="S61" s="44"/>
      <c r="T61" s="25"/>
      <c r="U61" s="25"/>
      <c r="V61" s="25"/>
      <c r="W61" s="25"/>
      <c r="X61" s="22"/>
      <c r="Y61" s="44"/>
      <c r="Z61" s="44"/>
      <c r="AA61" s="44"/>
      <c r="AB61" s="25"/>
      <c r="AC61" s="25"/>
      <c r="AD61" s="25"/>
      <c r="AE61" s="25"/>
    </row>
    <row r="62" spans="1:31" s="59" customFormat="1">
      <c r="A62" s="47" t="s">
        <v>269</v>
      </c>
      <c r="B62" s="47" t="s">
        <v>270</v>
      </c>
      <c r="C62" s="48">
        <v>43586</v>
      </c>
      <c r="D62" s="64">
        <f t="shared" si="0"/>
        <v>18</v>
      </c>
      <c r="E62" s="47" t="s">
        <v>269</v>
      </c>
      <c r="F62" s="18" t="s">
        <v>86</v>
      </c>
      <c r="G62" s="18" t="s">
        <v>64</v>
      </c>
      <c r="H62" s="27"/>
      <c r="I62" s="24">
        <v>1</v>
      </c>
      <c r="J62" s="20" t="str">
        <f>VLOOKUP(G62,MD!M$2:O$93,3,FALSE)</f>
        <v>ha</v>
      </c>
      <c r="K62" s="29">
        <v>1</v>
      </c>
      <c r="L62" s="27"/>
      <c r="M62" s="25"/>
      <c r="N62" s="25"/>
      <c r="O62" s="25"/>
      <c r="P62" s="22"/>
      <c r="Q62" s="44"/>
      <c r="R62" s="44"/>
      <c r="S62" s="44"/>
      <c r="T62" s="25"/>
      <c r="U62" s="25"/>
      <c r="V62" s="25"/>
      <c r="W62" s="25"/>
      <c r="X62" s="22"/>
      <c r="Y62" s="44"/>
      <c r="Z62" s="44"/>
      <c r="AA62" s="44"/>
      <c r="AB62" s="25"/>
      <c r="AC62" s="25"/>
      <c r="AD62" s="25"/>
      <c r="AE62" s="25"/>
    </row>
    <row r="63" spans="1:31" s="59" customFormat="1">
      <c r="A63" s="47" t="s">
        <v>269</v>
      </c>
      <c r="B63" s="47" t="s">
        <v>270</v>
      </c>
      <c r="C63" s="48">
        <v>43586</v>
      </c>
      <c r="D63" s="64">
        <f t="shared" si="0"/>
        <v>18</v>
      </c>
      <c r="E63" s="47" t="s">
        <v>269</v>
      </c>
      <c r="F63" s="18" t="s">
        <v>89</v>
      </c>
      <c r="G63" s="18" t="s">
        <v>112</v>
      </c>
      <c r="H63" s="27" t="s">
        <v>472</v>
      </c>
      <c r="I63" s="24">
        <f>0.6/0.75</f>
        <v>0.79999999999999993</v>
      </c>
      <c r="J63" s="20" t="str">
        <f>VLOOKUP(G63,MD!M$2:O$93,3,FALSE)</f>
        <v>Dose hom.</v>
      </c>
      <c r="K63" s="29">
        <v>1</v>
      </c>
      <c r="L63" s="27" t="s">
        <v>470</v>
      </c>
      <c r="M63" s="25" t="s">
        <v>471</v>
      </c>
      <c r="N63" s="25">
        <f>100*0.6</f>
        <v>60</v>
      </c>
      <c r="O63" s="25" t="s">
        <v>358</v>
      </c>
      <c r="P63" s="22"/>
      <c r="Q63" s="44"/>
      <c r="R63" s="44"/>
      <c r="S63" s="44"/>
      <c r="T63" s="25"/>
      <c r="U63" s="25"/>
      <c r="V63" s="25"/>
      <c r="W63" s="25"/>
      <c r="X63" s="22"/>
      <c r="Y63" s="44"/>
      <c r="Z63" s="44"/>
      <c r="AA63" s="44"/>
      <c r="AB63" s="25"/>
      <c r="AC63" s="25"/>
      <c r="AD63" s="25"/>
      <c r="AE63" s="25"/>
    </row>
    <row r="64" spans="1:31" s="59" customFormat="1">
      <c r="A64" s="47" t="s">
        <v>269</v>
      </c>
      <c r="B64" s="47" t="s">
        <v>270</v>
      </c>
      <c r="C64" s="48">
        <v>43586</v>
      </c>
      <c r="D64" s="64">
        <f t="shared" si="0"/>
        <v>18</v>
      </c>
      <c r="E64" s="47" t="s">
        <v>269</v>
      </c>
      <c r="F64" s="18" t="s">
        <v>89</v>
      </c>
      <c r="G64" s="18" t="s">
        <v>112</v>
      </c>
      <c r="H64" s="27" t="s">
        <v>473</v>
      </c>
      <c r="I64" s="24">
        <f>0.9/2.5</f>
        <v>0.36</v>
      </c>
      <c r="J64" s="20" t="str">
        <f>VLOOKUP(G64,MD!M$2:O$93,3,FALSE)</f>
        <v>Dose hom.</v>
      </c>
      <c r="K64" s="29">
        <v>1</v>
      </c>
      <c r="L64" s="27" t="s">
        <v>477</v>
      </c>
      <c r="M64" s="25" t="s">
        <v>474</v>
      </c>
      <c r="N64" s="25">
        <f>400*0.9</f>
        <v>360</v>
      </c>
      <c r="O64" s="25" t="s">
        <v>358</v>
      </c>
      <c r="P64" s="22"/>
      <c r="Q64" s="44"/>
      <c r="R64" s="44"/>
      <c r="S64" s="44"/>
      <c r="T64" s="25"/>
      <c r="U64" s="25"/>
      <c r="V64" s="25"/>
      <c r="W64" s="25"/>
      <c r="X64" s="22"/>
      <c r="Y64" s="44"/>
      <c r="Z64" s="44"/>
      <c r="AA64" s="44"/>
      <c r="AB64" s="25"/>
      <c r="AC64" s="25"/>
      <c r="AD64" s="25"/>
      <c r="AE64" s="25"/>
    </row>
    <row r="65" spans="1:31" s="59" customFormat="1">
      <c r="A65" s="47" t="s">
        <v>269</v>
      </c>
      <c r="B65" s="47" t="s">
        <v>270</v>
      </c>
      <c r="C65" s="48">
        <v>43586</v>
      </c>
      <c r="D65" s="64">
        <f t="shared" si="0"/>
        <v>18</v>
      </c>
      <c r="E65" s="47" t="s">
        <v>269</v>
      </c>
      <c r="F65" s="18" t="s">
        <v>89</v>
      </c>
      <c r="G65" s="18" t="s">
        <v>112</v>
      </c>
      <c r="H65" s="27" t="s">
        <v>475</v>
      </c>
      <c r="I65" s="24">
        <f>0.9/2.5</f>
        <v>0.36</v>
      </c>
      <c r="J65" s="20" t="str">
        <f>VLOOKUP(G65,MD!M$2:O$93,3,FALSE)</f>
        <v>Dose hom.</v>
      </c>
      <c r="K65" s="29">
        <v>1</v>
      </c>
      <c r="L65" s="27" t="s">
        <v>478</v>
      </c>
      <c r="M65" s="25" t="s">
        <v>476</v>
      </c>
      <c r="N65" s="25">
        <f>80*0.9</f>
        <v>72</v>
      </c>
      <c r="O65" s="25" t="s">
        <v>358</v>
      </c>
      <c r="P65" s="22"/>
      <c r="Q65" s="44"/>
      <c r="R65" s="44"/>
      <c r="S65" s="44"/>
      <c r="T65" s="25"/>
      <c r="U65" s="25"/>
      <c r="V65" s="25"/>
      <c r="W65" s="25"/>
      <c r="X65" s="22"/>
      <c r="Y65" s="44"/>
      <c r="Z65" s="44"/>
      <c r="AA65" s="44"/>
      <c r="AB65" s="25"/>
      <c r="AC65" s="25"/>
      <c r="AD65" s="25"/>
      <c r="AE65" s="25"/>
    </row>
    <row r="66" spans="1:31" s="59" customFormat="1">
      <c r="A66" s="47" t="s">
        <v>269</v>
      </c>
      <c r="B66" s="47" t="s">
        <v>270</v>
      </c>
      <c r="C66" s="48">
        <v>43586</v>
      </c>
      <c r="D66" s="64">
        <f t="shared" si="0"/>
        <v>18</v>
      </c>
      <c r="E66" s="47" t="s">
        <v>269</v>
      </c>
      <c r="F66" s="18" t="s">
        <v>89</v>
      </c>
      <c r="G66" s="18" t="s">
        <v>110</v>
      </c>
      <c r="H66" s="27" t="s">
        <v>538</v>
      </c>
      <c r="I66" s="24">
        <f>0.3/1</f>
        <v>0.3</v>
      </c>
      <c r="J66" s="20" t="str">
        <f>VLOOKUP(G66,MD!M$2:O$93,3,FALSE)</f>
        <v>Dose hom.</v>
      </c>
      <c r="K66" s="29">
        <v>1</v>
      </c>
      <c r="L66" s="27" t="s">
        <v>480</v>
      </c>
      <c r="M66" s="25" t="s">
        <v>481</v>
      </c>
      <c r="N66" s="25">
        <v>144</v>
      </c>
      <c r="O66" s="25" t="s">
        <v>358</v>
      </c>
      <c r="P66" s="22"/>
      <c r="Q66" s="44"/>
      <c r="R66" s="44"/>
      <c r="S66" s="44"/>
      <c r="T66" s="25"/>
      <c r="U66" s="25"/>
      <c r="V66" s="25"/>
      <c r="W66" s="25"/>
      <c r="X66" s="22"/>
      <c r="Y66" s="44"/>
      <c r="Z66" s="44"/>
      <c r="AA66" s="44"/>
      <c r="AB66" s="25"/>
      <c r="AC66" s="25"/>
      <c r="AD66" s="25"/>
      <c r="AE66" s="25"/>
    </row>
    <row r="67" spans="1:31" s="59" customFormat="1">
      <c r="A67" s="47" t="s">
        <v>269</v>
      </c>
      <c r="B67" s="47" t="s">
        <v>270</v>
      </c>
      <c r="C67" s="48">
        <v>43586</v>
      </c>
      <c r="D67" s="64">
        <f t="shared" si="0"/>
        <v>18</v>
      </c>
      <c r="E67" s="47" t="s">
        <v>269</v>
      </c>
      <c r="F67" s="18" t="s">
        <v>86</v>
      </c>
      <c r="G67" s="18" t="s">
        <v>55</v>
      </c>
      <c r="H67" s="27"/>
      <c r="I67" s="24">
        <v>1</v>
      </c>
      <c r="J67" s="20" t="str">
        <f>VLOOKUP(G67,MD!M$2:O$93,3,FALSE)</f>
        <v>ha</v>
      </c>
      <c r="K67" s="29">
        <v>1</v>
      </c>
      <c r="L67" s="27"/>
      <c r="M67" s="25"/>
      <c r="N67" s="25"/>
      <c r="O67" s="25"/>
      <c r="P67" s="22"/>
      <c r="Q67" s="44"/>
      <c r="R67" s="44"/>
      <c r="S67" s="44"/>
      <c r="T67" s="25"/>
      <c r="U67" s="25"/>
      <c r="V67" s="25"/>
      <c r="W67" s="25"/>
      <c r="X67" s="22"/>
      <c r="Y67" s="44"/>
      <c r="Z67" s="44"/>
      <c r="AA67" s="44"/>
      <c r="AB67" s="25"/>
      <c r="AC67" s="25"/>
      <c r="AD67" s="25"/>
      <c r="AE67" s="25"/>
    </row>
    <row r="68" spans="1:31" s="59" customFormat="1">
      <c r="A68" s="47" t="s">
        <v>269</v>
      </c>
      <c r="B68" s="47" t="s">
        <v>270</v>
      </c>
      <c r="C68" s="48">
        <v>43651</v>
      </c>
      <c r="D68" s="64">
        <f t="shared" si="0"/>
        <v>27</v>
      </c>
      <c r="E68" s="47" t="s">
        <v>269</v>
      </c>
      <c r="F68" s="18" t="s">
        <v>2</v>
      </c>
      <c r="G68" s="18" t="s">
        <v>115</v>
      </c>
      <c r="H68" s="27" t="s">
        <v>285</v>
      </c>
      <c r="I68" s="24">
        <v>98</v>
      </c>
      <c r="J68" s="20" t="str">
        <f>VLOOKUP(G68,MD!M$2:O$93,3,FALSE)</f>
        <v>Qtx/ha</v>
      </c>
      <c r="K68" s="29">
        <v>1</v>
      </c>
      <c r="L68" s="27" t="s">
        <v>551</v>
      </c>
      <c r="M68" s="25"/>
      <c r="N68" s="25"/>
      <c r="O68" s="25"/>
      <c r="P68" s="22"/>
      <c r="Q68" s="44"/>
      <c r="R68" s="44"/>
      <c r="S68" s="44"/>
      <c r="T68" s="25"/>
      <c r="U68" s="25"/>
      <c r="V68" s="25"/>
      <c r="W68" s="25"/>
      <c r="X68" s="22"/>
      <c r="Y68" s="44"/>
      <c r="Z68" s="44"/>
      <c r="AA68" s="44"/>
      <c r="AB68" s="25"/>
      <c r="AC68" s="25"/>
      <c r="AD68" s="25"/>
      <c r="AE68" s="25"/>
    </row>
    <row r="69" spans="1:31" s="59" customFormat="1">
      <c r="A69" s="47" t="s">
        <v>269</v>
      </c>
      <c r="B69" s="47" t="s">
        <v>270</v>
      </c>
      <c r="C69" s="48">
        <v>43654</v>
      </c>
      <c r="D69" s="64">
        <f t="shared" si="0"/>
        <v>28</v>
      </c>
      <c r="E69" s="47" t="s">
        <v>269</v>
      </c>
      <c r="F69" s="18" t="s">
        <v>86</v>
      </c>
      <c r="G69" s="18" t="s">
        <v>74</v>
      </c>
      <c r="H69" s="27"/>
      <c r="I69" s="24"/>
      <c r="J69" s="20" t="str">
        <f>VLOOKUP(G69,MD!M$2:O$93,3,FALSE)</f>
        <v>t/ha</v>
      </c>
      <c r="K69" s="29">
        <v>1</v>
      </c>
      <c r="L69" s="27"/>
      <c r="M69" s="25"/>
      <c r="N69" s="25"/>
      <c r="O69" s="25"/>
      <c r="P69" s="22"/>
      <c r="Q69" s="44"/>
      <c r="R69" s="44"/>
      <c r="S69" s="44"/>
      <c r="T69" s="25"/>
      <c r="U69" s="25"/>
      <c r="V69" s="25"/>
      <c r="W69" s="25"/>
      <c r="X69" s="22"/>
      <c r="Y69" s="44"/>
      <c r="Z69" s="44"/>
      <c r="AA69" s="44"/>
      <c r="AB69" s="25"/>
      <c r="AC69" s="25"/>
      <c r="AD69" s="25"/>
      <c r="AE69" s="25"/>
    </row>
    <row r="70" spans="1:31" s="59" customFormat="1">
      <c r="A70" s="47" t="s">
        <v>269</v>
      </c>
      <c r="B70" s="47" t="s">
        <v>270</v>
      </c>
      <c r="C70" s="48">
        <v>43654</v>
      </c>
      <c r="D70" s="64">
        <f t="shared" si="0"/>
        <v>28</v>
      </c>
      <c r="E70" s="47" t="s">
        <v>269</v>
      </c>
      <c r="F70" s="18" t="s">
        <v>86</v>
      </c>
      <c r="G70" s="18" t="s">
        <v>49</v>
      </c>
      <c r="H70" s="27"/>
      <c r="I70" s="24"/>
      <c r="J70" s="20" t="str">
        <f>VLOOKUP(G70,MD!M$2:O$93,3,FALSE)</f>
        <v>t/ha</v>
      </c>
      <c r="K70" s="29">
        <v>1</v>
      </c>
      <c r="L70" s="27"/>
      <c r="M70" s="25"/>
      <c r="N70" s="25"/>
      <c r="O70" s="25"/>
      <c r="P70" s="22"/>
      <c r="Q70" s="44"/>
      <c r="R70" s="44"/>
      <c r="S70" s="44"/>
      <c r="T70" s="25"/>
      <c r="U70" s="25"/>
      <c r="V70" s="25"/>
      <c r="W70" s="25"/>
      <c r="X70" s="22"/>
      <c r="Y70" s="44"/>
      <c r="Z70" s="44"/>
      <c r="AA70" s="44"/>
      <c r="AB70" s="25"/>
      <c r="AC70" s="25"/>
      <c r="AD70" s="25"/>
      <c r="AE70" s="25"/>
    </row>
    <row r="71" spans="1:31" s="59" customFormat="1">
      <c r="A71" s="47" t="s">
        <v>269</v>
      </c>
      <c r="B71" s="47" t="s">
        <v>270</v>
      </c>
      <c r="C71" s="48">
        <v>43654</v>
      </c>
      <c r="D71" s="64">
        <f t="shared" si="0"/>
        <v>28</v>
      </c>
      <c r="E71" s="47" t="s">
        <v>269</v>
      </c>
      <c r="F71" s="18" t="s">
        <v>86</v>
      </c>
      <c r="G71" s="18" t="s">
        <v>79</v>
      </c>
      <c r="H71" s="27"/>
      <c r="I71" s="24" t="s">
        <v>583</v>
      </c>
      <c r="J71" s="20" t="str">
        <f>VLOOKUP(G71,MD!M$2:O$93,3,FALSE)</f>
        <v>t/ha</v>
      </c>
      <c r="K71" s="29">
        <v>1</v>
      </c>
      <c r="L71" s="27"/>
      <c r="M71" s="25"/>
      <c r="N71" s="25"/>
      <c r="O71" s="25"/>
      <c r="P71" s="22"/>
      <c r="Q71" s="44"/>
      <c r="R71" s="44"/>
      <c r="S71" s="44"/>
      <c r="T71" s="25"/>
      <c r="U71" s="25"/>
      <c r="V71" s="25"/>
      <c r="W71" s="25"/>
      <c r="X71" s="22"/>
      <c r="Y71" s="44"/>
      <c r="Z71" s="44"/>
      <c r="AA71" s="44"/>
      <c r="AB71" s="25"/>
      <c r="AC71" s="25"/>
      <c r="AD71" s="25"/>
      <c r="AE71" s="25"/>
    </row>
    <row r="72" spans="1:31" s="59" customFormat="1">
      <c r="A72" s="47" t="s">
        <v>269</v>
      </c>
      <c r="B72" s="47" t="s">
        <v>270</v>
      </c>
      <c r="C72" s="48">
        <v>43654</v>
      </c>
      <c r="D72" s="64">
        <f t="shared" si="0"/>
        <v>28</v>
      </c>
      <c r="E72" s="47" t="s">
        <v>269</v>
      </c>
      <c r="F72" s="18" t="s">
        <v>2</v>
      </c>
      <c r="G72" s="18" t="s">
        <v>116</v>
      </c>
      <c r="H72" s="27"/>
      <c r="I72" s="24" t="s">
        <v>583</v>
      </c>
      <c r="J72" s="20" t="str">
        <f>VLOOKUP(G72,MD!M$2:O$93,3,FALSE)</f>
        <v>t/ha</v>
      </c>
      <c r="K72" s="29">
        <v>1</v>
      </c>
      <c r="L72" s="27"/>
      <c r="M72" s="25"/>
      <c r="N72" s="25"/>
      <c r="O72" s="25"/>
      <c r="P72" s="22"/>
      <c r="Q72" s="44"/>
      <c r="R72" s="44"/>
      <c r="S72" s="44"/>
      <c r="T72" s="25"/>
      <c r="U72" s="25"/>
      <c r="V72" s="25"/>
      <c r="W72" s="25"/>
      <c r="X72" s="22"/>
      <c r="Y72" s="44"/>
      <c r="Z72" s="44"/>
      <c r="AA72" s="44"/>
      <c r="AB72" s="25"/>
      <c r="AC72" s="25"/>
      <c r="AD72" s="25"/>
      <c r="AE72" s="25"/>
    </row>
    <row r="73" spans="1:31" s="59" customFormat="1">
      <c r="A73" s="47" t="s">
        <v>553</v>
      </c>
      <c r="B73" s="47" t="s">
        <v>554</v>
      </c>
      <c r="C73" s="48">
        <v>43672</v>
      </c>
      <c r="D73" s="64">
        <f t="shared" ref="D73:D119" si="1">WEEKNUM(C73)</f>
        <v>30</v>
      </c>
      <c r="E73" s="47" t="s">
        <v>123</v>
      </c>
      <c r="F73" s="18" t="s">
        <v>83</v>
      </c>
      <c r="G73" s="18" t="s">
        <v>77</v>
      </c>
      <c r="H73" s="27"/>
      <c r="I73" s="24">
        <v>1</v>
      </c>
      <c r="J73" s="20" t="str">
        <f>VLOOKUP(G73,MD!M$2:O$93,3,FALSE)</f>
        <v>ha</v>
      </c>
      <c r="K73" s="29">
        <v>1</v>
      </c>
      <c r="L73" s="27"/>
      <c r="M73" s="25"/>
      <c r="N73" s="104"/>
      <c r="O73" s="25"/>
      <c r="P73" s="22"/>
      <c r="Q73" s="44"/>
      <c r="R73" s="44"/>
      <c r="S73" s="44"/>
      <c r="T73" s="25"/>
      <c r="U73" s="25"/>
      <c r="V73" s="25"/>
      <c r="W73" s="25"/>
      <c r="X73" s="22"/>
      <c r="Y73" s="44"/>
      <c r="Z73" s="44"/>
      <c r="AA73" s="44"/>
      <c r="AB73" s="25"/>
      <c r="AC73" s="25"/>
      <c r="AD73" s="25"/>
      <c r="AE73" s="25"/>
    </row>
    <row r="74" spans="1:31">
      <c r="A74" s="47" t="s">
        <v>553</v>
      </c>
      <c r="B74" s="47" t="s">
        <v>554</v>
      </c>
      <c r="C74" s="48">
        <v>43697</v>
      </c>
      <c r="D74" s="64">
        <f t="shared" si="1"/>
        <v>34</v>
      </c>
      <c r="E74" s="47" t="s">
        <v>123</v>
      </c>
      <c r="F74" s="18" t="s">
        <v>85</v>
      </c>
      <c r="G74" s="18" t="s">
        <v>295</v>
      </c>
      <c r="I74" s="24">
        <v>1</v>
      </c>
      <c r="J74" s="20" t="str">
        <f>VLOOKUP(G74,MD!M$2:O$93,3,FALSE)</f>
        <v>ha</v>
      </c>
      <c r="K74" s="29">
        <v>1</v>
      </c>
      <c r="P74" s="22"/>
      <c r="X74" s="22"/>
    </row>
    <row r="75" spans="1:31">
      <c r="A75" s="47" t="s">
        <v>553</v>
      </c>
      <c r="B75" s="47" t="s">
        <v>554</v>
      </c>
      <c r="C75" s="48">
        <v>43697</v>
      </c>
      <c r="D75" s="64">
        <f t="shared" si="1"/>
        <v>34</v>
      </c>
      <c r="E75" s="47" t="s">
        <v>123</v>
      </c>
      <c r="F75" s="18" t="s">
        <v>88</v>
      </c>
      <c r="G75" s="18" t="s">
        <v>98</v>
      </c>
      <c r="H75" s="27" t="s">
        <v>655</v>
      </c>
      <c r="I75" s="24">
        <v>50</v>
      </c>
      <c r="J75" s="20" t="str">
        <f>VLOOKUP(G75,MD!M$2:O$93,3,FALSE)</f>
        <v>m3/ha</v>
      </c>
      <c r="K75" s="29">
        <v>1</v>
      </c>
      <c r="L75" s="27" t="s">
        <v>656</v>
      </c>
      <c r="P75" s="22"/>
      <c r="X75" s="22"/>
    </row>
    <row r="76" spans="1:31" s="59" customFormat="1">
      <c r="A76" s="47" t="s">
        <v>553</v>
      </c>
      <c r="B76" s="47" t="s">
        <v>554</v>
      </c>
      <c r="C76" s="48">
        <v>43697</v>
      </c>
      <c r="D76" s="64">
        <f t="shared" si="1"/>
        <v>34</v>
      </c>
      <c r="E76" s="47" t="s">
        <v>123</v>
      </c>
      <c r="F76" s="18" t="s">
        <v>83</v>
      </c>
      <c r="G76" s="18" t="s">
        <v>26</v>
      </c>
      <c r="H76" s="27"/>
      <c r="I76" s="24">
        <v>1</v>
      </c>
      <c r="J76" s="20" t="str">
        <f>VLOOKUP(G76,MD!M$2:O$93,3,FALSE)</f>
        <v>ha</v>
      </c>
      <c r="K76" s="29">
        <v>1</v>
      </c>
      <c r="L76" s="27"/>
      <c r="M76" s="25"/>
      <c r="N76" s="104"/>
      <c r="O76" s="25"/>
      <c r="P76" s="22"/>
      <c r="Q76" s="44"/>
      <c r="R76" s="44"/>
      <c r="S76" s="44"/>
      <c r="T76" s="25"/>
      <c r="U76" s="25"/>
      <c r="V76" s="25"/>
      <c r="W76" s="25"/>
      <c r="X76" s="22"/>
      <c r="Y76" s="44"/>
      <c r="Z76" s="44"/>
      <c r="AA76" s="44"/>
      <c r="AB76" s="25"/>
      <c r="AC76" s="25"/>
      <c r="AD76" s="25"/>
      <c r="AE76" s="25"/>
    </row>
    <row r="77" spans="1:31" s="59" customFormat="1">
      <c r="A77" s="47" t="s">
        <v>553</v>
      </c>
      <c r="B77" s="47" t="s">
        <v>554</v>
      </c>
      <c r="C77" s="48">
        <v>43697</v>
      </c>
      <c r="D77" s="64">
        <f t="shared" si="1"/>
        <v>34</v>
      </c>
      <c r="E77" s="47" t="s">
        <v>553</v>
      </c>
      <c r="F77" s="18" t="s">
        <v>84</v>
      </c>
      <c r="G77" s="18" t="s">
        <v>76</v>
      </c>
      <c r="H77" s="27"/>
      <c r="I77" s="24">
        <v>1</v>
      </c>
      <c r="J77" s="20" t="str">
        <f>VLOOKUP(G77,MD!M$2:O$93,3,FALSE)</f>
        <v>ha</v>
      </c>
      <c r="K77" s="29">
        <v>1</v>
      </c>
      <c r="L77" s="27"/>
      <c r="M77" s="25"/>
      <c r="N77" s="104"/>
      <c r="O77" s="25"/>
      <c r="P77" s="22"/>
      <c r="Q77" s="44"/>
      <c r="R77" s="44"/>
      <c r="S77" s="44"/>
      <c r="T77" s="25"/>
      <c r="U77" s="25"/>
      <c r="V77" s="25"/>
      <c r="W77" s="25"/>
      <c r="X77" s="22"/>
      <c r="Y77" s="44"/>
      <c r="Z77" s="44"/>
      <c r="AA77" s="44"/>
      <c r="AB77" s="25"/>
      <c r="AC77" s="25"/>
      <c r="AD77" s="25"/>
      <c r="AE77" s="25"/>
    </row>
    <row r="78" spans="1:31" s="59" customFormat="1">
      <c r="A78" s="47" t="s">
        <v>553</v>
      </c>
      <c r="B78" s="47" t="s">
        <v>554</v>
      </c>
      <c r="C78" s="48">
        <v>43697</v>
      </c>
      <c r="D78" s="64">
        <f t="shared" si="1"/>
        <v>34</v>
      </c>
      <c r="E78" s="47" t="s">
        <v>553</v>
      </c>
      <c r="F78" s="18" t="s">
        <v>87</v>
      </c>
      <c r="G78" s="18" t="s">
        <v>93</v>
      </c>
      <c r="H78" s="27" t="s">
        <v>603</v>
      </c>
      <c r="I78" s="24">
        <v>30</v>
      </c>
      <c r="J78" s="20" t="str">
        <f>VLOOKUP(G78,MD!M$2:O$93,3,FALSE)</f>
        <v>gr./m2</v>
      </c>
      <c r="K78" s="29">
        <v>1</v>
      </c>
      <c r="L78" s="27">
        <f>30/1000*0.00465*10000</f>
        <v>1.3949999999999998</v>
      </c>
      <c r="M78" s="25"/>
      <c r="N78" s="104"/>
      <c r="O78" s="25"/>
      <c r="P78" s="22"/>
      <c r="Q78" s="44"/>
      <c r="R78" s="44"/>
      <c r="S78" s="44"/>
      <c r="T78" s="25"/>
      <c r="U78" s="25"/>
      <c r="V78" s="25"/>
      <c r="W78" s="25"/>
      <c r="X78" s="22"/>
      <c r="Y78" s="44"/>
      <c r="Z78" s="44"/>
      <c r="AA78" s="44"/>
      <c r="AB78" s="25"/>
      <c r="AC78" s="25"/>
      <c r="AD78" s="25"/>
      <c r="AE78" s="25"/>
    </row>
    <row r="79" spans="1:31" s="59" customFormat="1">
      <c r="A79" s="47" t="s">
        <v>553</v>
      </c>
      <c r="B79" s="47" t="s">
        <v>554</v>
      </c>
      <c r="C79" s="48">
        <v>43697</v>
      </c>
      <c r="D79" s="64">
        <f t="shared" si="1"/>
        <v>34</v>
      </c>
      <c r="E79" s="47" t="s">
        <v>553</v>
      </c>
      <c r="F79" s="18" t="s">
        <v>89</v>
      </c>
      <c r="G79" s="18" t="s">
        <v>133</v>
      </c>
      <c r="H79" s="27" t="s">
        <v>606</v>
      </c>
      <c r="I79" s="57"/>
      <c r="J79" s="20" t="str">
        <f>VLOOKUP(G79,MD!M$2:O$93,3,FALSE)</f>
        <v>Dose hom.</v>
      </c>
      <c r="K79" s="29">
        <v>1</v>
      </c>
      <c r="L79" s="27" t="s">
        <v>643</v>
      </c>
      <c r="M79" s="25" t="s">
        <v>607</v>
      </c>
      <c r="N79" s="103">
        <f>22000000000*160*0.00465*30*0.00001*10000/1000000000</f>
        <v>49.103999999999999</v>
      </c>
      <c r="O79" s="25" t="s">
        <v>608</v>
      </c>
      <c r="P79" s="22"/>
      <c r="Q79" s="44"/>
      <c r="R79" s="44"/>
      <c r="S79" s="44"/>
      <c r="T79" s="25"/>
      <c r="U79" s="25"/>
      <c r="V79" s="25"/>
      <c r="W79" s="25"/>
      <c r="X79" s="22"/>
      <c r="Y79" s="44"/>
      <c r="Z79" s="44"/>
      <c r="AA79" s="44"/>
      <c r="AB79" s="25"/>
      <c r="AC79" s="25"/>
      <c r="AD79" s="25"/>
      <c r="AE79" s="25"/>
    </row>
    <row r="80" spans="1:31" s="59" customFormat="1">
      <c r="A80" s="47" t="s">
        <v>553</v>
      </c>
      <c r="B80" s="47" t="s">
        <v>554</v>
      </c>
      <c r="C80" s="48">
        <v>43697</v>
      </c>
      <c r="D80" s="64">
        <f t="shared" si="1"/>
        <v>34</v>
      </c>
      <c r="E80" s="47" t="s">
        <v>553</v>
      </c>
      <c r="F80" s="18" t="s">
        <v>87</v>
      </c>
      <c r="G80" s="18" t="s">
        <v>93</v>
      </c>
      <c r="H80" s="27" t="s">
        <v>604</v>
      </c>
      <c r="I80" s="57">
        <f>0.01/0.00465</f>
        <v>2.1505376344086025</v>
      </c>
      <c r="J80" s="20" t="str">
        <f>VLOOKUP(G80,MD!M$2:O$93,3,FALSE)</f>
        <v>gr./m2</v>
      </c>
      <c r="K80" s="29">
        <v>1</v>
      </c>
      <c r="L80" s="27" t="s">
        <v>635</v>
      </c>
      <c r="M80" s="25"/>
      <c r="N80" s="104"/>
      <c r="O80" s="25"/>
      <c r="P80" s="22"/>
      <c r="Q80" s="44"/>
      <c r="R80" s="44"/>
      <c r="S80" s="44"/>
      <c r="T80" s="25"/>
      <c r="U80" s="25"/>
      <c r="V80" s="25"/>
      <c r="W80" s="25"/>
      <c r="X80" s="22"/>
      <c r="Y80" s="44"/>
      <c r="Z80" s="44"/>
      <c r="AA80" s="44"/>
      <c r="AB80" s="25"/>
      <c r="AC80" s="25"/>
      <c r="AD80" s="25"/>
      <c r="AE80" s="25"/>
    </row>
    <row r="81" spans="1:31" s="59" customFormat="1">
      <c r="A81" s="47" t="s">
        <v>553</v>
      </c>
      <c r="B81" s="47" t="s">
        <v>554</v>
      </c>
      <c r="C81" s="48">
        <v>43697</v>
      </c>
      <c r="D81" s="64">
        <f t="shared" si="1"/>
        <v>34</v>
      </c>
      <c r="E81" s="47" t="s">
        <v>553</v>
      </c>
      <c r="F81" s="18" t="s">
        <v>89</v>
      </c>
      <c r="G81" s="18" t="s">
        <v>133</v>
      </c>
      <c r="H81" s="27" t="s">
        <v>606</v>
      </c>
      <c r="I81" s="24"/>
      <c r="J81" s="20" t="str">
        <f>VLOOKUP(G81,MD!M$2:O$93,3,FALSE)</f>
        <v>Dose hom.</v>
      </c>
      <c r="K81" s="29">
        <v>1</v>
      </c>
      <c r="L81" s="27" t="s">
        <v>636</v>
      </c>
      <c r="M81" s="25" t="s">
        <v>607</v>
      </c>
      <c r="N81" s="103">
        <f>22000000000*160*0.00465*2.15*0.00001*10000/1000000000</f>
        <v>3.5191199999999996</v>
      </c>
      <c r="O81" s="25" t="s">
        <v>608</v>
      </c>
      <c r="P81" s="22"/>
      <c r="Q81" s="44"/>
      <c r="R81" s="44"/>
      <c r="S81" s="44"/>
      <c r="T81" s="25"/>
      <c r="U81" s="25"/>
      <c r="V81" s="25"/>
      <c r="W81" s="25"/>
      <c r="X81" s="22"/>
      <c r="Y81" s="44"/>
      <c r="Z81" s="44"/>
      <c r="AA81" s="44"/>
      <c r="AB81" s="25"/>
      <c r="AC81" s="25"/>
      <c r="AD81" s="25"/>
      <c r="AE81" s="25"/>
    </row>
    <row r="82" spans="1:31" s="59" customFormat="1">
      <c r="A82" s="47" t="s">
        <v>553</v>
      </c>
      <c r="B82" s="47" t="s">
        <v>554</v>
      </c>
      <c r="C82" s="48">
        <v>43698</v>
      </c>
      <c r="D82" s="64">
        <f t="shared" si="1"/>
        <v>34</v>
      </c>
      <c r="E82" s="47" t="s">
        <v>553</v>
      </c>
      <c r="F82" s="18" t="s">
        <v>83</v>
      </c>
      <c r="G82" s="18" t="s">
        <v>60</v>
      </c>
      <c r="H82" s="27"/>
      <c r="I82" s="24">
        <v>1</v>
      </c>
      <c r="J82" s="20" t="str">
        <f>VLOOKUP(G82,MD!M$2:O$93,3,FALSE)</f>
        <v>ha</v>
      </c>
      <c r="K82" s="29">
        <v>1</v>
      </c>
      <c r="L82" s="27"/>
      <c r="M82" s="25"/>
      <c r="N82" s="104"/>
      <c r="O82" s="25"/>
      <c r="P82" s="22"/>
      <c r="Q82" s="44"/>
      <c r="R82" s="44"/>
      <c r="S82" s="44"/>
      <c r="T82" s="25"/>
      <c r="U82" s="25"/>
      <c r="V82" s="25"/>
      <c r="W82" s="25"/>
      <c r="X82" s="22"/>
      <c r="Y82" s="44"/>
      <c r="Z82" s="44"/>
      <c r="AA82" s="44"/>
      <c r="AB82" s="25"/>
      <c r="AC82" s="25"/>
      <c r="AD82" s="25"/>
      <c r="AE82" s="25"/>
    </row>
    <row r="83" spans="1:31" s="59" customFormat="1">
      <c r="A83" s="47" t="s">
        <v>553</v>
      </c>
      <c r="B83" s="47" t="s">
        <v>554</v>
      </c>
      <c r="C83" s="48">
        <v>43712</v>
      </c>
      <c r="D83" s="64">
        <f t="shared" si="1"/>
        <v>36</v>
      </c>
      <c r="E83" s="47" t="s">
        <v>553</v>
      </c>
      <c r="F83" s="18" t="s">
        <v>84</v>
      </c>
      <c r="G83" s="18" t="s">
        <v>644</v>
      </c>
      <c r="H83" s="27"/>
      <c r="I83" s="24">
        <v>1</v>
      </c>
      <c r="J83" s="20" t="str">
        <f>VLOOKUP(G83,MD!M$2:O$93,3,FALSE)</f>
        <v>ha</v>
      </c>
      <c r="K83" s="29">
        <v>1</v>
      </c>
      <c r="L83" s="27"/>
      <c r="M83" s="25"/>
      <c r="N83" s="25"/>
      <c r="O83" s="25"/>
      <c r="P83" s="22"/>
      <c r="Q83" s="44"/>
      <c r="R83" s="44"/>
      <c r="S83" s="44"/>
      <c r="T83" s="25"/>
      <c r="U83" s="25"/>
      <c r="V83" s="25"/>
      <c r="W83" s="25"/>
      <c r="X83" s="22"/>
      <c r="Y83" s="44"/>
      <c r="Z83" s="44"/>
      <c r="AA83" s="44"/>
      <c r="AB83" s="25"/>
      <c r="AC83" s="25"/>
      <c r="AD83" s="25"/>
      <c r="AE83" s="25"/>
    </row>
    <row r="84" spans="1:31" s="59" customFormat="1">
      <c r="A84" s="47" t="s">
        <v>553</v>
      </c>
      <c r="B84" s="47" t="s">
        <v>554</v>
      </c>
      <c r="C84" s="48">
        <v>43712</v>
      </c>
      <c r="D84" s="64">
        <f t="shared" si="1"/>
        <v>36</v>
      </c>
      <c r="E84" s="47" t="s">
        <v>553</v>
      </c>
      <c r="F84" s="18" t="s">
        <v>87</v>
      </c>
      <c r="G84" s="18" t="s">
        <v>93</v>
      </c>
      <c r="H84" s="27" t="s">
        <v>603</v>
      </c>
      <c r="I84" s="24">
        <v>30</v>
      </c>
      <c r="J84" s="20" t="str">
        <f>VLOOKUP(G84,MD!M$2:O$93,3,FALSE)</f>
        <v>gr./m2</v>
      </c>
      <c r="K84" s="29">
        <v>1</v>
      </c>
      <c r="L84" s="27">
        <f>30/1000*10000*0.00465</f>
        <v>1.3949999999999998</v>
      </c>
      <c r="M84" s="25"/>
      <c r="N84" s="104"/>
      <c r="O84" s="25"/>
      <c r="P84" s="22"/>
      <c r="Q84" s="44"/>
      <c r="R84" s="44"/>
      <c r="S84" s="44"/>
      <c r="T84" s="25"/>
      <c r="U84" s="25"/>
      <c r="V84" s="25"/>
      <c r="W84" s="25"/>
      <c r="X84" s="22"/>
      <c r="Y84" s="44"/>
      <c r="Z84" s="44"/>
      <c r="AA84" s="44"/>
      <c r="AB84" s="25"/>
      <c r="AC84" s="25"/>
      <c r="AD84" s="25"/>
      <c r="AE84" s="25"/>
    </row>
    <row r="85" spans="1:31" s="59" customFormat="1">
      <c r="A85" s="47" t="s">
        <v>553</v>
      </c>
      <c r="B85" s="47" t="s">
        <v>554</v>
      </c>
      <c r="C85" s="48">
        <v>43712</v>
      </c>
      <c r="D85" s="64">
        <f t="shared" si="1"/>
        <v>36</v>
      </c>
      <c r="E85" s="47" t="s">
        <v>553</v>
      </c>
      <c r="F85" s="18" t="s">
        <v>89</v>
      </c>
      <c r="G85" s="18" t="s">
        <v>133</v>
      </c>
      <c r="H85" s="27" t="s">
        <v>606</v>
      </c>
      <c r="I85" s="57"/>
      <c r="J85" s="20" t="str">
        <f>VLOOKUP(G85,MD!M$2:O$93,3,FALSE)</f>
        <v>Dose hom.</v>
      </c>
      <c r="K85" s="29">
        <v>1</v>
      </c>
      <c r="L85" s="27" t="s">
        <v>643</v>
      </c>
      <c r="M85" s="25" t="s">
        <v>607</v>
      </c>
      <c r="N85" s="103">
        <f>22000000000*160*0.00465*30*0.00001*10000/1000000000</f>
        <v>49.103999999999999</v>
      </c>
      <c r="O85" s="25" t="s">
        <v>608</v>
      </c>
      <c r="P85" s="22"/>
      <c r="Q85" s="44"/>
      <c r="R85" s="44"/>
      <c r="S85" s="44"/>
      <c r="T85" s="25"/>
      <c r="U85" s="25"/>
      <c r="V85" s="25"/>
      <c r="W85" s="25"/>
      <c r="X85" s="22"/>
      <c r="Y85" s="44"/>
      <c r="Z85" s="44"/>
      <c r="AA85" s="44"/>
      <c r="AB85" s="25"/>
      <c r="AC85" s="25"/>
      <c r="AD85" s="25"/>
      <c r="AE85" s="25"/>
    </row>
    <row r="86" spans="1:31" s="59" customFormat="1">
      <c r="A86" s="47" t="s">
        <v>553</v>
      </c>
      <c r="B86" s="47" t="s">
        <v>554</v>
      </c>
      <c r="C86" s="48">
        <v>43712</v>
      </c>
      <c r="D86" s="64">
        <f t="shared" si="1"/>
        <v>36</v>
      </c>
      <c r="E86" s="47" t="s">
        <v>553</v>
      </c>
      <c r="F86" s="18" t="s">
        <v>87</v>
      </c>
      <c r="G86" s="18" t="s">
        <v>93</v>
      </c>
      <c r="H86" s="27" t="s">
        <v>604</v>
      </c>
      <c r="I86" s="57">
        <f>0.01/0.00465</f>
        <v>2.1505376344086025</v>
      </c>
      <c r="J86" s="20" t="str">
        <f>VLOOKUP(G86,MD!M$2:O$93,3,FALSE)</f>
        <v>gr./m2</v>
      </c>
      <c r="K86" s="29">
        <v>1</v>
      </c>
      <c r="L86" s="27" t="s">
        <v>635</v>
      </c>
      <c r="M86" s="25"/>
      <c r="N86" s="104"/>
      <c r="O86" s="25"/>
      <c r="P86" s="22"/>
      <c r="Q86" s="44"/>
      <c r="R86" s="44"/>
      <c r="S86" s="44"/>
      <c r="T86" s="25"/>
      <c r="U86" s="25"/>
      <c r="V86" s="25"/>
      <c r="W86" s="25"/>
      <c r="X86" s="22"/>
      <c r="Y86" s="44"/>
      <c r="Z86" s="44"/>
      <c r="AA86" s="44"/>
      <c r="AB86" s="25"/>
      <c r="AC86" s="25"/>
      <c r="AD86" s="25"/>
      <c r="AE86" s="25"/>
    </row>
    <row r="87" spans="1:31" s="59" customFormat="1">
      <c r="A87" s="47" t="s">
        <v>553</v>
      </c>
      <c r="B87" s="47" t="s">
        <v>554</v>
      </c>
      <c r="C87" s="48">
        <v>43712</v>
      </c>
      <c r="D87" s="64">
        <f t="shared" si="1"/>
        <v>36</v>
      </c>
      <c r="E87" s="47" t="s">
        <v>553</v>
      </c>
      <c r="F87" s="18" t="s">
        <v>89</v>
      </c>
      <c r="G87" s="18" t="s">
        <v>133</v>
      </c>
      <c r="H87" s="27" t="s">
        <v>606</v>
      </c>
      <c r="I87" s="24"/>
      <c r="J87" s="20" t="str">
        <f>VLOOKUP(G87,MD!M$2:O$93,3,FALSE)</f>
        <v>Dose hom.</v>
      </c>
      <c r="K87" s="29">
        <v>1</v>
      </c>
      <c r="L87" s="27" t="s">
        <v>636</v>
      </c>
      <c r="M87" s="25" t="s">
        <v>607</v>
      </c>
      <c r="N87" s="103">
        <f>22000000000*160*0.00465*2.15*0.00001*10000/1000000000</f>
        <v>3.5191199999999996</v>
      </c>
      <c r="O87" s="25" t="s">
        <v>608</v>
      </c>
      <c r="P87" s="22"/>
      <c r="Q87" s="44"/>
      <c r="R87" s="44"/>
      <c r="S87" s="44"/>
      <c r="T87" s="25"/>
      <c r="U87" s="25"/>
      <c r="V87" s="25"/>
      <c r="W87" s="25"/>
      <c r="X87" s="22"/>
      <c r="Y87" s="44"/>
      <c r="Z87" s="44"/>
      <c r="AA87" s="44"/>
      <c r="AB87" s="25"/>
      <c r="AC87" s="25"/>
      <c r="AD87" s="25"/>
      <c r="AE87" s="25"/>
    </row>
    <row r="88" spans="1:31" s="59" customFormat="1">
      <c r="A88" s="47" t="s">
        <v>553</v>
      </c>
      <c r="B88" s="47" t="s">
        <v>554</v>
      </c>
      <c r="C88" s="48">
        <v>43837</v>
      </c>
      <c r="D88" s="64">
        <f t="shared" si="1"/>
        <v>2</v>
      </c>
      <c r="E88" s="47" t="s">
        <v>553</v>
      </c>
      <c r="F88" s="18" t="s">
        <v>86</v>
      </c>
      <c r="G88" s="18" t="s">
        <v>64</v>
      </c>
      <c r="H88" s="27"/>
      <c r="I88" s="24">
        <v>1</v>
      </c>
      <c r="J88" s="20" t="str">
        <f>VLOOKUP(G88,MD!M$2:O$93,3,FALSE)</f>
        <v>ha</v>
      </c>
      <c r="K88" s="29">
        <v>1</v>
      </c>
      <c r="L88" s="27"/>
      <c r="M88" s="25"/>
      <c r="N88" s="25"/>
      <c r="O88" s="25"/>
      <c r="P88" s="22"/>
      <c r="Q88" s="44"/>
      <c r="R88" s="44"/>
      <c r="S88" s="44"/>
      <c r="T88" s="25"/>
      <c r="U88" s="25"/>
      <c r="V88" s="25"/>
      <c r="W88" s="25"/>
      <c r="X88" s="22"/>
      <c r="Y88" s="44"/>
      <c r="Z88" s="44"/>
      <c r="AA88" s="44"/>
      <c r="AB88" s="25"/>
      <c r="AC88" s="25"/>
      <c r="AD88" s="25"/>
      <c r="AE88" s="25"/>
    </row>
    <row r="89" spans="1:31" s="59" customFormat="1">
      <c r="A89" s="47" t="s">
        <v>553</v>
      </c>
      <c r="B89" s="47" t="s">
        <v>554</v>
      </c>
      <c r="C89" s="48">
        <v>43837</v>
      </c>
      <c r="D89" s="64">
        <f t="shared" si="1"/>
        <v>2</v>
      </c>
      <c r="E89" s="47" t="s">
        <v>553</v>
      </c>
      <c r="F89" s="18" t="s">
        <v>89</v>
      </c>
      <c r="G89" s="18" t="s">
        <v>113</v>
      </c>
      <c r="H89" s="27" t="s">
        <v>709</v>
      </c>
      <c r="I89" s="102">
        <f>1/1.5</f>
        <v>0.66666666666666663</v>
      </c>
      <c r="J89" s="20" t="str">
        <f>VLOOKUP(G89,MD!M$2:O$93,3,FALSE)</f>
        <v>Dose hom.</v>
      </c>
      <c r="K89" s="29">
        <v>1</v>
      </c>
      <c r="L89" s="27" t="s">
        <v>710</v>
      </c>
      <c r="M89" s="25" t="s">
        <v>711</v>
      </c>
      <c r="N89" s="103">
        <f>1*500</f>
        <v>500</v>
      </c>
      <c r="O89" s="25" t="s">
        <v>358</v>
      </c>
      <c r="P89" s="22"/>
      <c r="Q89" s="44"/>
      <c r="R89" s="44"/>
      <c r="S89" s="44"/>
      <c r="T89" s="25"/>
      <c r="U89" s="25"/>
      <c r="V89" s="25"/>
      <c r="W89" s="25"/>
      <c r="X89" s="22"/>
      <c r="Y89" s="44"/>
      <c r="Z89" s="44"/>
      <c r="AA89" s="44"/>
      <c r="AB89" s="25"/>
      <c r="AC89" s="25"/>
      <c r="AD89" s="25"/>
      <c r="AE89" s="25"/>
    </row>
    <row r="90" spans="1:31" s="59" customFormat="1">
      <c r="A90" s="47" t="s">
        <v>553</v>
      </c>
      <c r="B90" s="47" t="s">
        <v>554</v>
      </c>
      <c r="C90" s="48">
        <v>43837</v>
      </c>
      <c r="D90" s="64">
        <f t="shared" si="1"/>
        <v>2</v>
      </c>
      <c r="E90" s="47" t="s">
        <v>553</v>
      </c>
      <c r="F90" s="18" t="s">
        <v>89</v>
      </c>
      <c r="G90" s="18" t="s">
        <v>113</v>
      </c>
      <c r="H90" s="27" t="s">
        <v>712</v>
      </c>
      <c r="I90" s="102">
        <f>1/1.5</f>
        <v>0.66666666666666663</v>
      </c>
      <c r="J90" s="20" t="str">
        <f>VLOOKUP(G90,MD!M$2:O$93,3,FALSE)</f>
        <v>Dose hom.</v>
      </c>
      <c r="K90" s="29">
        <v>1</v>
      </c>
      <c r="L90" s="27" t="s">
        <v>713</v>
      </c>
      <c r="M90" s="25" t="s">
        <v>714</v>
      </c>
      <c r="N90" s="103">
        <f>1*6.272</f>
        <v>6.2720000000000002</v>
      </c>
      <c r="O90" s="25" t="s">
        <v>358</v>
      </c>
      <c r="P90" s="22"/>
      <c r="Q90" s="44"/>
      <c r="R90" s="44"/>
      <c r="S90" s="44"/>
      <c r="T90" s="25"/>
      <c r="U90" s="25"/>
      <c r="V90" s="25"/>
      <c r="W90" s="25"/>
      <c r="X90" s="22"/>
      <c r="Y90" s="44"/>
      <c r="Z90" s="44"/>
      <c r="AA90" s="44"/>
      <c r="AB90" s="25"/>
      <c r="AC90" s="25"/>
      <c r="AD90" s="25"/>
      <c r="AE90" s="25"/>
    </row>
    <row r="91" spans="1:31" s="59" customFormat="1">
      <c r="A91" s="47" t="s">
        <v>553</v>
      </c>
      <c r="B91" s="47" t="s">
        <v>554</v>
      </c>
      <c r="C91" s="48">
        <v>43879</v>
      </c>
      <c r="D91" s="64">
        <f t="shared" si="1"/>
        <v>8</v>
      </c>
      <c r="E91" s="47" t="s">
        <v>553</v>
      </c>
      <c r="F91" s="18" t="s">
        <v>85</v>
      </c>
      <c r="G91" s="18" t="s">
        <v>67</v>
      </c>
      <c r="H91" s="27"/>
      <c r="I91" s="24">
        <v>1</v>
      </c>
      <c r="J91" s="20" t="str">
        <f>VLOOKUP(G91,MD!M$2:O$93,3,FALSE)</f>
        <v>ha</v>
      </c>
      <c r="K91" s="29">
        <v>1</v>
      </c>
      <c r="L91" s="27"/>
      <c r="M91" s="25"/>
      <c r="N91" s="25"/>
      <c r="O91" s="25"/>
      <c r="P91" s="22"/>
      <c r="Q91" s="44"/>
      <c r="R91" s="44"/>
      <c r="S91" s="44"/>
      <c r="T91" s="25"/>
      <c r="U91" s="25"/>
      <c r="V91" s="25"/>
      <c r="W91" s="25"/>
      <c r="X91" s="22"/>
      <c r="Y91" s="44"/>
      <c r="Z91" s="44"/>
      <c r="AA91" s="44"/>
      <c r="AB91" s="25"/>
      <c r="AC91" s="25"/>
      <c r="AD91" s="25"/>
      <c r="AE91" s="25"/>
    </row>
    <row r="92" spans="1:31" s="59" customFormat="1">
      <c r="A92" s="47" t="s">
        <v>553</v>
      </c>
      <c r="B92" s="47" t="s">
        <v>554</v>
      </c>
      <c r="C92" s="48">
        <v>43879</v>
      </c>
      <c r="D92" s="64">
        <f t="shared" si="1"/>
        <v>8</v>
      </c>
      <c r="E92" s="47" t="s">
        <v>553</v>
      </c>
      <c r="F92" s="18" t="s">
        <v>88</v>
      </c>
      <c r="G92" s="18" t="s">
        <v>732</v>
      </c>
      <c r="H92" s="27" t="s">
        <v>733</v>
      </c>
      <c r="I92" s="24">
        <v>250</v>
      </c>
      <c r="J92" s="20" t="str">
        <f>VLOOKUP(G92,MD!M$2:O$93,3,FALSE)</f>
        <v>l/ha</v>
      </c>
      <c r="K92" s="29">
        <v>1</v>
      </c>
      <c r="L92" s="27"/>
      <c r="M92" s="25"/>
      <c r="N92" s="25"/>
      <c r="O92" s="25"/>
      <c r="P92" s="22"/>
      <c r="Q92" s="44"/>
      <c r="R92" s="44"/>
      <c r="S92" s="44"/>
      <c r="T92" s="25"/>
      <c r="U92" s="25"/>
      <c r="V92" s="25"/>
      <c r="W92" s="25"/>
      <c r="X92" s="22"/>
      <c r="Y92" s="44"/>
      <c r="Z92" s="44"/>
      <c r="AA92" s="44"/>
      <c r="AB92" s="25"/>
      <c r="AC92" s="25"/>
      <c r="AD92" s="25"/>
      <c r="AE92" s="25"/>
    </row>
    <row r="93" spans="1:31" s="59" customFormat="1">
      <c r="A93" s="47" t="s">
        <v>553</v>
      </c>
      <c r="B93" s="47" t="s">
        <v>554</v>
      </c>
      <c r="C93" s="48">
        <v>43898</v>
      </c>
      <c r="D93" s="64">
        <f t="shared" si="1"/>
        <v>11</v>
      </c>
      <c r="E93" s="47" t="s">
        <v>553</v>
      </c>
      <c r="F93" s="18" t="s">
        <v>85</v>
      </c>
      <c r="G93" s="18" t="s">
        <v>67</v>
      </c>
      <c r="H93" s="27"/>
      <c r="I93" s="24">
        <v>1</v>
      </c>
      <c r="J93" s="20" t="str">
        <f>VLOOKUP(G93,MD!M$2:O$93,3,FALSE)</f>
        <v>ha</v>
      </c>
      <c r="K93" s="29">
        <v>1</v>
      </c>
      <c r="L93" s="27"/>
      <c r="M93" s="25"/>
      <c r="N93" s="25"/>
      <c r="O93" s="25"/>
      <c r="P93" s="22"/>
      <c r="Q93" s="44"/>
      <c r="R93" s="44"/>
      <c r="S93" s="44"/>
      <c r="T93" s="25"/>
      <c r="U93" s="25"/>
      <c r="V93" s="25"/>
      <c r="W93" s="25"/>
      <c r="X93" s="22"/>
      <c r="Y93" s="44"/>
      <c r="Z93" s="44"/>
      <c r="AA93" s="44"/>
      <c r="AB93" s="25"/>
      <c r="AC93" s="25"/>
      <c r="AD93" s="25"/>
      <c r="AE93" s="25"/>
    </row>
    <row r="94" spans="1:31" s="59" customFormat="1">
      <c r="A94" s="47" t="s">
        <v>553</v>
      </c>
      <c r="B94" s="47" t="s">
        <v>554</v>
      </c>
      <c r="C94" s="48">
        <v>43898</v>
      </c>
      <c r="D94" s="64">
        <f t="shared" si="1"/>
        <v>11</v>
      </c>
      <c r="E94" s="47" t="s">
        <v>553</v>
      </c>
      <c r="F94" s="18" t="s">
        <v>88</v>
      </c>
      <c r="G94" s="18" t="s">
        <v>720</v>
      </c>
      <c r="H94" s="27"/>
      <c r="I94" s="24">
        <v>3</v>
      </c>
      <c r="J94" s="20" t="str">
        <f>VLOOKUP(G94,MD!M$2:O$93,3,FALSE)</f>
        <v>l/ha</v>
      </c>
      <c r="K94" s="29">
        <v>1</v>
      </c>
      <c r="L94" s="27"/>
      <c r="M94" s="25"/>
      <c r="N94" s="25"/>
      <c r="O94" s="25"/>
      <c r="P94" s="22"/>
      <c r="Q94" s="44"/>
      <c r="R94" s="44"/>
      <c r="S94" s="44"/>
      <c r="T94" s="25"/>
      <c r="U94" s="25"/>
      <c r="V94" s="25"/>
      <c r="W94" s="25"/>
      <c r="X94" s="22"/>
      <c r="Y94" s="44"/>
      <c r="Z94" s="44"/>
      <c r="AA94" s="44"/>
      <c r="AB94" s="25"/>
      <c r="AC94" s="25"/>
      <c r="AD94" s="25"/>
      <c r="AE94" s="25"/>
    </row>
    <row r="95" spans="1:31" s="59" customFormat="1">
      <c r="A95" s="47" t="s">
        <v>553</v>
      </c>
      <c r="B95" s="47" t="s">
        <v>554</v>
      </c>
      <c r="C95" s="48">
        <v>43909</v>
      </c>
      <c r="D95" s="64">
        <f t="shared" si="1"/>
        <v>12</v>
      </c>
      <c r="E95" s="47" t="s">
        <v>553</v>
      </c>
      <c r="F95" s="18" t="s">
        <v>86</v>
      </c>
      <c r="G95" s="18" t="s">
        <v>64</v>
      </c>
      <c r="H95" s="27"/>
      <c r="I95" s="24">
        <v>1</v>
      </c>
      <c r="J95" s="20" t="str">
        <f>VLOOKUP(G95,MD!M$2:O$93,3,FALSE)</f>
        <v>ha</v>
      </c>
      <c r="K95" s="29">
        <v>1</v>
      </c>
      <c r="L95" s="27"/>
      <c r="M95" s="25"/>
      <c r="N95" s="25"/>
      <c r="O95" s="25"/>
      <c r="P95" s="22"/>
      <c r="Q95" s="44"/>
      <c r="R95" s="44"/>
      <c r="S95" s="44"/>
      <c r="T95" s="25"/>
      <c r="U95" s="25"/>
      <c r="V95" s="25"/>
      <c r="W95" s="25"/>
      <c r="X95" s="22"/>
      <c r="Y95" s="44"/>
      <c r="Z95" s="44"/>
      <c r="AA95" s="44"/>
      <c r="AB95" s="25"/>
      <c r="AC95" s="25"/>
      <c r="AD95" s="25"/>
      <c r="AE95" s="25"/>
    </row>
    <row r="96" spans="1:31" s="59" customFormat="1">
      <c r="A96" s="47" t="s">
        <v>553</v>
      </c>
      <c r="B96" s="47" t="s">
        <v>554</v>
      </c>
      <c r="C96" s="48">
        <v>43909</v>
      </c>
      <c r="D96" s="64">
        <f t="shared" si="1"/>
        <v>12</v>
      </c>
      <c r="E96" s="47" t="s">
        <v>553</v>
      </c>
      <c r="F96" s="18" t="s">
        <v>89</v>
      </c>
      <c r="G96" s="18" t="s">
        <v>111</v>
      </c>
      <c r="H96" s="27" t="s">
        <v>797</v>
      </c>
      <c r="I96" s="24">
        <f>0.2/0.2</f>
        <v>1</v>
      </c>
      <c r="J96" s="20" t="str">
        <f>VLOOKUP(G96,MD!M$2:O$93,3,FALSE)</f>
        <v>Dose hom.</v>
      </c>
      <c r="K96" s="29">
        <v>1</v>
      </c>
      <c r="L96" s="27" t="s">
        <v>799</v>
      </c>
      <c r="M96" s="25" t="s">
        <v>798</v>
      </c>
      <c r="N96" s="25">
        <f>0.2*240</f>
        <v>48</v>
      </c>
      <c r="O96" s="25" t="s">
        <v>358</v>
      </c>
      <c r="P96" s="22"/>
      <c r="Q96" s="44"/>
      <c r="R96" s="44"/>
      <c r="S96" s="44"/>
      <c r="T96" s="25"/>
      <c r="U96" s="25"/>
      <c r="V96" s="25"/>
      <c r="W96" s="25"/>
      <c r="X96" s="22"/>
      <c r="Y96" s="44"/>
      <c r="Z96" s="44"/>
      <c r="AA96" s="44"/>
      <c r="AB96" s="25"/>
      <c r="AC96" s="25"/>
      <c r="AD96" s="25"/>
      <c r="AE96" s="25"/>
    </row>
    <row r="97" spans="1:31" s="59" customFormat="1">
      <c r="A97" s="47" t="s">
        <v>553</v>
      </c>
      <c r="B97" s="47" t="s">
        <v>554</v>
      </c>
      <c r="C97" s="48">
        <v>43929</v>
      </c>
      <c r="D97" s="64">
        <f t="shared" si="1"/>
        <v>15</v>
      </c>
      <c r="E97" s="47" t="s">
        <v>553</v>
      </c>
      <c r="F97" s="18" t="s">
        <v>86</v>
      </c>
      <c r="G97" s="18" t="s">
        <v>64</v>
      </c>
      <c r="H97" s="27"/>
      <c r="I97" s="24">
        <v>1</v>
      </c>
      <c r="J97" s="20" t="str">
        <f>VLOOKUP(G97,MD!M$2:O$93,3,FALSE)</f>
        <v>ha</v>
      </c>
      <c r="K97" s="29">
        <v>1</v>
      </c>
      <c r="L97" s="27"/>
      <c r="M97" s="25"/>
      <c r="N97" s="25"/>
      <c r="O97" s="25"/>
      <c r="P97" s="22"/>
      <c r="Q97" s="44"/>
      <c r="R97" s="44"/>
      <c r="S97" s="44"/>
      <c r="T97" s="25"/>
      <c r="U97" s="25"/>
      <c r="V97" s="25"/>
      <c r="W97" s="25"/>
      <c r="X97" s="22"/>
      <c r="Y97" s="44"/>
      <c r="Z97" s="44"/>
      <c r="AA97" s="44"/>
      <c r="AB97" s="25"/>
      <c r="AC97" s="25"/>
      <c r="AD97" s="25"/>
      <c r="AE97" s="25"/>
    </row>
    <row r="98" spans="1:31" s="59" customFormat="1">
      <c r="A98" s="47" t="s">
        <v>553</v>
      </c>
      <c r="B98" s="47" t="s">
        <v>554</v>
      </c>
      <c r="C98" s="48">
        <v>43929</v>
      </c>
      <c r="D98" s="64">
        <f t="shared" si="1"/>
        <v>15</v>
      </c>
      <c r="E98" s="47" t="s">
        <v>553</v>
      </c>
      <c r="F98" s="18" t="s">
        <v>89</v>
      </c>
      <c r="G98" s="18" t="s">
        <v>112</v>
      </c>
      <c r="H98" s="27" t="s">
        <v>800</v>
      </c>
      <c r="I98" s="24">
        <f>0.7/1</f>
        <v>0.7</v>
      </c>
      <c r="J98" s="20" t="str">
        <f>VLOOKUP(G98,MD!M$2:O$93,3,FALSE)</f>
        <v>Dose hom.</v>
      </c>
      <c r="K98" s="29">
        <v>1</v>
      </c>
      <c r="L98" s="27" t="s">
        <v>801</v>
      </c>
      <c r="M98" s="25" t="s">
        <v>369</v>
      </c>
      <c r="N98" s="25">
        <f>0.7*125</f>
        <v>87.5</v>
      </c>
      <c r="O98" s="25" t="s">
        <v>358</v>
      </c>
      <c r="P98" s="22"/>
      <c r="Q98" s="44"/>
      <c r="R98" s="44"/>
      <c r="S98" s="44"/>
      <c r="T98" s="25"/>
      <c r="U98" s="25"/>
      <c r="V98" s="25"/>
      <c r="W98" s="25"/>
      <c r="X98" s="22"/>
      <c r="Y98" s="44"/>
      <c r="Z98" s="44"/>
      <c r="AA98" s="44"/>
      <c r="AB98" s="25"/>
      <c r="AC98" s="25"/>
      <c r="AD98" s="25"/>
      <c r="AE98" s="25"/>
    </row>
    <row r="99" spans="1:31" s="59" customFormat="1">
      <c r="A99" s="47" t="s">
        <v>553</v>
      </c>
      <c r="B99" s="47" t="s">
        <v>554</v>
      </c>
      <c r="C99" s="48">
        <v>43929</v>
      </c>
      <c r="D99" s="64">
        <f t="shared" si="1"/>
        <v>15</v>
      </c>
      <c r="E99" s="47" t="s">
        <v>553</v>
      </c>
      <c r="F99" s="18" t="s">
        <v>89</v>
      </c>
      <c r="G99" s="18" t="s">
        <v>112</v>
      </c>
      <c r="H99" s="27" t="s">
        <v>802</v>
      </c>
      <c r="I99" s="24">
        <f>0.7/1</f>
        <v>0.7</v>
      </c>
      <c r="J99" s="20" t="str">
        <f>VLOOKUP(G99,MD!M$2:O$93,3,FALSE)</f>
        <v>Dose hom.</v>
      </c>
      <c r="K99" s="29">
        <v>1</v>
      </c>
      <c r="L99" s="27" t="s">
        <v>801</v>
      </c>
      <c r="M99" s="25" t="s">
        <v>367</v>
      </c>
      <c r="N99" s="25">
        <f>0.7*125</f>
        <v>87.5</v>
      </c>
      <c r="O99" s="25" t="s">
        <v>358</v>
      </c>
      <c r="P99" s="22"/>
      <c r="Q99" s="44"/>
      <c r="R99" s="44"/>
      <c r="S99" s="44"/>
      <c r="T99" s="25"/>
      <c r="U99" s="25"/>
      <c r="V99" s="25"/>
      <c r="W99" s="25"/>
      <c r="X99" s="22"/>
      <c r="Y99" s="44"/>
      <c r="Z99" s="44"/>
      <c r="AA99" s="44"/>
      <c r="AB99" s="25"/>
      <c r="AC99" s="25"/>
      <c r="AD99" s="25"/>
      <c r="AE99" s="25"/>
    </row>
    <row r="100" spans="1:31" s="59" customFormat="1">
      <c r="A100" s="47" t="s">
        <v>553</v>
      </c>
      <c r="B100" s="47" t="s">
        <v>554</v>
      </c>
      <c r="C100" s="48">
        <v>43958</v>
      </c>
      <c r="D100" s="64">
        <f t="shared" si="1"/>
        <v>19</v>
      </c>
      <c r="E100" s="47" t="s">
        <v>553</v>
      </c>
      <c r="F100" s="18" t="s">
        <v>86</v>
      </c>
      <c r="G100" s="18" t="s">
        <v>64</v>
      </c>
      <c r="H100" s="27"/>
      <c r="I100" s="24">
        <v>1</v>
      </c>
      <c r="J100" s="20" t="str">
        <f>VLOOKUP(G100,MD!M$2:O$93,3,FALSE)</f>
        <v>ha</v>
      </c>
      <c r="K100" s="29">
        <v>1</v>
      </c>
      <c r="L100" s="27"/>
      <c r="M100" s="25"/>
      <c r="N100" s="25"/>
      <c r="O100" s="25"/>
      <c r="P100" s="22"/>
      <c r="Q100" s="44"/>
      <c r="R100" s="44"/>
      <c r="S100" s="44"/>
      <c r="T100" s="25"/>
      <c r="U100" s="25"/>
      <c r="V100" s="25"/>
      <c r="W100" s="25"/>
      <c r="X100" s="22"/>
      <c r="Y100" s="44"/>
      <c r="Z100" s="44"/>
      <c r="AA100" s="44"/>
      <c r="AB100" s="25"/>
      <c r="AC100" s="25"/>
      <c r="AD100" s="25"/>
      <c r="AE100" s="25"/>
    </row>
    <row r="101" spans="1:31" s="59" customFormat="1">
      <c r="A101" s="47" t="s">
        <v>553</v>
      </c>
      <c r="B101" s="47" t="s">
        <v>554</v>
      </c>
      <c r="C101" s="48">
        <v>43958</v>
      </c>
      <c r="D101" s="64">
        <f t="shared" si="1"/>
        <v>19</v>
      </c>
      <c r="E101" s="47" t="s">
        <v>553</v>
      </c>
      <c r="F101" s="18" t="s">
        <v>89</v>
      </c>
      <c r="G101" s="18" t="s">
        <v>111</v>
      </c>
      <c r="H101" s="27" t="s">
        <v>809</v>
      </c>
      <c r="I101" s="24">
        <f>1/1</f>
        <v>1</v>
      </c>
      <c r="J101" s="20" t="str">
        <f>VLOOKUP(G101,MD!M$2:O$93,3,FALSE)</f>
        <v>Dose hom.</v>
      </c>
      <c r="K101" s="29">
        <v>1</v>
      </c>
      <c r="L101" s="27" t="s">
        <v>811</v>
      </c>
      <c r="M101" s="25" t="s">
        <v>810</v>
      </c>
      <c r="N101" s="25">
        <f>1*5</f>
        <v>5</v>
      </c>
      <c r="O101" s="25" t="s">
        <v>358</v>
      </c>
      <c r="P101" s="22"/>
      <c r="Q101" s="44"/>
      <c r="R101" s="44"/>
      <c r="S101" s="44"/>
      <c r="T101" s="25"/>
      <c r="U101" s="25"/>
      <c r="V101" s="25"/>
      <c r="W101" s="25"/>
      <c r="X101" s="22"/>
      <c r="Y101" s="44"/>
      <c r="Z101" s="44"/>
      <c r="AA101" s="44"/>
      <c r="AB101" s="25"/>
      <c r="AC101" s="25"/>
      <c r="AD101" s="25"/>
      <c r="AE101" s="25"/>
    </row>
    <row r="102" spans="1:31" s="59" customFormat="1">
      <c r="A102" s="47" t="s">
        <v>553</v>
      </c>
      <c r="B102" s="47" t="s">
        <v>554</v>
      </c>
      <c r="C102" s="48">
        <v>43958</v>
      </c>
      <c r="D102" s="64">
        <f t="shared" si="1"/>
        <v>19</v>
      </c>
      <c r="E102" s="47" t="s">
        <v>553</v>
      </c>
      <c r="F102" s="18" t="s">
        <v>89</v>
      </c>
      <c r="G102" s="18" t="s">
        <v>111</v>
      </c>
      <c r="H102" s="27" t="s">
        <v>808</v>
      </c>
      <c r="I102" s="24">
        <f>1/1</f>
        <v>1</v>
      </c>
      <c r="J102" s="20" t="str">
        <f>VLOOKUP(G102,MD!M$2:O$93,3,FALSE)</f>
        <v>Dose hom.</v>
      </c>
      <c r="K102" s="29">
        <v>1</v>
      </c>
      <c r="L102" s="27" t="s">
        <v>812</v>
      </c>
      <c r="M102" s="25" t="s">
        <v>805</v>
      </c>
      <c r="N102" s="25">
        <f>1*100</f>
        <v>100</v>
      </c>
      <c r="O102" s="25" t="s">
        <v>358</v>
      </c>
      <c r="P102" s="22"/>
      <c r="Q102" s="44"/>
      <c r="R102" s="44"/>
      <c r="S102" s="44"/>
      <c r="T102" s="25"/>
      <c r="U102" s="25"/>
      <c r="V102" s="25"/>
      <c r="W102" s="25"/>
      <c r="X102" s="22"/>
      <c r="Y102" s="44"/>
      <c r="Z102" s="44"/>
      <c r="AA102" s="44"/>
      <c r="AB102" s="25"/>
      <c r="AC102" s="25"/>
      <c r="AD102" s="25"/>
      <c r="AE102" s="25"/>
    </row>
    <row r="103" spans="1:31" s="59" customFormat="1">
      <c r="A103" s="47" t="s">
        <v>553</v>
      </c>
      <c r="B103" s="47" t="s">
        <v>554</v>
      </c>
      <c r="C103" s="48">
        <v>43958</v>
      </c>
      <c r="D103" s="64">
        <f t="shared" si="1"/>
        <v>19</v>
      </c>
      <c r="E103" s="47" t="s">
        <v>553</v>
      </c>
      <c r="F103" s="18" t="s">
        <v>89</v>
      </c>
      <c r="G103" s="18" t="s">
        <v>112</v>
      </c>
      <c r="H103" s="27" t="s">
        <v>813</v>
      </c>
      <c r="I103" s="24">
        <f>0.6/0.8</f>
        <v>0.74999999999999989</v>
      </c>
      <c r="J103" s="20" t="str">
        <f>VLOOKUP(G103,MD!M$2:O$93,3,FALSE)</f>
        <v>Dose hom.</v>
      </c>
      <c r="K103" s="29">
        <v>1</v>
      </c>
      <c r="L103" s="27" t="s">
        <v>814</v>
      </c>
      <c r="M103" s="25" t="s">
        <v>548</v>
      </c>
      <c r="N103" s="25">
        <f>0.6*90</f>
        <v>54</v>
      </c>
      <c r="O103" s="25" t="s">
        <v>358</v>
      </c>
      <c r="P103" s="22"/>
      <c r="Q103" s="44"/>
      <c r="R103" s="44"/>
      <c r="S103" s="44"/>
      <c r="T103" s="25"/>
      <c r="U103" s="25"/>
      <c r="V103" s="25"/>
      <c r="W103" s="25"/>
      <c r="X103" s="22"/>
      <c r="Y103" s="44"/>
      <c r="Z103" s="44"/>
      <c r="AA103" s="44"/>
      <c r="AB103" s="25"/>
      <c r="AC103" s="25"/>
      <c r="AD103" s="25"/>
      <c r="AE103" s="25"/>
    </row>
    <row r="104" spans="1:31" s="59" customFormat="1">
      <c r="A104" s="47" t="s">
        <v>553</v>
      </c>
      <c r="B104" s="47" t="s">
        <v>554</v>
      </c>
      <c r="C104" s="48">
        <v>44033</v>
      </c>
      <c r="D104" s="64">
        <f t="shared" si="1"/>
        <v>30</v>
      </c>
      <c r="E104" s="47" t="s">
        <v>553</v>
      </c>
      <c r="F104" s="18" t="s">
        <v>86</v>
      </c>
      <c r="G104" s="18" t="s">
        <v>55</v>
      </c>
      <c r="H104" s="27"/>
      <c r="I104" s="24">
        <v>1</v>
      </c>
      <c r="J104" s="20" t="str">
        <f>VLOOKUP(G104,MD!M$2:O$93,3,FALSE)</f>
        <v>ha</v>
      </c>
      <c r="K104" s="29">
        <v>1</v>
      </c>
      <c r="L104" s="27"/>
      <c r="M104" s="25"/>
      <c r="N104" s="25"/>
      <c r="O104" s="25"/>
      <c r="P104" s="22"/>
      <c r="Q104" s="44"/>
      <c r="R104" s="44"/>
      <c r="S104" s="44"/>
      <c r="T104" s="25"/>
      <c r="U104" s="25"/>
      <c r="V104" s="25"/>
      <c r="W104" s="25"/>
      <c r="X104" s="22"/>
      <c r="Y104" s="44"/>
      <c r="Z104" s="44"/>
      <c r="AA104" s="44"/>
      <c r="AB104" s="25"/>
      <c r="AC104" s="25"/>
      <c r="AD104" s="25"/>
      <c r="AE104" s="25"/>
    </row>
    <row r="105" spans="1:31" s="59" customFormat="1">
      <c r="A105" s="47" t="s">
        <v>553</v>
      </c>
      <c r="B105" s="47" t="s">
        <v>554</v>
      </c>
      <c r="C105" s="48">
        <v>44033</v>
      </c>
      <c r="D105" s="64">
        <f t="shared" si="1"/>
        <v>30</v>
      </c>
      <c r="E105" s="47" t="s">
        <v>553</v>
      </c>
      <c r="F105" s="18" t="s">
        <v>2</v>
      </c>
      <c r="G105" s="18" t="s">
        <v>115</v>
      </c>
      <c r="H105" s="27" t="s">
        <v>827</v>
      </c>
      <c r="I105" s="24">
        <v>42</v>
      </c>
      <c r="J105" s="20" t="str">
        <f>VLOOKUP(G105,MD!M$2:O$93,3,FALSE)</f>
        <v>Qtx/ha</v>
      </c>
      <c r="K105" s="29">
        <v>1</v>
      </c>
      <c r="L105" s="27" t="s">
        <v>832</v>
      </c>
      <c r="M105" s="25"/>
      <c r="N105" s="25"/>
      <c r="O105" s="25"/>
      <c r="P105" s="22"/>
      <c r="Q105" s="44"/>
      <c r="R105" s="44"/>
      <c r="S105" s="44"/>
      <c r="T105" s="25"/>
      <c r="U105" s="25"/>
      <c r="V105" s="25"/>
      <c r="W105" s="25"/>
      <c r="X105" s="22"/>
      <c r="Y105" s="44"/>
      <c r="Z105" s="44"/>
      <c r="AA105" s="44"/>
      <c r="AB105" s="25"/>
      <c r="AC105" s="25"/>
      <c r="AD105" s="25"/>
      <c r="AE105" s="25"/>
    </row>
    <row r="106" spans="1:31" s="59" customFormat="1">
      <c r="A106" s="47" t="s">
        <v>121</v>
      </c>
      <c r="B106" s="47" t="s">
        <v>836</v>
      </c>
      <c r="C106" s="48">
        <v>44111</v>
      </c>
      <c r="D106" s="47">
        <f t="shared" si="1"/>
        <v>41</v>
      </c>
      <c r="E106" s="47" t="s">
        <v>123</v>
      </c>
      <c r="F106" s="18" t="s">
        <v>83</v>
      </c>
      <c r="G106" s="18" t="s">
        <v>62</v>
      </c>
      <c r="H106" s="27"/>
      <c r="I106" s="24">
        <v>1</v>
      </c>
      <c r="J106" s="20" t="str">
        <f>VLOOKUP(G106,MD!M$2:O$93,3,FALSE)</f>
        <v>ha</v>
      </c>
      <c r="K106" s="29">
        <v>1</v>
      </c>
      <c r="L106" s="27"/>
      <c r="M106" s="25"/>
      <c r="N106" s="25"/>
      <c r="O106" s="25"/>
      <c r="P106" s="22"/>
      <c r="Q106" s="44"/>
      <c r="R106" s="44"/>
      <c r="S106" s="44"/>
      <c r="T106" s="25"/>
      <c r="U106" s="25"/>
      <c r="V106" s="25"/>
      <c r="W106" s="25"/>
      <c r="X106" s="22"/>
      <c r="Y106" s="44"/>
      <c r="Z106" s="44"/>
      <c r="AA106" s="44"/>
      <c r="AB106" s="25"/>
      <c r="AC106" s="25"/>
      <c r="AD106" s="25"/>
      <c r="AE106" s="25"/>
    </row>
    <row r="107" spans="1:31" s="59" customFormat="1">
      <c r="A107" s="47" t="s">
        <v>121</v>
      </c>
      <c r="B107" s="47" t="s">
        <v>836</v>
      </c>
      <c r="C107" s="48">
        <v>44111</v>
      </c>
      <c r="D107" s="47">
        <f t="shared" si="1"/>
        <v>41</v>
      </c>
      <c r="E107" s="47" t="s">
        <v>123</v>
      </c>
      <c r="F107" s="18" t="s">
        <v>84</v>
      </c>
      <c r="G107" s="18" t="s">
        <v>76</v>
      </c>
      <c r="H107" s="27"/>
      <c r="I107" s="24">
        <v>1</v>
      </c>
      <c r="J107" s="20" t="str">
        <f>VLOOKUP(G107,MD!M$2:O$93,3,FALSE)</f>
        <v>ha</v>
      </c>
      <c r="K107" s="29">
        <v>1</v>
      </c>
      <c r="L107" s="27"/>
      <c r="M107" s="25"/>
      <c r="N107" s="25"/>
      <c r="O107" s="25"/>
      <c r="P107" s="22"/>
      <c r="Q107" s="44"/>
      <c r="R107" s="44"/>
      <c r="S107" s="44"/>
      <c r="T107" s="25"/>
      <c r="U107" s="25"/>
      <c r="V107" s="25"/>
      <c r="W107" s="25"/>
      <c r="X107" s="22"/>
      <c r="Y107" s="44"/>
      <c r="Z107" s="44"/>
      <c r="AA107" s="44"/>
      <c r="AB107" s="25"/>
      <c r="AC107" s="25"/>
      <c r="AD107" s="25"/>
      <c r="AE107" s="25"/>
    </row>
    <row r="108" spans="1:31" s="59" customFormat="1">
      <c r="A108" s="47" t="s">
        <v>121</v>
      </c>
      <c r="B108" s="47" t="s">
        <v>836</v>
      </c>
      <c r="C108" s="48">
        <v>44111</v>
      </c>
      <c r="D108" s="47">
        <f t="shared" si="1"/>
        <v>41</v>
      </c>
      <c r="E108" s="47" t="s">
        <v>123</v>
      </c>
      <c r="F108" s="18" t="s">
        <v>87</v>
      </c>
      <c r="G108" s="18" t="s">
        <v>93</v>
      </c>
      <c r="H108" s="27" t="s">
        <v>130</v>
      </c>
      <c r="I108" s="24">
        <v>210</v>
      </c>
      <c r="J108" s="20" t="str">
        <f>VLOOKUP(G108,MD!M$2:O$93,3,FALSE)</f>
        <v>gr./m2</v>
      </c>
      <c r="K108" s="29">
        <v>1</v>
      </c>
      <c r="L108" s="27" t="s">
        <v>851</v>
      </c>
      <c r="M108" s="25"/>
      <c r="N108" s="25"/>
      <c r="O108" s="25"/>
      <c r="P108" s="22"/>
      <c r="Q108" s="44"/>
      <c r="R108" s="44"/>
      <c r="S108" s="44"/>
      <c r="T108" s="25"/>
      <c r="U108" s="25"/>
      <c r="V108" s="25"/>
      <c r="W108" s="25"/>
      <c r="X108" s="22"/>
      <c r="Y108" s="44"/>
      <c r="Z108" s="44"/>
      <c r="AA108" s="44"/>
      <c r="AB108" s="25"/>
      <c r="AC108" s="25"/>
      <c r="AD108" s="25"/>
      <c r="AE108" s="25"/>
    </row>
    <row r="109" spans="1:31" s="59" customFormat="1">
      <c r="A109" s="47" t="s">
        <v>121</v>
      </c>
      <c r="B109" s="47" t="s">
        <v>836</v>
      </c>
      <c r="C109" s="48">
        <v>44111</v>
      </c>
      <c r="D109" s="47">
        <f t="shared" si="1"/>
        <v>41</v>
      </c>
      <c r="E109" s="47" t="s">
        <v>123</v>
      </c>
      <c r="F109" s="18" t="s">
        <v>89</v>
      </c>
      <c r="G109" s="18" t="s">
        <v>133</v>
      </c>
      <c r="H109" s="27" t="s">
        <v>927</v>
      </c>
      <c r="I109" s="24">
        <v>1</v>
      </c>
      <c r="J109" s="20" t="str">
        <f>VLOOKUP(G109,MD!M$2:O$93,3,FALSE)</f>
        <v>Dose hom.</v>
      </c>
      <c r="K109" s="29">
        <v>1</v>
      </c>
      <c r="L109" s="27" t="s">
        <v>913</v>
      </c>
      <c r="M109" s="25" t="s">
        <v>850</v>
      </c>
      <c r="N109" s="107">
        <f>50*0.2*210*0.046*0.00001*10000</f>
        <v>9.66</v>
      </c>
      <c r="O109" s="25" t="s">
        <v>358</v>
      </c>
      <c r="P109" s="22"/>
      <c r="Q109" s="44"/>
      <c r="R109" s="44"/>
      <c r="S109" s="44"/>
      <c r="T109" s="25"/>
      <c r="U109" s="25"/>
      <c r="V109" s="25"/>
      <c r="W109" s="25"/>
      <c r="X109" s="22"/>
      <c r="Y109" s="44"/>
      <c r="Z109" s="44"/>
      <c r="AA109" s="44"/>
      <c r="AB109" s="25"/>
      <c r="AC109" s="25"/>
      <c r="AD109" s="25"/>
      <c r="AE109" s="25"/>
    </row>
    <row r="110" spans="1:31" s="59" customFormat="1">
      <c r="A110" s="47" t="s">
        <v>121</v>
      </c>
      <c r="B110" s="47" t="s">
        <v>836</v>
      </c>
      <c r="C110" s="48">
        <v>44111</v>
      </c>
      <c r="D110" s="47">
        <f t="shared" si="1"/>
        <v>41</v>
      </c>
      <c r="E110" s="47" t="s">
        <v>123</v>
      </c>
      <c r="F110" s="18" t="s">
        <v>89</v>
      </c>
      <c r="G110" s="18" t="s">
        <v>133</v>
      </c>
      <c r="H110" s="27" t="s">
        <v>350</v>
      </c>
      <c r="I110" s="24">
        <v>1</v>
      </c>
      <c r="J110" s="20" t="str">
        <f>VLOOKUP(G110,MD!M$2:O$93,3,FALSE)</f>
        <v>Dose hom.</v>
      </c>
      <c r="K110" s="29">
        <v>1</v>
      </c>
      <c r="L110" s="27" t="s">
        <v>914</v>
      </c>
      <c r="M110" s="25" t="s">
        <v>351</v>
      </c>
      <c r="N110" s="107">
        <f>25*0.2*210*0.046*0.00001*10000</f>
        <v>4.83</v>
      </c>
      <c r="O110" s="25" t="s">
        <v>358</v>
      </c>
      <c r="P110" s="22"/>
      <c r="Q110" s="44"/>
      <c r="R110" s="44"/>
      <c r="S110" s="44"/>
      <c r="T110" s="25"/>
      <c r="U110" s="25"/>
      <c r="V110" s="25"/>
      <c r="W110" s="25"/>
      <c r="X110" s="22"/>
      <c r="Y110" s="44"/>
      <c r="Z110" s="44"/>
      <c r="AA110" s="44"/>
      <c r="AB110" s="25"/>
      <c r="AC110" s="25"/>
      <c r="AD110" s="25"/>
      <c r="AE110" s="25"/>
    </row>
    <row r="111" spans="1:31" s="59" customFormat="1">
      <c r="A111" s="47" t="s">
        <v>121</v>
      </c>
      <c r="B111" s="47" t="s">
        <v>836</v>
      </c>
      <c r="C111" s="48">
        <v>44111</v>
      </c>
      <c r="D111" s="47">
        <f t="shared" si="1"/>
        <v>41</v>
      </c>
      <c r="E111" s="47" t="s">
        <v>123</v>
      </c>
      <c r="F111" s="18" t="s">
        <v>89</v>
      </c>
      <c r="G111" s="18" t="s">
        <v>133</v>
      </c>
      <c r="H111" s="27" t="s">
        <v>349</v>
      </c>
      <c r="I111" s="24">
        <v>1</v>
      </c>
      <c r="J111" s="20" t="str">
        <f>VLOOKUP(G111,MD!M$2:O$93,3,FALSE)</f>
        <v>Dose hom.</v>
      </c>
      <c r="K111" s="29">
        <v>1</v>
      </c>
      <c r="L111" s="27" t="s">
        <v>914</v>
      </c>
      <c r="M111" s="25" t="s">
        <v>348</v>
      </c>
      <c r="N111" s="107">
        <f>25*0.2*210*0.046*0.00001*10000</f>
        <v>4.83</v>
      </c>
      <c r="O111" s="25" t="s">
        <v>358</v>
      </c>
      <c r="P111" s="22"/>
      <c r="Q111" s="44"/>
      <c r="R111" s="44"/>
      <c r="S111" s="44"/>
      <c r="T111" s="25"/>
      <c r="U111" s="25"/>
      <c r="V111" s="25"/>
      <c r="W111" s="25"/>
      <c r="X111" s="22"/>
      <c r="Y111" s="44"/>
      <c r="Z111" s="44"/>
      <c r="AA111" s="44"/>
      <c r="AB111" s="25"/>
      <c r="AC111" s="25"/>
      <c r="AD111" s="25"/>
      <c r="AE111" s="25"/>
    </row>
    <row r="112" spans="1:31" s="59" customFormat="1">
      <c r="A112" s="47" t="s">
        <v>847</v>
      </c>
      <c r="B112" s="47" t="s">
        <v>836</v>
      </c>
      <c r="C112" s="48">
        <v>44499</v>
      </c>
      <c r="D112" s="64">
        <f t="shared" si="1"/>
        <v>44</v>
      </c>
      <c r="E112" s="47" t="s">
        <v>121</v>
      </c>
      <c r="F112" s="18" t="s">
        <v>86</v>
      </c>
      <c r="G112" s="18" t="s">
        <v>64</v>
      </c>
      <c r="H112" s="27"/>
      <c r="I112" s="24">
        <v>1</v>
      </c>
      <c r="J112" s="20" t="str">
        <f>VLOOKUP(G112,MD!M$2:O$93,3,FALSE)</f>
        <v>ha</v>
      </c>
      <c r="K112" s="29"/>
      <c r="L112" s="27"/>
      <c r="M112" s="25"/>
      <c r="N112" s="25"/>
      <c r="O112" s="25"/>
      <c r="P112" s="22"/>
      <c r="Q112" s="44"/>
      <c r="R112" s="44"/>
      <c r="S112" s="44"/>
      <c r="T112" s="25"/>
      <c r="U112" s="25"/>
      <c r="V112" s="25"/>
      <c r="W112" s="25"/>
      <c r="X112" s="22"/>
      <c r="Y112" s="44"/>
      <c r="Z112" s="44"/>
      <c r="AA112" s="44"/>
      <c r="AB112" s="25"/>
      <c r="AC112" s="25"/>
      <c r="AD112" s="25"/>
      <c r="AE112" s="25"/>
    </row>
    <row r="113" spans="1:31" s="59" customFormat="1">
      <c r="A113" s="47" t="s">
        <v>847</v>
      </c>
      <c r="B113" s="47" t="s">
        <v>836</v>
      </c>
      <c r="C113" s="48">
        <v>44499</v>
      </c>
      <c r="D113" s="64">
        <f t="shared" si="1"/>
        <v>44</v>
      </c>
      <c r="E113" s="47" t="s">
        <v>121</v>
      </c>
      <c r="F113" s="18" t="s">
        <v>89</v>
      </c>
      <c r="G113" s="18" t="s">
        <v>113</v>
      </c>
      <c r="H113" s="27" t="s">
        <v>929</v>
      </c>
      <c r="I113" s="24">
        <f>0.55/0.6</f>
        <v>0.91666666666666674</v>
      </c>
      <c r="J113" s="20" t="str">
        <f>VLOOKUP(G113,MD!M$2:O$93,3,FALSE)</f>
        <v>Dose hom.</v>
      </c>
      <c r="K113" s="29">
        <v>1</v>
      </c>
      <c r="L113" s="27" t="s">
        <v>872</v>
      </c>
      <c r="M113" s="25" t="s">
        <v>339</v>
      </c>
      <c r="N113" s="25">
        <v>110</v>
      </c>
      <c r="O113" s="25" t="s">
        <v>358</v>
      </c>
      <c r="P113" s="22"/>
      <c r="Q113" s="44"/>
      <c r="R113" s="44"/>
      <c r="S113" s="44"/>
      <c r="T113" s="25"/>
      <c r="U113" s="25"/>
      <c r="V113" s="25"/>
      <c r="W113" s="25"/>
      <c r="X113" s="22"/>
      <c r="Y113" s="44"/>
      <c r="Z113" s="44"/>
      <c r="AA113" s="44"/>
      <c r="AB113" s="25"/>
      <c r="AC113" s="25"/>
      <c r="AD113" s="25"/>
      <c r="AE113" s="25"/>
    </row>
    <row r="114" spans="1:31" s="59" customFormat="1">
      <c r="A114" s="47" t="s">
        <v>847</v>
      </c>
      <c r="B114" s="47" t="s">
        <v>836</v>
      </c>
      <c r="C114" s="48">
        <v>44499</v>
      </c>
      <c r="D114" s="64">
        <f t="shared" si="1"/>
        <v>44</v>
      </c>
      <c r="E114" s="47" t="s">
        <v>121</v>
      </c>
      <c r="F114" s="18" t="s">
        <v>89</v>
      </c>
      <c r="G114" s="18" t="s">
        <v>113</v>
      </c>
      <c r="H114" s="27" t="s">
        <v>341</v>
      </c>
      <c r="I114" s="24">
        <f>0.55/0.6</f>
        <v>0.91666666666666674</v>
      </c>
      <c r="J114" s="20" t="str">
        <f>VLOOKUP(G114,MD!M$2:O$93,3,FALSE)</f>
        <v>Dose hom.</v>
      </c>
      <c r="K114" s="29">
        <v>1</v>
      </c>
      <c r="L114" s="27" t="s">
        <v>873</v>
      </c>
      <c r="M114" s="25" t="s">
        <v>340</v>
      </c>
      <c r="N114" s="25">
        <v>220</v>
      </c>
      <c r="O114" s="25" t="s">
        <v>358</v>
      </c>
      <c r="P114" s="22"/>
      <c r="Q114" s="44"/>
      <c r="R114" s="44"/>
      <c r="S114" s="44"/>
      <c r="T114" s="25"/>
      <c r="U114" s="25"/>
      <c r="V114" s="25"/>
      <c r="W114" s="25"/>
      <c r="X114" s="22"/>
      <c r="Y114" s="44"/>
      <c r="Z114" s="44"/>
      <c r="AA114" s="44"/>
      <c r="AB114" s="25"/>
      <c r="AC114" s="25"/>
      <c r="AD114" s="25"/>
      <c r="AE114" s="25"/>
    </row>
    <row r="115" spans="1:31" s="59" customFormat="1">
      <c r="A115" s="47" t="s">
        <v>847</v>
      </c>
      <c r="B115" s="47" t="s">
        <v>836</v>
      </c>
      <c r="C115" s="48">
        <v>44499</v>
      </c>
      <c r="D115" s="64">
        <f t="shared" si="1"/>
        <v>44</v>
      </c>
      <c r="E115" s="47" t="s">
        <v>121</v>
      </c>
      <c r="F115" s="18" t="s">
        <v>89</v>
      </c>
      <c r="G115" s="18" t="s">
        <v>111</v>
      </c>
      <c r="H115" s="27" t="s">
        <v>870</v>
      </c>
      <c r="I115" s="24">
        <v>1</v>
      </c>
      <c r="J115" s="20" t="str">
        <f>VLOOKUP(G115,MD!M$2:O$93,3,FALSE)</f>
        <v>Dose hom.</v>
      </c>
      <c r="K115" s="29">
        <v>1</v>
      </c>
      <c r="L115" s="27" t="s">
        <v>871</v>
      </c>
      <c r="M115" s="25" t="s">
        <v>810</v>
      </c>
      <c r="N115" s="25">
        <v>7.5</v>
      </c>
      <c r="O115" s="25" t="s">
        <v>358</v>
      </c>
      <c r="P115" s="44"/>
      <c r="Q115" s="44"/>
      <c r="R115" s="44"/>
      <c r="S115" s="44"/>
      <c r="T115" s="25"/>
      <c r="U115" s="25"/>
      <c r="V115" s="25"/>
      <c r="W115" s="25"/>
      <c r="X115" s="22"/>
      <c r="Y115" s="44"/>
      <c r="Z115" s="44"/>
      <c r="AA115" s="44"/>
      <c r="AB115" s="25"/>
      <c r="AC115" s="25"/>
      <c r="AD115" s="25"/>
      <c r="AE115" s="25"/>
    </row>
    <row r="116" spans="1:31" s="59" customFormat="1">
      <c r="A116" s="47" t="s">
        <v>847</v>
      </c>
      <c r="B116" s="47" t="s">
        <v>836</v>
      </c>
      <c r="C116" s="48">
        <v>44147</v>
      </c>
      <c r="D116" s="64">
        <f t="shared" si="1"/>
        <v>46</v>
      </c>
      <c r="E116" s="47" t="s">
        <v>121</v>
      </c>
      <c r="F116" s="18" t="s">
        <v>86</v>
      </c>
      <c r="G116" s="18" t="s">
        <v>64</v>
      </c>
      <c r="H116" s="27"/>
      <c r="I116" s="24">
        <v>1</v>
      </c>
      <c r="J116" s="20" t="str">
        <f>VLOOKUP(G116,MD!M$2:O$93,3,FALSE)</f>
        <v>ha</v>
      </c>
      <c r="K116" s="29">
        <v>1</v>
      </c>
      <c r="L116" s="27"/>
      <c r="M116" s="25"/>
      <c r="N116" s="25"/>
      <c r="O116" s="25"/>
      <c r="P116" s="22"/>
      <c r="Q116" s="44"/>
      <c r="R116" s="44"/>
      <c r="S116" s="44"/>
      <c r="T116" s="25"/>
      <c r="U116" s="25"/>
      <c r="V116" s="25"/>
      <c r="W116" s="25"/>
      <c r="X116" s="22"/>
      <c r="Y116" s="44"/>
      <c r="Z116" s="44"/>
      <c r="AA116" s="44"/>
      <c r="AB116" s="25"/>
      <c r="AC116" s="25"/>
      <c r="AD116" s="25"/>
      <c r="AE116" s="25"/>
    </row>
    <row r="117" spans="1:31" s="59" customFormat="1">
      <c r="A117" s="47" t="s">
        <v>847</v>
      </c>
      <c r="B117" s="47" t="s">
        <v>836</v>
      </c>
      <c r="C117" s="48">
        <v>44147</v>
      </c>
      <c r="D117" s="64">
        <f t="shared" si="1"/>
        <v>46</v>
      </c>
      <c r="E117" s="47" t="s">
        <v>121</v>
      </c>
      <c r="F117" s="18" t="s">
        <v>89</v>
      </c>
      <c r="G117" s="18" t="s">
        <v>111</v>
      </c>
      <c r="H117" s="27" t="s">
        <v>870</v>
      </c>
      <c r="I117" s="24">
        <v>1</v>
      </c>
      <c r="J117" s="20" t="str">
        <f>VLOOKUP(G117,MD!M$2:O$93,3,FALSE)</f>
        <v>Dose hom.</v>
      </c>
      <c r="K117" s="29">
        <v>1</v>
      </c>
      <c r="L117" s="27" t="s">
        <v>871</v>
      </c>
      <c r="M117" s="25" t="s">
        <v>810</v>
      </c>
      <c r="N117" s="25">
        <v>7.5</v>
      </c>
      <c r="O117" s="25" t="s">
        <v>358</v>
      </c>
      <c r="P117" s="44"/>
      <c r="Q117" s="44"/>
      <c r="R117" s="44"/>
      <c r="S117" s="44"/>
      <c r="T117" s="25"/>
      <c r="U117" s="25"/>
      <c r="V117" s="25"/>
      <c r="W117" s="25"/>
      <c r="X117" s="22"/>
      <c r="Y117" s="44"/>
      <c r="Z117" s="44"/>
      <c r="AA117" s="44"/>
      <c r="AB117" s="25"/>
      <c r="AC117" s="25"/>
      <c r="AD117" s="25"/>
      <c r="AE117" s="25"/>
    </row>
    <row r="118" spans="1:31" s="59" customFormat="1">
      <c r="A118" s="47" t="s">
        <v>847</v>
      </c>
      <c r="B118" s="47" t="s">
        <v>836</v>
      </c>
      <c r="C118" s="48">
        <v>44161</v>
      </c>
      <c r="D118" s="64">
        <f t="shared" si="1"/>
        <v>48</v>
      </c>
      <c r="E118" s="47" t="s">
        <v>121</v>
      </c>
      <c r="F118" s="18" t="s">
        <v>86</v>
      </c>
      <c r="G118" s="18" t="s">
        <v>64</v>
      </c>
      <c r="H118" s="27"/>
      <c r="I118" s="24">
        <v>1</v>
      </c>
      <c r="J118" s="20" t="str">
        <f>VLOOKUP(G118,MD!M$2:O$93,3,FALSE)</f>
        <v>ha</v>
      </c>
      <c r="K118" s="29">
        <v>1</v>
      </c>
      <c r="L118" s="27"/>
      <c r="M118" s="25"/>
      <c r="N118" s="25"/>
      <c r="O118" s="25"/>
      <c r="P118" s="22"/>
      <c r="Q118" s="44"/>
      <c r="R118" s="44"/>
      <c r="S118" s="44"/>
      <c r="T118" s="25"/>
      <c r="U118" s="25"/>
      <c r="V118" s="25"/>
      <c r="W118" s="25"/>
      <c r="X118" s="22"/>
      <c r="Y118" s="44"/>
      <c r="Z118" s="44"/>
      <c r="AA118" s="44"/>
      <c r="AB118" s="25"/>
      <c r="AC118" s="25"/>
      <c r="AD118" s="25"/>
      <c r="AE118" s="25"/>
    </row>
    <row r="119" spans="1:31" s="59" customFormat="1">
      <c r="A119" s="47" t="s">
        <v>847</v>
      </c>
      <c r="B119" s="47" t="s">
        <v>836</v>
      </c>
      <c r="C119" s="48">
        <v>44161</v>
      </c>
      <c r="D119" s="64">
        <f t="shared" si="1"/>
        <v>48</v>
      </c>
      <c r="E119" s="47" t="s">
        <v>121</v>
      </c>
      <c r="F119" s="18" t="s">
        <v>89</v>
      </c>
      <c r="G119" s="18" t="s">
        <v>111</v>
      </c>
      <c r="H119" s="27" t="s">
        <v>870</v>
      </c>
      <c r="I119" s="24">
        <v>1</v>
      </c>
      <c r="J119" s="20" t="str">
        <f>VLOOKUP(G119,MD!M$2:O$93,3,FALSE)</f>
        <v>Dose hom.</v>
      </c>
      <c r="K119" s="29">
        <v>1</v>
      </c>
      <c r="L119" s="27" t="s">
        <v>871</v>
      </c>
      <c r="M119" s="25" t="s">
        <v>810</v>
      </c>
      <c r="N119" s="25">
        <v>7.5</v>
      </c>
      <c r="O119" s="25" t="s">
        <v>358</v>
      </c>
      <c r="P119" s="44"/>
      <c r="Q119" s="44"/>
      <c r="R119" s="44"/>
      <c r="S119" s="44"/>
      <c r="T119" s="25"/>
      <c r="U119" s="25"/>
      <c r="V119" s="25"/>
      <c r="W119" s="25"/>
      <c r="X119" s="22"/>
      <c r="Y119" s="44"/>
      <c r="Z119" s="44"/>
      <c r="AA119" s="44"/>
      <c r="AB119" s="25"/>
      <c r="AC119" s="25"/>
      <c r="AD119" s="25"/>
      <c r="AE119" s="25"/>
    </row>
    <row r="120" spans="1:31" s="59" customFormat="1">
      <c r="A120" s="47" t="s">
        <v>847</v>
      </c>
      <c r="B120" s="47" t="s">
        <v>836</v>
      </c>
      <c r="C120" s="48">
        <v>44240</v>
      </c>
      <c r="D120" s="64">
        <f t="shared" ref="D120" si="2">WEEKNUM(C120)</f>
        <v>7</v>
      </c>
      <c r="E120" s="47" t="s">
        <v>121</v>
      </c>
      <c r="F120" s="18" t="s">
        <v>85</v>
      </c>
      <c r="G120" s="18" t="s">
        <v>35</v>
      </c>
      <c r="H120" s="27"/>
      <c r="I120" s="24">
        <v>1</v>
      </c>
      <c r="J120" s="20" t="str">
        <f>VLOOKUP(G120,MD!M$2:O$93,3,FALSE)</f>
        <v>ha</v>
      </c>
      <c r="K120" s="29">
        <v>1</v>
      </c>
      <c r="L120" s="27"/>
      <c r="M120" s="25"/>
      <c r="N120" s="25"/>
      <c r="O120" s="25"/>
      <c r="P120" s="44"/>
      <c r="Q120" s="44"/>
      <c r="R120" s="44"/>
      <c r="S120" s="44"/>
      <c r="T120" s="25"/>
      <c r="U120" s="25"/>
      <c r="V120" s="25"/>
      <c r="W120" s="25"/>
      <c r="X120" s="22"/>
      <c r="Y120" s="44"/>
      <c r="Z120" s="44"/>
      <c r="AA120" s="44"/>
      <c r="AB120" s="25"/>
      <c r="AC120" s="25"/>
      <c r="AD120" s="25"/>
      <c r="AE120" s="25"/>
    </row>
    <row r="121" spans="1:31" s="59" customFormat="1">
      <c r="A121" s="47" t="s">
        <v>847</v>
      </c>
      <c r="B121" s="47" t="s">
        <v>836</v>
      </c>
      <c r="C121" s="48">
        <v>44240</v>
      </c>
      <c r="D121" s="64">
        <f t="shared" ref="D121:D146" si="3">WEEKNUM(C121)</f>
        <v>7</v>
      </c>
      <c r="E121" s="47" t="s">
        <v>121</v>
      </c>
      <c r="F121" s="18" t="s">
        <v>88</v>
      </c>
      <c r="G121" s="18" t="s">
        <v>100</v>
      </c>
      <c r="H121" s="27" t="s">
        <v>983</v>
      </c>
      <c r="I121" s="24">
        <v>40</v>
      </c>
      <c r="J121" s="20" t="str">
        <f>VLOOKUP(G121,MD!M$2:O$93,3,FALSE)</f>
        <v>m3/ha</v>
      </c>
      <c r="K121" s="29">
        <v>1</v>
      </c>
      <c r="L121" s="27" t="s">
        <v>984</v>
      </c>
      <c r="M121" s="25"/>
      <c r="N121" s="25"/>
      <c r="O121" s="25"/>
      <c r="P121" s="44"/>
      <c r="Q121" s="44"/>
      <c r="R121" s="44"/>
      <c r="S121" s="44"/>
      <c r="T121" s="25"/>
      <c r="U121" s="25"/>
      <c r="V121" s="25"/>
      <c r="W121" s="25"/>
      <c r="X121" s="22"/>
      <c r="Y121" s="44"/>
      <c r="Z121" s="44"/>
      <c r="AA121" s="44"/>
      <c r="AB121" s="25"/>
      <c r="AC121" s="25"/>
      <c r="AD121" s="25"/>
      <c r="AE121" s="25"/>
    </row>
    <row r="122" spans="1:31" s="59" customFormat="1">
      <c r="A122" s="47" t="s">
        <v>847</v>
      </c>
      <c r="B122" s="47" t="s">
        <v>836</v>
      </c>
      <c r="C122" s="48">
        <v>44265</v>
      </c>
      <c r="D122" s="64">
        <f t="shared" si="3"/>
        <v>11</v>
      </c>
      <c r="E122" s="47" t="s">
        <v>121</v>
      </c>
      <c r="F122" s="18" t="s">
        <v>85</v>
      </c>
      <c r="G122" s="18" t="s">
        <v>67</v>
      </c>
      <c r="H122" s="27"/>
      <c r="I122" s="24">
        <v>1</v>
      </c>
      <c r="J122" s="20" t="str">
        <f>VLOOKUP(G122,MD!M$2:O$93,3,FALSE)</f>
        <v>ha</v>
      </c>
      <c r="K122" s="29">
        <v>1</v>
      </c>
      <c r="L122" s="27"/>
      <c r="M122" s="25"/>
      <c r="N122" s="25"/>
      <c r="O122" s="25"/>
      <c r="P122" s="22"/>
      <c r="Q122" s="44"/>
      <c r="R122" s="44"/>
      <c r="S122" s="44"/>
      <c r="T122" s="25"/>
      <c r="U122" s="25"/>
      <c r="V122" s="25"/>
      <c r="W122" s="25"/>
      <c r="X122" s="22"/>
      <c r="Y122" s="44"/>
      <c r="Z122" s="44"/>
      <c r="AA122" s="44"/>
      <c r="AB122" s="25"/>
      <c r="AC122" s="25"/>
      <c r="AD122" s="25"/>
      <c r="AE122" s="25"/>
    </row>
    <row r="123" spans="1:31" s="59" customFormat="1">
      <c r="A123" s="47" t="s">
        <v>847</v>
      </c>
      <c r="B123" s="47" t="s">
        <v>836</v>
      </c>
      <c r="C123" s="48">
        <v>44265</v>
      </c>
      <c r="D123" s="64">
        <f t="shared" si="3"/>
        <v>11</v>
      </c>
      <c r="E123" s="47" t="s">
        <v>121</v>
      </c>
      <c r="F123" s="18" t="s">
        <v>88</v>
      </c>
      <c r="G123" s="18" t="s">
        <v>909</v>
      </c>
      <c r="H123" s="27" t="s">
        <v>911</v>
      </c>
      <c r="I123" s="24">
        <v>200</v>
      </c>
      <c r="J123" s="20" t="str">
        <f>VLOOKUP(G123,MD!M$2:O$93,3,FALSE)</f>
        <v>l/ha</v>
      </c>
      <c r="K123" s="29">
        <v>1</v>
      </c>
      <c r="L123" s="27" t="s">
        <v>910</v>
      </c>
      <c r="M123" s="25"/>
      <c r="N123" s="25"/>
      <c r="O123" s="25"/>
      <c r="P123" s="22"/>
      <c r="Q123" s="44"/>
      <c r="R123" s="44"/>
      <c r="S123" s="44"/>
      <c r="T123" s="25"/>
      <c r="U123" s="25"/>
      <c r="V123" s="25"/>
      <c r="W123" s="25"/>
      <c r="X123" s="22"/>
      <c r="Y123" s="44"/>
      <c r="Z123" s="44"/>
      <c r="AA123" s="44"/>
      <c r="AB123" s="25"/>
      <c r="AC123" s="25"/>
      <c r="AD123" s="25"/>
      <c r="AE123" s="25"/>
    </row>
    <row r="124" spans="1:31" s="59" customFormat="1">
      <c r="A124" s="47" t="s">
        <v>847</v>
      </c>
      <c r="B124" s="47" t="s">
        <v>836</v>
      </c>
      <c r="C124" s="48">
        <v>44286</v>
      </c>
      <c r="D124" s="64">
        <f t="shared" si="3"/>
        <v>14</v>
      </c>
      <c r="E124" s="47" t="s">
        <v>121</v>
      </c>
      <c r="F124" s="18" t="s">
        <v>86</v>
      </c>
      <c r="G124" s="18" t="s">
        <v>64</v>
      </c>
      <c r="H124" s="27"/>
      <c r="I124" s="24">
        <v>1</v>
      </c>
      <c r="J124" s="20" t="str">
        <f>VLOOKUP(G124,MD!M$2:O$93,3,FALSE)</f>
        <v>ha</v>
      </c>
      <c r="K124" s="29">
        <v>1</v>
      </c>
      <c r="L124" s="27"/>
      <c r="M124" s="25"/>
      <c r="N124" s="25"/>
      <c r="O124" s="25"/>
      <c r="P124" s="22"/>
      <c r="Q124" s="44"/>
      <c r="R124" s="44"/>
      <c r="S124" s="44"/>
      <c r="T124" s="25"/>
      <c r="U124" s="25"/>
      <c r="V124" s="25"/>
      <c r="W124" s="25"/>
      <c r="X124" s="22"/>
      <c r="Y124" s="44"/>
      <c r="Z124" s="44"/>
      <c r="AA124" s="44"/>
      <c r="AB124" s="25"/>
      <c r="AC124" s="25"/>
      <c r="AD124" s="25"/>
      <c r="AE124" s="25"/>
    </row>
    <row r="125" spans="1:31" s="59" customFormat="1">
      <c r="A125" s="47" t="s">
        <v>847</v>
      </c>
      <c r="B125" s="47" t="s">
        <v>836</v>
      </c>
      <c r="C125" s="48">
        <v>44286</v>
      </c>
      <c r="D125" s="64">
        <f t="shared" si="3"/>
        <v>14</v>
      </c>
      <c r="E125" s="47" t="s">
        <v>121</v>
      </c>
      <c r="F125" s="18" t="s">
        <v>89</v>
      </c>
      <c r="G125" s="18" t="s">
        <v>110</v>
      </c>
      <c r="H125" s="27" t="s">
        <v>947</v>
      </c>
      <c r="I125" s="24">
        <f>0.4/0.75</f>
        <v>0.53333333333333333</v>
      </c>
      <c r="J125" s="20" t="str">
        <f>VLOOKUP(G125,MD!M$2:O$93,3,FALSE)</f>
        <v>Dose hom.</v>
      </c>
      <c r="K125" s="29">
        <v>1</v>
      </c>
      <c r="L125" s="27" t="s">
        <v>950</v>
      </c>
      <c r="M125" s="25" t="s">
        <v>469</v>
      </c>
      <c r="N125" s="25">
        <f>0.4*75</f>
        <v>30</v>
      </c>
      <c r="O125" s="25" t="s">
        <v>358</v>
      </c>
      <c r="P125" s="44"/>
      <c r="Q125" s="44"/>
      <c r="R125" s="44"/>
      <c r="S125" s="44"/>
      <c r="T125" s="25"/>
      <c r="U125" s="25"/>
      <c r="V125" s="25"/>
      <c r="W125" s="25"/>
      <c r="X125" s="22"/>
      <c r="Y125" s="44"/>
      <c r="Z125" s="44"/>
      <c r="AA125" s="44"/>
      <c r="AB125" s="25"/>
      <c r="AC125" s="25"/>
      <c r="AD125" s="25"/>
      <c r="AE125" s="25"/>
    </row>
    <row r="126" spans="1:31" s="59" customFormat="1">
      <c r="A126" s="47" t="s">
        <v>847</v>
      </c>
      <c r="B126" s="47" t="s">
        <v>836</v>
      </c>
      <c r="C126" s="48">
        <v>44286</v>
      </c>
      <c r="D126" s="64">
        <f t="shared" si="3"/>
        <v>14</v>
      </c>
      <c r="E126" s="47" t="s">
        <v>121</v>
      </c>
      <c r="F126" s="18" t="s">
        <v>89</v>
      </c>
      <c r="G126" s="18" t="s">
        <v>110</v>
      </c>
      <c r="H126" s="27" t="s">
        <v>948</v>
      </c>
      <c r="I126" s="24">
        <f>0.4/0.75</f>
        <v>0.53333333333333333</v>
      </c>
      <c r="J126" s="20" t="str">
        <f>VLOOKUP(G126,MD!M$2:O$93,3,FALSE)</f>
        <v>Dose hom.</v>
      </c>
      <c r="K126" s="29">
        <v>1</v>
      </c>
      <c r="L126" s="27" t="s">
        <v>949</v>
      </c>
      <c r="M126" s="25" t="s">
        <v>759</v>
      </c>
      <c r="N126" s="25">
        <f>0.4*50</f>
        <v>20</v>
      </c>
      <c r="O126" s="25" t="s">
        <v>358</v>
      </c>
      <c r="P126" s="44"/>
      <c r="Q126" s="44"/>
      <c r="R126" s="44"/>
      <c r="S126" s="44"/>
      <c r="T126" s="25"/>
      <c r="U126" s="25"/>
      <c r="V126" s="25"/>
      <c r="W126" s="25"/>
      <c r="X126" s="22"/>
      <c r="Y126" s="44"/>
      <c r="Z126" s="44"/>
      <c r="AA126" s="44"/>
      <c r="AB126" s="25"/>
      <c r="AC126" s="25"/>
      <c r="AD126" s="25"/>
      <c r="AE126" s="25"/>
    </row>
    <row r="127" spans="1:31" s="59" customFormat="1">
      <c r="A127" s="47" t="s">
        <v>847</v>
      </c>
      <c r="B127" s="47" t="s">
        <v>836</v>
      </c>
      <c r="C127" s="48">
        <v>44307</v>
      </c>
      <c r="D127" s="64">
        <f t="shared" si="3"/>
        <v>17</v>
      </c>
      <c r="E127" s="47" t="s">
        <v>121</v>
      </c>
      <c r="F127" s="18" t="s">
        <v>86</v>
      </c>
      <c r="G127" s="18" t="s">
        <v>64</v>
      </c>
      <c r="H127" s="27"/>
      <c r="I127" s="24">
        <v>1</v>
      </c>
      <c r="J127" s="20" t="str">
        <f>VLOOKUP(G127,MD!M$2:O$93,3,FALSE)</f>
        <v>ha</v>
      </c>
      <c r="K127" s="29">
        <v>1</v>
      </c>
      <c r="L127" s="27"/>
      <c r="M127" s="25"/>
      <c r="N127" s="25"/>
      <c r="O127" s="25"/>
      <c r="P127" s="22"/>
      <c r="Q127" s="44"/>
      <c r="R127" s="44"/>
      <c r="S127" s="44"/>
      <c r="T127" s="25"/>
      <c r="U127" s="25"/>
      <c r="V127" s="25"/>
      <c r="W127" s="25"/>
      <c r="X127" s="22"/>
      <c r="Y127" s="44"/>
      <c r="Z127" s="44"/>
      <c r="AA127" s="44"/>
      <c r="AB127" s="25"/>
      <c r="AC127" s="25"/>
      <c r="AD127" s="25"/>
      <c r="AE127" s="25"/>
    </row>
    <row r="128" spans="1:31" s="59" customFormat="1">
      <c r="A128" s="47" t="s">
        <v>847</v>
      </c>
      <c r="B128" s="47" t="s">
        <v>836</v>
      </c>
      <c r="C128" s="48">
        <v>44307</v>
      </c>
      <c r="D128" s="64">
        <f t="shared" si="3"/>
        <v>17</v>
      </c>
      <c r="E128" s="47" t="s">
        <v>121</v>
      </c>
      <c r="F128" s="18" t="s">
        <v>89</v>
      </c>
      <c r="G128" s="18" t="s">
        <v>112</v>
      </c>
      <c r="H128" s="27" t="s">
        <v>952</v>
      </c>
      <c r="I128" s="24">
        <f>0.7/1.6</f>
        <v>0.43749999999999994</v>
      </c>
      <c r="J128" s="20" t="str">
        <f>VLOOKUP(G128,MD!M$2:O$93,3,FALSE)</f>
        <v>Dose hom.</v>
      </c>
      <c r="K128" s="29">
        <v>1</v>
      </c>
      <c r="L128" s="27" t="s">
        <v>956</v>
      </c>
      <c r="M128" s="25" t="s">
        <v>951</v>
      </c>
      <c r="N128" s="25">
        <f>0.7*150</f>
        <v>105</v>
      </c>
      <c r="O128" s="25" t="s">
        <v>358</v>
      </c>
      <c r="P128" s="22"/>
      <c r="Q128" s="44"/>
      <c r="R128" s="44"/>
      <c r="S128" s="44"/>
      <c r="T128" s="25"/>
      <c r="U128" s="25"/>
      <c r="V128" s="25"/>
      <c r="W128" s="25"/>
      <c r="X128" s="22"/>
      <c r="Y128" s="44"/>
      <c r="Z128" s="44"/>
      <c r="AA128" s="44"/>
      <c r="AB128" s="25"/>
      <c r="AC128" s="25"/>
      <c r="AD128" s="25"/>
      <c r="AE128" s="25"/>
    </row>
    <row r="129" spans="1:31" s="59" customFormat="1">
      <c r="A129" s="47" t="s">
        <v>847</v>
      </c>
      <c r="B129" s="47" t="s">
        <v>836</v>
      </c>
      <c r="C129" s="48">
        <v>44307</v>
      </c>
      <c r="D129" s="64">
        <f t="shared" si="3"/>
        <v>17</v>
      </c>
      <c r="E129" s="47" t="s">
        <v>121</v>
      </c>
      <c r="F129" s="18" t="s">
        <v>89</v>
      </c>
      <c r="G129" s="18" t="s">
        <v>112</v>
      </c>
      <c r="H129" s="27" t="s">
        <v>953</v>
      </c>
      <c r="I129" s="24">
        <f>0.7/1.6</f>
        <v>0.43749999999999994</v>
      </c>
      <c r="J129" s="20" t="str">
        <f>VLOOKUP(G129,MD!M$2:O$93,3,FALSE)</f>
        <v>Dose hom.</v>
      </c>
      <c r="K129" s="29">
        <v>1</v>
      </c>
      <c r="L129" s="27" t="s">
        <v>957</v>
      </c>
      <c r="M129" s="25" t="s">
        <v>954</v>
      </c>
      <c r="N129" s="25">
        <f>0.7*200</f>
        <v>140</v>
      </c>
      <c r="O129" s="25" t="s">
        <v>358</v>
      </c>
      <c r="P129" s="22"/>
      <c r="Q129" s="44"/>
      <c r="R129" s="44"/>
      <c r="S129" s="44"/>
      <c r="T129" s="25"/>
      <c r="U129" s="25"/>
      <c r="V129" s="25"/>
      <c r="W129" s="25"/>
      <c r="X129" s="22"/>
      <c r="Y129" s="44"/>
      <c r="Z129" s="44"/>
      <c r="AA129" s="44"/>
      <c r="AB129" s="25"/>
      <c r="AC129" s="25"/>
      <c r="AD129" s="25"/>
      <c r="AE129" s="25"/>
    </row>
    <row r="130" spans="1:31" s="59" customFormat="1">
      <c r="A130" s="47" t="s">
        <v>847</v>
      </c>
      <c r="B130" s="47" t="s">
        <v>836</v>
      </c>
      <c r="C130" s="48">
        <v>44307</v>
      </c>
      <c r="D130" s="64">
        <f t="shared" si="3"/>
        <v>17</v>
      </c>
      <c r="E130" s="47" t="s">
        <v>121</v>
      </c>
      <c r="F130" s="18" t="s">
        <v>89</v>
      </c>
      <c r="G130" s="18" t="s">
        <v>112</v>
      </c>
      <c r="H130" s="27" t="s">
        <v>955</v>
      </c>
      <c r="I130" s="24">
        <f>0.7/1.6</f>
        <v>0.43749999999999994</v>
      </c>
      <c r="J130" s="20" t="str">
        <f>VLOOKUP(G130,MD!M$2:O$93,3,FALSE)</f>
        <v>Dose hom.</v>
      </c>
      <c r="K130" s="29">
        <v>1</v>
      </c>
      <c r="L130" s="27" t="s">
        <v>958</v>
      </c>
      <c r="M130" s="25" t="s">
        <v>371</v>
      </c>
      <c r="N130" s="25">
        <f>0.7*100</f>
        <v>70</v>
      </c>
      <c r="O130" s="25" t="s">
        <v>358</v>
      </c>
      <c r="P130" s="22"/>
      <c r="Q130" s="44"/>
      <c r="R130" s="44"/>
      <c r="S130" s="44"/>
      <c r="T130" s="25"/>
      <c r="U130" s="25"/>
      <c r="V130" s="25"/>
      <c r="W130" s="25"/>
      <c r="X130" s="22"/>
      <c r="Y130" s="44"/>
      <c r="Z130" s="44"/>
      <c r="AA130" s="44"/>
      <c r="AB130" s="25"/>
      <c r="AC130" s="25"/>
      <c r="AD130" s="25"/>
      <c r="AE130" s="25"/>
    </row>
    <row r="131" spans="1:31" s="59" customFormat="1">
      <c r="A131" s="47" t="s">
        <v>847</v>
      </c>
      <c r="B131" s="47" t="s">
        <v>836</v>
      </c>
      <c r="C131" s="48">
        <v>44307</v>
      </c>
      <c r="D131" s="64">
        <f t="shared" si="3"/>
        <v>17</v>
      </c>
      <c r="E131" s="47" t="s">
        <v>121</v>
      </c>
      <c r="F131" s="18" t="s">
        <v>89</v>
      </c>
      <c r="G131" s="18" t="s">
        <v>112</v>
      </c>
      <c r="H131" s="27" t="s">
        <v>985</v>
      </c>
      <c r="I131" s="24">
        <f>3/10</f>
        <v>0.3</v>
      </c>
      <c r="J131" s="20" t="str">
        <f>VLOOKUP(G131,MD!M$2:O$93,3,FALSE)</f>
        <v>Dose hom.</v>
      </c>
      <c r="K131" s="29">
        <v>1</v>
      </c>
      <c r="L131" s="27" t="s">
        <v>959</v>
      </c>
      <c r="M131" s="25" t="s">
        <v>960</v>
      </c>
      <c r="N131" s="25">
        <f>3*800</f>
        <v>2400</v>
      </c>
      <c r="O131" s="25" t="s">
        <v>358</v>
      </c>
      <c r="P131" s="22"/>
      <c r="Q131" s="44"/>
      <c r="R131" s="44"/>
      <c r="S131" s="44"/>
      <c r="T131" s="25"/>
      <c r="U131" s="25"/>
      <c r="V131" s="25"/>
      <c r="W131" s="25"/>
      <c r="X131" s="22"/>
      <c r="Y131" s="44"/>
      <c r="Z131" s="44"/>
      <c r="AA131" s="44"/>
      <c r="AB131" s="25"/>
      <c r="AC131" s="25"/>
      <c r="AD131" s="25"/>
      <c r="AE131" s="25"/>
    </row>
    <row r="132" spans="1:31" s="59" customFormat="1">
      <c r="A132" s="47" t="s">
        <v>847</v>
      </c>
      <c r="B132" s="47" t="s">
        <v>836</v>
      </c>
      <c r="C132" s="48">
        <v>44322</v>
      </c>
      <c r="D132" s="64">
        <f t="shared" si="3"/>
        <v>19</v>
      </c>
      <c r="E132" s="47" t="s">
        <v>121</v>
      </c>
      <c r="F132" s="18" t="s">
        <v>85</v>
      </c>
      <c r="G132" s="18" t="s">
        <v>67</v>
      </c>
      <c r="H132" s="27"/>
      <c r="I132" s="24">
        <v>1</v>
      </c>
      <c r="J132" s="20" t="str">
        <f>VLOOKUP(G132,MD!M$2:O$93,3,FALSE)</f>
        <v>ha</v>
      </c>
      <c r="K132" s="29">
        <v>1</v>
      </c>
      <c r="L132" s="27"/>
      <c r="M132" s="25"/>
      <c r="N132" s="25"/>
      <c r="O132" s="25"/>
      <c r="P132" s="22"/>
      <c r="Q132" s="44"/>
      <c r="R132" s="44"/>
      <c r="S132" s="44"/>
      <c r="T132" s="25"/>
      <c r="U132" s="25"/>
      <c r="V132" s="25"/>
      <c r="W132" s="25"/>
      <c r="X132" s="22"/>
      <c r="Y132" s="44"/>
      <c r="Z132" s="44"/>
      <c r="AA132" s="44"/>
      <c r="AB132" s="25"/>
      <c r="AC132" s="25"/>
      <c r="AD132" s="25"/>
      <c r="AE132" s="25"/>
    </row>
    <row r="133" spans="1:31" s="59" customFormat="1">
      <c r="A133" s="47" t="s">
        <v>847</v>
      </c>
      <c r="B133" s="47" t="s">
        <v>836</v>
      </c>
      <c r="C133" s="48">
        <v>44322</v>
      </c>
      <c r="D133" s="64">
        <f t="shared" si="3"/>
        <v>19</v>
      </c>
      <c r="E133" s="47" t="s">
        <v>121</v>
      </c>
      <c r="F133" s="18" t="s">
        <v>88</v>
      </c>
      <c r="G133" s="18" t="s">
        <v>191</v>
      </c>
      <c r="H133" s="27" t="s">
        <v>277</v>
      </c>
      <c r="I133" s="24">
        <v>150</v>
      </c>
      <c r="J133" s="20" t="str">
        <f>VLOOKUP(G133,MD!M$2:O$93,3,FALSE)</f>
        <v>l/ha</v>
      </c>
      <c r="K133" s="29">
        <v>1</v>
      </c>
      <c r="L133" s="27" t="s">
        <v>936</v>
      </c>
      <c r="M133" s="25"/>
      <c r="N133" s="25"/>
      <c r="O133" s="25"/>
      <c r="P133" s="22"/>
      <c r="Q133" s="44"/>
      <c r="R133" s="44"/>
      <c r="S133" s="44"/>
      <c r="T133" s="25"/>
      <c r="U133" s="25"/>
      <c r="V133" s="25"/>
      <c r="W133" s="25"/>
      <c r="X133" s="22"/>
      <c r="Y133" s="44"/>
      <c r="Z133" s="44"/>
      <c r="AA133" s="44"/>
      <c r="AB133" s="25"/>
      <c r="AC133" s="25"/>
      <c r="AD133" s="25"/>
      <c r="AE133" s="25"/>
    </row>
    <row r="134" spans="1:31" s="59" customFormat="1">
      <c r="A134" s="47" t="s">
        <v>847</v>
      </c>
      <c r="B134" s="47" t="s">
        <v>836</v>
      </c>
      <c r="C134" s="48">
        <v>44334</v>
      </c>
      <c r="D134" s="64">
        <f t="shared" si="3"/>
        <v>21</v>
      </c>
      <c r="E134" s="47" t="s">
        <v>121</v>
      </c>
      <c r="F134" s="18" t="s">
        <v>86</v>
      </c>
      <c r="G134" s="18" t="s">
        <v>64</v>
      </c>
      <c r="H134" s="27"/>
      <c r="I134" s="24">
        <v>1</v>
      </c>
      <c r="J134" s="20" t="str">
        <f>VLOOKUP(G134,MD!M$2:O$93,3,FALSE)</f>
        <v>ha</v>
      </c>
      <c r="K134" s="29">
        <v>1</v>
      </c>
      <c r="L134" s="27"/>
      <c r="M134" s="25"/>
      <c r="N134" s="25"/>
      <c r="O134" s="25"/>
      <c r="P134" s="22"/>
      <c r="Q134" s="44"/>
      <c r="R134" s="44"/>
      <c r="S134" s="44"/>
      <c r="T134" s="25"/>
      <c r="U134" s="25"/>
      <c r="V134" s="25"/>
      <c r="W134" s="25"/>
      <c r="X134" s="22"/>
      <c r="Y134" s="44"/>
      <c r="Z134" s="44"/>
      <c r="AA134" s="44"/>
      <c r="AB134" s="25"/>
      <c r="AC134" s="25"/>
      <c r="AD134" s="25"/>
      <c r="AE134" s="25"/>
    </row>
    <row r="135" spans="1:31" s="59" customFormat="1">
      <c r="A135" s="47" t="s">
        <v>847</v>
      </c>
      <c r="B135" s="47" t="s">
        <v>836</v>
      </c>
      <c r="C135" s="48">
        <v>44334</v>
      </c>
      <c r="D135" s="64">
        <f t="shared" si="3"/>
        <v>21</v>
      </c>
      <c r="E135" s="47" t="s">
        <v>121</v>
      </c>
      <c r="F135" s="18" t="s">
        <v>89</v>
      </c>
      <c r="G135" s="18" t="s">
        <v>112</v>
      </c>
      <c r="H135" s="27" t="s">
        <v>937</v>
      </c>
      <c r="I135" s="24">
        <f>0.75/1.5</f>
        <v>0.5</v>
      </c>
      <c r="J135" s="20" t="str">
        <f>VLOOKUP(G135,MD!M$2:O$93,3,FALSE)</f>
        <v>Dose hom.</v>
      </c>
      <c r="K135" s="29">
        <v>1</v>
      </c>
      <c r="L135" s="27" t="s">
        <v>938</v>
      </c>
      <c r="M135" s="25" t="s">
        <v>915</v>
      </c>
      <c r="N135" s="25">
        <f>0.75*100</f>
        <v>75</v>
      </c>
      <c r="O135" s="25" t="s">
        <v>358</v>
      </c>
      <c r="P135" s="22"/>
      <c r="Q135" s="44"/>
      <c r="R135" s="44"/>
      <c r="S135" s="44"/>
      <c r="T135" s="25"/>
      <c r="U135" s="25"/>
      <c r="V135" s="25"/>
      <c r="W135" s="25"/>
      <c r="X135" s="22"/>
      <c r="Y135" s="44"/>
      <c r="Z135" s="44"/>
      <c r="AA135" s="44"/>
      <c r="AB135" s="25"/>
      <c r="AC135" s="25"/>
      <c r="AD135" s="25"/>
      <c r="AE135" s="25"/>
    </row>
    <row r="136" spans="1:31" s="59" customFormat="1">
      <c r="A136" s="47" t="s">
        <v>847</v>
      </c>
      <c r="B136" s="47" t="s">
        <v>836</v>
      </c>
      <c r="C136" s="48">
        <v>44334</v>
      </c>
      <c r="D136" s="64">
        <f t="shared" si="3"/>
        <v>21</v>
      </c>
      <c r="E136" s="47" t="s">
        <v>121</v>
      </c>
      <c r="F136" s="18" t="s">
        <v>89</v>
      </c>
      <c r="G136" s="18" t="s">
        <v>112</v>
      </c>
      <c r="H136" s="27" t="s">
        <v>939</v>
      </c>
      <c r="I136" s="24">
        <f>0.75/1.5</f>
        <v>0.5</v>
      </c>
      <c r="J136" s="20" t="str">
        <f>VLOOKUP(G136,MD!M$2:O$93,3,FALSE)</f>
        <v>Dose hom.</v>
      </c>
      <c r="K136" s="29">
        <v>1</v>
      </c>
      <c r="L136" s="27" t="s">
        <v>941</v>
      </c>
      <c r="M136" s="25" t="s">
        <v>940</v>
      </c>
      <c r="N136" s="25">
        <f>0.75*50</f>
        <v>37.5</v>
      </c>
      <c r="O136" s="25" t="s">
        <v>358</v>
      </c>
      <c r="P136" s="22"/>
      <c r="Q136" s="44"/>
      <c r="R136" s="44"/>
      <c r="S136" s="44"/>
      <c r="T136" s="25"/>
      <c r="U136" s="25"/>
      <c r="V136" s="25"/>
      <c r="W136" s="25"/>
      <c r="X136" s="22"/>
      <c r="Y136" s="44"/>
      <c r="Z136" s="44"/>
      <c r="AA136" s="44"/>
      <c r="AB136" s="25"/>
      <c r="AC136" s="25"/>
      <c r="AD136" s="25"/>
      <c r="AE136" s="25"/>
    </row>
    <row r="137" spans="1:31" s="59" customFormat="1">
      <c r="A137" s="47" t="s">
        <v>847</v>
      </c>
      <c r="B137" s="47" t="s">
        <v>836</v>
      </c>
      <c r="C137" s="48">
        <v>44349</v>
      </c>
      <c r="D137" s="64">
        <f t="shared" si="3"/>
        <v>23</v>
      </c>
      <c r="E137" s="47" t="s">
        <v>121</v>
      </c>
      <c r="F137" s="18" t="s">
        <v>86</v>
      </c>
      <c r="G137" s="18" t="s">
        <v>64</v>
      </c>
      <c r="H137" s="27"/>
      <c r="I137" s="24">
        <v>1</v>
      </c>
      <c r="J137" s="20" t="str">
        <f>VLOOKUP(G137,MD!M$2:O$93,3,FALSE)</f>
        <v>ha</v>
      </c>
      <c r="K137" s="29">
        <v>1</v>
      </c>
      <c r="L137" s="27"/>
      <c r="M137" s="25"/>
      <c r="N137" s="25"/>
      <c r="O137" s="25"/>
      <c r="P137" s="22"/>
      <c r="Q137" s="44"/>
      <c r="R137" s="44"/>
      <c r="S137" s="44"/>
      <c r="T137" s="25"/>
      <c r="U137" s="25"/>
      <c r="V137" s="25"/>
      <c r="W137" s="25"/>
      <c r="X137" s="22"/>
      <c r="Y137" s="44"/>
      <c r="Z137" s="44"/>
      <c r="AA137" s="44"/>
      <c r="AB137" s="25"/>
      <c r="AC137" s="25"/>
      <c r="AD137" s="25"/>
      <c r="AE137" s="25"/>
    </row>
    <row r="138" spans="1:31" s="59" customFormat="1">
      <c r="A138" s="47" t="s">
        <v>847</v>
      </c>
      <c r="B138" s="47" t="s">
        <v>836</v>
      </c>
      <c r="C138" s="48">
        <v>44349</v>
      </c>
      <c r="D138" s="64">
        <f t="shared" si="3"/>
        <v>23</v>
      </c>
      <c r="E138" s="47" t="s">
        <v>121</v>
      </c>
      <c r="F138" s="18" t="s">
        <v>89</v>
      </c>
      <c r="G138" s="18" t="s">
        <v>112</v>
      </c>
      <c r="H138" s="27" t="s">
        <v>942</v>
      </c>
      <c r="I138" s="24">
        <f>0.6/1</f>
        <v>0.6</v>
      </c>
      <c r="J138" s="20" t="str">
        <f>VLOOKUP(G138,MD!M$2:O$93,3,FALSE)</f>
        <v>Dose hom.</v>
      </c>
      <c r="K138" s="29">
        <v>1</v>
      </c>
      <c r="L138" s="27" t="s">
        <v>961</v>
      </c>
      <c r="M138" s="25" t="s">
        <v>371</v>
      </c>
      <c r="N138" s="25">
        <f>0.6*80</f>
        <v>48</v>
      </c>
      <c r="O138" s="25" t="s">
        <v>358</v>
      </c>
      <c r="P138" s="22"/>
      <c r="Q138" s="44"/>
      <c r="R138" s="44"/>
      <c r="S138" s="44"/>
      <c r="T138" s="25"/>
      <c r="U138" s="25"/>
      <c r="V138" s="25"/>
      <c r="W138" s="25"/>
      <c r="X138" s="22"/>
      <c r="Y138" s="44"/>
      <c r="Z138" s="44"/>
      <c r="AA138" s="44"/>
      <c r="AB138" s="25"/>
      <c r="AC138" s="25"/>
      <c r="AD138" s="25"/>
      <c r="AE138" s="25"/>
    </row>
    <row r="139" spans="1:31" s="59" customFormat="1">
      <c r="A139" s="47" t="s">
        <v>847</v>
      </c>
      <c r="B139" s="47" t="s">
        <v>836</v>
      </c>
      <c r="C139" s="48">
        <v>44349</v>
      </c>
      <c r="D139" s="64">
        <f t="shared" si="3"/>
        <v>23</v>
      </c>
      <c r="E139" s="47" t="s">
        <v>121</v>
      </c>
      <c r="F139" s="18" t="s">
        <v>89</v>
      </c>
      <c r="G139" s="18" t="s">
        <v>112</v>
      </c>
      <c r="H139" s="27" t="s">
        <v>943</v>
      </c>
      <c r="I139" s="24">
        <f>0.6/1</f>
        <v>0.6</v>
      </c>
      <c r="J139" s="20" t="str">
        <f>VLOOKUP(G139,MD!M$2:O$93,3,FALSE)</f>
        <v>Dose hom.</v>
      </c>
      <c r="K139" s="29">
        <v>1</v>
      </c>
      <c r="L139" s="27" t="s">
        <v>962</v>
      </c>
      <c r="M139" s="25" t="s">
        <v>367</v>
      </c>
      <c r="N139" s="25">
        <f>0.6*160</f>
        <v>96</v>
      </c>
      <c r="O139" s="25" t="s">
        <v>358</v>
      </c>
      <c r="P139" s="22"/>
      <c r="Q139" s="44"/>
      <c r="R139" s="44"/>
      <c r="S139" s="44"/>
      <c r="T139" s="25"/>
      <c r="U139" s="25"/>
      <c r="V139" s="25"/>
      <c r="W139" s="25"/>
      <c r="X139" s="22"/>
      <c r="Y139" s="44"/>
      <c r="Z139" s="44"/>
      <c r="AA139" s="44"/>
      <c r="AB139" s="25"/>
      <c r="AC139" s="25"/>
      <c r="AD139" s="25"/>
      <c r="AE139" s="25"/>
    </row>
    <row r="140" spans="1:31" s="59" customFormat="1">
      <c r="A140" s="47" t="s">
        <v>121</v>
      </c>
      <c r="B140" s="47" t="s">
        <v>836</v>
      </c>
      <c r="C140" s="48">
        <v>44408</v>
      </c>
      <c r="D140" s="64">
        <f t="shared" si="3"/>
        <v>31</v>
      </c>
      <c r="E140" s="47" t="s">
        <v>121</v>
      </c>
      <c r="F140" s="18" t="s">
        <v>86</v>
      </c>
      <c r="G140" s="18" t="s">
        <v>55</v>
      </c>
      <c r="H140" s="27"/>
      <c r="I140" s="24">
        <v>1</v>
      </c>
      <c r="J140" s="20" t="str">
        <f>VLOOKUP(G140,MD!M$2:O$93,3,FALSE)</f>
        <v>ha</v>
      </c>
      <c r="K140" s="29">
        <v>1</v>
      </c>
      <c r="L140" s="27"/>
      <c r="M140" s="25"/>
      <c r="N140" s="25"/>
      <c r="O140" s="25"/>
      <c r="P140" s="22"/>
      <c r="Q140" s="44"/>
      <c r="R140" s="44"/>
      <c r="S140" s="44"/>
      <c r="T140" s="25"/>
      <c r="U140" s="25"/>
      <c r="V140" s="25"/>
      <c r="W140" s="25"/>
      <c r="X140" s="22"/>
      <c r="Y140" s="44"/>
      <c r="Z140" s="44"/>
      <c r="AA140" s="44"/>
      <c r="AB140" s="25"/>
      <c r="AC140" s="25"/>
      <c r="AD140" s="25"/>
      <c r="AE140" s="25"/>
    </row>
    <row r="141" spans="1:31" s="59" customFormat="1">
      <c r="A141" s="47" t="s">
        <v>121</v>
      </c>
      <c r="B141" s="47" t="s">
        <v>836</v>
      </c>
      <c r="C141" s="48">
        <v>44408</v>
      </c>
      <c r="D141" s="64">
        <f t="shared" si="3"/>
        <v>31</v>
      </c>
      <c r="E141" s="47" t="s">
        <v>121</v>
      </c>
      <c r="F141" s="18" t="s">
        <v>2</v>
      </c>
      <c r="G141" s="18" t="s">
        <v>115</v>
      </c>
      <c r="H141" s="27" t="s">
        <v>285</v>
      </c>
      <c r="I141" s="24">
        <v>112</v>
      </c>
      <c r="J141" s="20" t="str">
        <f>VLOOKUP(G141,MD!M$2:O$93,3,FALSE)</f>
        <v>Qtx/ha</v>
      </c>
      <c r="K141" s="29">
        <v>1</v>
      </c>
      <c r="L141" s="27" t="s">
        <v>981</v>
      </c>
      <c r="M141" s="25"/>
      <c r="N141" s="25"/>
      <c r="O141" s="25"/>
      <c r="P141" s="22"/>
      <c r="Q141" s="44"/>
      <c r="R141" s="44"/>
      <c r="S141" s="44"/>
      <c r="T141" s="25"/>
      <c r="U141" s="25"/>
      <c r="V141" s="25"/>
      <c r="W141" s="25"/>
      <c r="X141" s="22"/>
      <c r="Y141" s="44"/>
      <c r="Z141" s="44"/>
      <c r="AA141" s="44"/>
      <c r="AB141" s="25"/>
      <c r="AC141" s="25"/>
      <c r="AD141" s="25"/>
      <c r="AE141" s="25"/>
    </row>
    <row r="142" spans="1:31" s="59" customFormat="1">
      <c r="A142" s="47" t="s">
        <v>121</v>
      </c>
      <c r="B142" s="47" t="s">
        <v>836</v>
      </c>
      <c r="C142" s="48">
        <v>44410</v>
      </c>
      <c r="D142" s="64">
        <f t="shared" si="3"/>
        <v>32</v>
      </c>
      <c r="E142" s="47" t="s">
        <v>121</v>
      </c>
      <c r="F142" s="18" t="s">
        <v>86</v>
      </c>
      <c r="G142" s="18" t="s">
        <v>74</v>
      </c>
      <c r="H142" s="27" t="s">
        <v>982</v>
      </c>
      <c r="I142" s="24">
        <v>6.44</v>
      </c>
      <c r="J142" s="20" t="str">
        <f>VLOOKUP(G142,MD!M$2:O$93,3,FALSE)</f>
        <v>t/ha</v>
      </c>
      <c r="K142" s="29">
        <v>1</v>
      </c>
      <c r="L142" s="27"/>
      <c r="M142" s="25"/>
      <c r="N142" s="25"/>
      <c r="O142" s="25"/>
      <c r="P142" s="22"/>
      <c r="Q142" s="44"/>
      <c r="R142" s="44"/>
      <c r="S142" s="44"/>
      <c r="T142" s="25"/>
      <c r="U142" s="25"/>
      <c r="V142" s="25"/>
      <c r="W142" s="25"/>
      <c r="X142" s="22"/>
      <c r="Y142" s="44"/>
      <c r="Z142" s="44"/>
      <c r="AA142" s="44"/>
      <c r="AB142" s="25"/>
      <c r="AC142" s="25"/>
      <c r="AD142" s="25"/>
      <c r="AE142" s="25"/>
    </row>
    <row r="143" spans="1:31" s="59" customFormat="1">
      <c r="A143" s="47" t="s">
        <v>121</v>
      </c>
      <c r="B143" s="47" t="s">
        <v>836</v>
      </c>
      <c r="C143" s="48">
        <v>44410</v>
      </c>
      <c r="D143" s="64">
        <f t="shared" si="3"/>
        <v>32</v>
      </c>
      <c r="E143" s="47" t="s">
        <v>121</v>
      </c>
      <c r="F143" s="18" t="s">
        <v>86</v>
      </c>
      <c r="G143" s="18" t="s">
        <v>49</v>
      </c>
      <c r="H143" s="27" t="s">
        <v>982</v>
      </c>
      <c r="I143" s="24">
        <v>6.44</v>
      </c>
      <c r="J143" s="20" t="str">
        <f>VLOOKUP(G143,MD!M$2:O$93,3,FALSE)</f>
        <v>t/ha</v>
      </c>
      <c r="K143" s="29">
        <v>1</v>
      </c>
      <c r="L143" s="27"/>
      <c r="M143" s="25"/>
      <c r="N143" s="25"/>
      <c r="O143" s="25"/>
      <c r="P143" s="22"/>
      <c r="Q143" s="44"/>
      <c r="R143" s="44"/>
      <c r="S143" s="44"/>
      <c r="T143" s="25"/>
      <c r="U143" s="25"/>
      <c r="V143" s="25"/>
      <c r="W143" s="25"/>
      <c r="X143" s="22"/>
      <c r="Y143" s="44"/>
      <c r="Z143" s="44"/>
      <c r="AA143" s="44"/>
      <c r="AB143" s="25"/>
      <c r="AC143" s="25"/>
      <c r="AD143" s="25"/>
      <c r="AE143" s="25"/>
    </row>
    <row r="144" spans="1:31" s="59" customFormat="1">
      <c r="A144" s="47" t="s">
        <v>121</v>
      </c>
      <c r="B144" s="47" t="s">
        <v>836</v>
      </c>
      <c r="C144" s="48">
        <v>44410</v>
      </c>
      <c r="D144" s="64">
        <f t="shared" si="3"/>
        <v>32</v>
      </c>
      <c r="E144" s="47" t="s">
        <v>121</v>
      </c>
      <c r="F144" s="18" t="s">
        <v>86</v>
      </c>
      <c r="G144" s="18" t="s">
        <v>79</v>
      </c>
      <c r="H144" s="27" t="s">
        <v>982</v>
      </c>
      <c r="I144" s="24">
        <v>6.44</v>
      </c>
      <c r="J144" s="20" t="str">
        <f>VLOOKUP(G144,MD!M$2:O$93,3,FALSE)</f>
        <v>t/ha</v>
      </c>
      <c r="K144" s="29">
        <v>1</v>
      </c>
      <c r="L144" s="27"/>
      <c r="M144" s="25"/>
      <c r="N144" s="25"/>
      <c r="O144" s="25"/>
      <c r="P144" s="22"/>
      <c r="Q144" s="44"/>
      <c r="R144" s="44"/>
      <c r="S144" s="44"/>
      <c r="T144" s="25"/>
      <c r="U144" s="25"/>
      <c r="V144" s="25"/>
      <c r="W144" s="25"/>
      <c r="X144" s="22"/>
      <c r="Y144" s="44"/>
      <c r="Z144" s="44"/>
      <c r="AA144" s="44"/>
      <c r="AB144" s="25"/>
      <c r="AC144" s="25"/>
      <c r="AD144" s="25"/>
      <c r="AE144" s="25"/>
    </row>
    <row r="145" spans="1:31" s="59" customFormat="1">
      <c r="A145" s="47" t="s">
        <v>121</v>
      </c>
      <c r="B145" s="47" t="s">
        <v>836</v>
      </c>
      <c r="C145" s="48">
        <v>44410</v>
      </c>
      <c r="D145" s="64">
        <f t="shared" si="3"/>
        <v>32</v>
      </c>
      <c r="E145" s="47" t="s">
        <v>121</v>
      </c>
      <c r="F145" s="18" t="s">
        <v>2</v>
      </c>
      <c r="G145" s="18" t="s">
        <v>116</v>
      </c>
      <c r="H145" s="27" t="s">
        <v>982</v>
      </c>
      <c r="I145" s="24">
        <v>6.44</v>
      </c>
      <c r="J145" s="20" t="str">
        <f>VLOOKUP(G145,MD!M$2:O$93,3,FALSE)</f>
        <v>t/ha</v>
      </c>
      <c r="K145" s="29">
        <v>1</v>
      </c>
      <c r="L145" s="27"/>
      <c r="M145" s="25"/>
      <c r="N145" s="25"/>
      <c r="O145" s="25"/>
      <c r="P145" s="22"/>
      <c r="Q145" s="44"/>
      <c r="R145" s="44"/>
      <c r="S145" s="44"/>
      <c r="T145" s="25"/>
      <c r="U145" s="25"/>
      <c r="V145" s="25"/>
      <c r="W145" s="25"/>
      <c r="X145" s="22"/>
      <c r="Y145" s="44"/>
      <c r="Z145" s="44"/>
      <c r="AA145" s="44"/>
      <c r="AB145" s="25"/>
      <c r="AC145" s="25"/>
      <c r="AD145" s="25"/>
      <c r="AE145" s="25"/>
    </row>
    <row r="146" spans="1:31" s="59" customFormat="1">
      <c r="A146" s="47" t="s">
        <v>835</v>
      </c>
      <c r="B146" s="47" t="s">
        <v>986</v>
      </c>
      <c r="C146" s="48">
        <v>44413</v>
      </c>
      <c r="D146" s="64">
        <f t="shared" si="3"/>
        <v>32</v>
      </c>
      <c r="E146" s="47" t="s">
        <v>123</v>
      </c>
      <c r="F146" s="18" t="s">
        <v>83</v>
      </c>
      <c r="G146" s="18" t="s">
        <v>77</v>
      </c>
      <c r="H146" s="27"/>
      <c r="I146" s="24">
        <v>1</v>
      </c>
      <c r="J146" s="20" t="str">
        <f>VLOOKUP(G146,MD!M$2:O$93,3,FALSE)</f>
        <v>ha</v>
      </c>
      <c r="K146" s="29">
        <v>1</v>
      </c>
      <c r="L146" s="27"/>
      <c r="M146" s="25"/>
      <c r="N146" s="25"/>
      <c r="O146" s="25"/>
      <c r="P146" s="22"/>
      <c r="Q146" s="44"/>
      <c r="R146" s="44"/>
      <c r="S146" s="44"/>
      <c r="T146" s="25"/>
      <c r="U146" s="25"/>
      <c r="V146" s="25"/>
      <c r="W146" s="25"/>
      <c r="X146" s="22"/>
      <c r="Y146" s="44"/>
      <c r="Z146" s="44"/>
      <c r="AA146" s="44"/>
      <c r="AB146" s="25"/>
      <c r="AC146" s="25"/>
      <c r="AD146" s="25"/>
      <c r="AE146" s="25"/>
    </row>
    <row r="147" spans="1:31" s="59" customFormat="1">
      <c r="A147" s="47" t="s">
        <v>835</v>
      </c>
      <c r="B147" s="47" t="s">
        <v>986</v>
      </c>
      <c r="C147" s="48">
        <v>44413</v>
      </c>
      <c r="D147" s="64">
        <f t="shared" ref="D147" si="4">WEEKNUM(C147)</f>
        <v>32</v>
      </c>
      <c r="E147" s="47" t="s">
        <v>123</v>
      </c>
      <c r="F147" s="18" t="s">
        <v>83</v>
      </c>
      <c r="G147" s="18" t="s">
        <v>60</v>
      </c>
      <c r="H147" s="27"/>
      <c r="I147" s="24">
        <v>1</v>
      </c>
      <c r="J147" s="20" t="str">
        <f>VLOOKUP(G147,MD!M$2:O$93,3,FALSE)</f>
        <v>ha</v>
      </c>
      <c r="K147" s="29">
        <v>1</v>
      </c>
      <c r="L147" s="27"/>
      <c r="M147" s="25"/>
      <c r="N147" s="25"/>
      <c r="O147" s="25"/>
      <c r="P147" s="22"/>
      <c r="Q147" s="44"/>
      <c r="R147" s="44"/>
      <c r="S147" s="44"/>
      <c r="T147" s="25"/>
      <c r="U147" s="25"/>
      <c r="V147" s="25"/>
      <c r="W147" s="25"/>
      <c r="X147" s="22"/>
      <c r="Y147" s="44"/>
      <c r="Z147" s="44"/>
      <c r="AA147" s="44"/>
      <c r="AB147" s="25"/>
      <c r="AC147" s="25"/>
      <c r="AD147" s="25"/>
      <c r="AE147" s="25"/>
    </row>
    <row r="148" spans="1:31" s="59" customFormat="1">
      <c r="A148" s="47" t="s">
        <v>835</v>
      </c>
      <c r="B148" s="47" t="s">
        <v>986</v>
      </c>
      <c r="C148" s="48">
        <v>44462</v>
      </c>
      <c r="D148" s="64">
        <f t="shared" ref="D148" si="5">WEEKNUM(C148)</f>
        <v>39</v>
      </c>
      <c r="E148" s="47" t="s">
        <v>123</v>
      </c>
      <c r="F148" s="18" t="s">
        <v>85</v>
      </c>
      <c r="G148" s="18" t="s">
        <v>66</v>
      </c>
      <c r="H148" s="27"/>
      <c r="I148" s="24">
        <v>1</v>
      </c>
      <c r="J148" s="20" t="str">
        <f>VLOOKUP(G148,MD!M$2:O$93,3,FALSE)</f>
        <v>ha</v>
      </c>
      <c r="K148" s="29">
        <v>1</v>
      </c>
      <c r="L148" s="27"/>
      <c r="M148" s="25"/>
      <c r="N148" s="25"/>
      <c r="O148" s="25"/>
      <c r="P148" s="22"/>
      <c r="Q148" s="44"/>
      <c r="R148" s="44"/>
      <c r="S148" s="44"/>
      <c r="T148" s="25"/>
      <c r="U148" s="25"/>
      <c r="V148" s="25"/>
      <c r="W148" s="25"/>
      <c r="X148" s="22"/>
      <c r="Y148" s="44"/>
      <c r="Z148" s="44"/>
      <c r="AA148" s="44"/>
      <c r="AB148" s="25"/>
      <c r="AC148" s="25"/>
      <c r="AD148" s="25"/>
      <c r="AE148" s="25"/>
    </row>
    <row r="149" spans="1:31" s="59" customFormat="1">
      <c r="A149" s="47" t="s">
        <v>835</v>
      </c>
      <c r="B149" s="47" t="s">
        <v>986</v>
      </c>
      <c r="C149" s="48">
        <v>44462</v>
      </c>
      <c r="D149" s="64">
        <f t="shared" ref="D149:D153" si="6">WEEKNUM(C149)</f>
        <v>39</v>
      </c>
      <c r="E149" s="47" t="s">
        <v>123</v>
      </c>
      <c r="F149" s="18" t="s">
        <v>88</v>
      </c>
      <c r="G149" s="18" t="s">
        <v>101</v>
      </c>
      <c r="H149" s="27"/>
      <c r="I149" s="24">
        <v>30</v>
      </c>
      <c r="J149" s="20" t="str">
        <f>VLOOKUP(G149,MD!M$2:O$93,3,FALSE)</f>
        <v>t/ha</v>
      </c>
      <c r="K149" s="29">
        <v>1</v>
      </c>
      <c r="L149" s="27"/>
      <c r="M149" s="25"/>
      <c r="N149" s="25"/>
      <c r="O149" s="25"/>
      <c r="P149" s="22"/>
      <c r="Q149" s="44"/>
      <c r="R149" s="44"/>
      <c r="S149" s="44"/>
      <c r="T149" s="25"/>
      <c r="U149" s="25"/>
      <c r="V149" s="25"/>
      <c r="W149" s="25"/>
      <c r="X149" s="22"/>
      <c r="Y149" s="44"/>
      <c r="Z149" s="44"/>
      <c r="AA149" s="44"/>
      <c r="AB149" s="25"/>
      <c r="AC149" s="25"/>
      <c r="AD149" s="25"/>
      <c r="AE149" s="25"/>
    </row>
    <row r="150" spans="1:31" s="59" customFormat="1">
      <c r="A150" s="47" t="s">
        <v>835</v>
      </c>
      <c r="B150" s="47" t="s">
        <v>986</v>
      </c>
      <c r="C150" s="48">
        <v>44463</v>
      </c>
      <c r="D150" s="64">
        <f t="shared" si="6"/>
        <v>39</v>
      </c>
      <c r="E150" s="47" t="s">
        <v>993</v>
      </c>
      <c r="F150" s="18" t="s">
        <v>83</v>
      </c>
      <c r="G150" s="18" t="s">
        <v>78</v>
      </c>
      <c r="H150" s="27"/>
      <c r="I150" s="24">
        <v>1</v>
      </c>
      <c r="J150" s="20" t="str">
        <f>VLOOKUP(G150,MD!M$2:O$93,3,FALSE)</f>
        <v>ha</v>
      </c>
      <c r="K150" s="29">
        <v>1</v>
      </c>
      <c r="L150" s="27"/>
      <c r="M150" s="25"/>
      <c r="N150" s="25"/>
      <c r="O150" s="25"/>
      <c r="P150" s="22"/>
      <c r="Q150" s="44"/>
      <c r="R150" s="44"/>
      <c r="S150" s="44"/>
      <c r="T150" s="25"/>
      <c r="U150" s="25"/>
      <c r="V150" s="25"/>
      <c r="W150" s="25"/>
      <c r="X150" s="22"/>
      <c r="Y150" s="44"/>
      <c r="Z150" s="44"/>
      <c r="AA150" s="44"/>
      <c r="AB150" s="25"/>
      <c r="AC150" s="25"/>
      <c r="AD150" s="25"/>
      <c r="AE150" s="25"/>
    </row>
    <row r="151" spans="1:31" s="59" customFormat="1">
      <c r="A151" s="47" t="s">
        <v>835</v>
      </c>
      <c r="B151" s="47" t="s">
        <v>986</v>
      </c>
      <c r="C151" s="48">
        <v>44463</v>
      </c>
      <c r="D151" s="64">
        <f t="shared" si="6"/>
        <v>39</v>
      </c>
      <c r="E151" s="47" t="s">
        <v>993</v>
      </c>
      <c r="F151" s="18" t="s">
        <v>84</v>
      </c>
      <c r="G151" s="18" t="s">
        <v>76</v>
      </c>
      <c r="H151" s="27"/>
      <c r="I151" s="24">
        <v>1</v>
      </c>
      <c r="J151" s="20" t="str">
        <f>VLOOKUP(G151,MD!M$2:O$93,3,FALSE)</f>
        <v>ha</v>
      </c>
      <c r="K151" s="29">
        <v>1</v>
      </c>
      <c r="L151" s="27"/>
      <c r="M151" s="25"/>
      <c r="N151" s="25"/>
      <c r="O151" s="25"/>
      <c r="P151" s="22"/>
      <c r="Q151" s="44"/>
      <c r="R151" s="44"/>
      <c r="S151" s="44"/>
      <c r="T151" s="25"/>
      <c r="U151" s="25"/>
      <c r="V151" s="25"/>
      <c r="W151" s="25"/>
      <c r="X151" s="22"/>
      <c r="Y151" s="44"/>
      <c r="Z151" s="44"/>
      <c r="AA151" s="44"/>
      <c r="AB151" s="25"/>
      <c r="AC151" s="25"/>
      <c r="AD151" s="25"/>
      <c r="AE151" s="25"/>
    </row>
    <row r="152" spans="1:31" s="59" customFormat="1">
      <c r="A152" s="47" t="s">
        <v>835</v>
      </c>
      <c r="B152" s="47" t="s">
        <v>986</v>
      </c>
      <c r="C152" s="48">
        <v>44463</v>
      </c>
      <c r="D152" s="64">
        <f t="shared" si="6"/>
        <v>39</v>
      </c>
      <c r="E152" s="47" t="s">
        <v>993</v>
      </c>
      <c r="F152" s="18" t="s">
        <v>87</v>
      </c>
      <c r="G152" s="18" t="s">
        <v>94</v>
      </c>
      <c r="H152" s="27" t="s">
        <v>841</v>
      </c>
      <c r="I152" s="24">
        <v>50</v>
      </c>
      <c r="J152" s="95" t="s">
        <v>106</v>
      </c>
      <c r="K152" s="29">
        <v>1</v>
      </c>
      <c r="L152" s="27"/>
      <c r="M152" s="25"/>
      <c r="N152" s="25"/>
      <c r="O152" s="25"/>
      <c r="P152" s="22"/>
      <c r="Q152" s="44"/>
      <c r="R152" s="44"/>
      <c r="S152" s="44"/>
      <c r="T152" s="25"/>
      <c r="U152" s="25"/>
      <c r="V152" s="25"/>
      <c r="W152" s="25"/>
      <c r="X152" s="22"/>
      <c r="Y152" s="44"/>
      <c r="Z152" s="44"/>
      <c r="AA152" s="44"/>
      <c r="AB152" s="25"/>
      <c r="AC152" s="25"/>
      <c r="AD152" s="25"/>
      <c r="AE152" s="25"/>
    </row>
    <row r="153" spans="1:31">
      <c r="A153" s="47" t="s">
        <v>835</v>
      </c>
      <c r="B153" s="47" t="s">
        <v>986</v>
      </c>
      <c r="C153" s="49">
        <v>44228</v>
      </c>
      <c r="D153" s="64">
        <f t="shared" si="6"/>
        <v>6</v>
      </c>
      <c r="E153" s="47" t="s">
        <v>993</v>
      </c>
      <c r="F153" s="18" t="s">
        <v>85</v>
      </c>
      <c r="G153" s="18" t="s">
        <v>66</v>
      </c>
      <c r="I153" s="24">
        <v>1</v>
      </c>
      <c r="J153" s="20" t="str">
        <f>VLOOKUP(G153,MD!M$2:O$93,3,FALSE)</f>
        <v>ha</v>
      </c>
      <c r="K153" s="29">
        <v>1</v>
      </c>
      <c r="P153" s="22"/>
      <c r="X153" s="22"/>
    </row>
    <row r="154" spans="1:31">
      <c r="A154" s="47" t="s">
        <v>835</v>
      </c>
      <c r="B154" s="47" t="s">
        <v>986</v>
      </c>
      <c r="C154" s="49">
        <v>44228</v>
      </c>
      <c r="D154" s="64">
        <f t="shared" ref="D154:D159" si="7">WEEKNUM(C154)</f>
        <v>6</v>
      </c>
      <c r="E154" s="47" t="s">
        <v>993</v>
      </c>
      <c r="F154" s="18" t="s">
        <v>88</v>
      </c>
      <c r="G154" s="18" t="s">
        <v>98</v>
      </c>
      <c r="H154" s="27" t="s">
        <v>1060</v>
      </c>
      <c r="I154" s="24">
        <v>30</v>
      </c>
      <c r="J154" s="20" t="str">
        <f>VLOOKUP(G154,MD!M$2:O$93,3,FALSE)</f>
        <v>m3/ha</v>
      </c>
      <c r="K154" s="29">
        <v>1</v>
      </c>
      <c r="L154" s="27" t="s">
        <v>1055</v>
      </c>
      <c r="P154" s="22"/>
      <c r="X154" s="22"/>
    </row>
    <row r="155" spans="1:31">
      <c r="A155" s="47" t="s">
        <v>835</v>
      </c>
      <c r="B155" s="47" t="s">
        <v>986</v>
      </c>
      <c r="C155" s="49">
        <v>44665</v>
      </c>
      <c r="D155" s="64">
        <f t="shared" si="7"/>
        <v>16</v>
      </c>
      <c r="E155" s="47" t="s">
        <v>993</v>
      </c>
      <c r="F155" s="18" t="s">
        <v>86</v>
      </c>
      <c r="G155" s="18" t="s">
        <v>53</v>
      </c>
      <c r="I155" s="24">
        <v>1</v>
      </c>
      <c r="J155" s="20" t="str">
        <f>VLOOKUP(G155,MD!M$2:O$93,3,FALSE)</f>
        <v>ha</v>
      </c>
      <c r="K155" s="29">
        <v>1</v>
      </c>
      <c r="P155" s="22"/>
      <c r="X155" s="22"/>
    </row>
    <row r="156" spans="1:31">
      <c r="A156" s="47" t="s">
        <v>835</v>
      </c>
      <c r="B156" s="47" t="s">
        <v>986</v>
      </c>
      <c r="C156" s="49">
        <v>44672</v>
      </c>
      <c r="D156" s="64">
        <f t="shared" si="7"/>
        <v>17</v>
      </c>
      <c r="E156" s="47" t="s">
        <v>1022</v>
      </c>
      <c r="F156" s="18" t="s">
        <v>85</v>
      </c>
      <c r="G156" s="18" t="s">
        <v>66</v>
      </c>
      <c r="I156" s="24">
        <v>1</v>
      </c>
      <c r="J156" s="20" t="str">
        <f>VLOOKUP(G156,MD!M$2:O$93,3,FALSE)</f>
        <v>ha</v>
      </c>
      <c r="K156" s="29">
        <v>1</v>
      </c>
      <c r="P156" s="22"/>
      <c r="X156" s="22"/>
    </row>
    <row r="157" spans="1:31">
      <c r="A157" s="47" t="s">
        <v>835</v>
      </c>
      <c r="B157" s="47" t="s">
        <v>986</v>
      </c>
      <c r="C157" s="49">
        <v>44672</v>
      </c>
      <c r="D157" s="64">
        <f t="shared" si="7"/>
        <v>17</v>
      </c>
      <c r="E157" s="47" t="s">
        <v>1022</v>
      </c>
      <c r="F157" s="18" t="s">
        <v>88</v>
      </c>
      <c r="G157" s="18" t="s">
        <v>98</v>
      </c>
      <c r="H157" s="27" t="s">
        <v>1062</v>
      </c>
      <c r="I157" s="24">
        <v>35</v>
      </c>
      <c r="J157" s="20" t="str">
        <f>VLOOKUP(G157,MD!M$2:O$93,3,FALSE)</f>
        <v>m3/ha</v>
      </c>
      <c r="K157" s="29">
        <v>1</v>
      </c>
      <c r="L157" s="27" t="s">
        <v>1061</v>
      </c>
      <c r="P157" s="22"/>
      <c r="X157" s="22"/>
    </row>
    <row r="158" spans="1:31">
      <c r="A158" s="47" t="s">
        <v>835</v>
      </c>
      <c r="B158" s="47" t="s">
        <v>986</v>
      </c>
      <c r="C158" s="49">
        <v>44672</v>
      </c>
      <c r="D158" s="64">
        <f t="shared" si="7"/>
        <v>17</v>
      </c>
      <c r="E158" s="47" t="s">
        <v>1022</v>
      </c>
      <c r="F158" s="18" t="s">
        <v>83</v>
      </c>
      <c r="G158" s="18" t="s">
        <v>63</v>
      </c>
      <c r="I158" s="24">
        <v>1</v>
      </c>
      <c r="J158" s="20" t="str">
        <f>VLOOKUP(G158,MD!M$2:O$93,3,FALSE)</f>
        <v>ha</v>
      </c>
      <c r="K158" s="29">
        <v>1</v>
      </c>
      <c r="P158" s="22"/>
      <c r="X158" s="22"/>
    </row>
    <row r="159" spans="1:31">
      <c r="A159" s="47" t="s">
        <v>835</v>
      </c>
      <c r="B159" s="47" t="s">
        <v>986</v>
      </c>
      <c r="C159" s="49">
        <v>44672</v>
      </c>
      <c r="D159" s="64">
        <f t="shared" si="7"/>
        <v>17</v>
      </c>
      <c r="E159" s="47" t="s">
        <v>123</v>
      </c>
      <c r="F159" s="18" t="s">
        <v>84</v>
      </c>
      <c r="G159" s="18" t="s">
        <v>76</v>
      </c>
      <c r="I159" s="24">
        <v>1</v>
      </c>
      <c r="J159" s="20" t="str">
        <f>VLOOKUP(G159,MD!M$2:O$93,3,FALSE)</f>
        <v>ha</v>
      </c>
      <c r="K159" s="29">
        <v>1</v>
      </c>
      <c r="L159" s="27" t="s">
        <v>1058</v>
      </c>
      <c r="P159" s="22"/>
      <c r="X159" s="22"/>
    </row>
    <row r="160" spans="1:31">
      <c r="A160" s="47" t="s">
        <v>835</v>
      </c>
      <c r="B160" s="47" t="s">
        <v>986</v>
      </c>
      <c r="C160" s="49">
        <v>44672</v>
      </c>
      <c r="D160" s="64">
        <f t="shared" ref="D160:D164" si="8">WEEKNUM(C160)</f>
        <v>17</v>
      </c>
      <c r="E160" s="47" t="s">
        <v>123</v>
      </c>
      <c r="F160" s="18" t="s">
        <v>87</v>
      </c>
      <c r="G160" s="18" t="s">
        <v>93</v>
      </c>
      <c r="H160" s="27" t="s">
        <v>1056</v>
      </c>
      <c r="I160" s="24">
        <v>106000</v>
      </c>
      <c r="J160" s="20" t="str">
        <f>VLOOKUP(G160,MD!M$2:O$93,3,FALSE)</f>
        <v>gr./m2</v>
      </c>
      <c r="K160" s="29">
        <v>1</v>
      </c>
      <c r="P160" s="22"/>
      <c r="X160" s="22"/>
    </row>
    <row r="161" spans="1:31">
      <c r="A161" s="47" t="s">
        <v>835</v>
      </c>
      <c r="B161" s="47" t="s">
        <v>986</v>
      </c>
      <c r="C161" s="49">
        <v>44672</v>
      </c>
      <c r="D161" s="64">
        <f t="shared" si="8"/>
        <v>17</v>
      </c>
      <c r="E161" s="47" t="s">
        <v>123</v>
      </c>
      <c r="F161" s="18" t="s">
        <v>89</v>
      </c>
      <c r="G161" s="18" t="s">
        <v>133</v>
      </c>
      <c r="H161" s="27" t="s">
        <v>1002</v>
      </c>
      <c r="I161" s="24">
        <v>1</v>
      </c>
      <c r="J161" s="20" t="str">
        <f>VLOOKUP(G161,MD!M$2:O$93,3,FALSE)</f>
        <v>Dose hom.</v>
      </c>
      <c r="K161" s="29">
        <v>1</v>
      </c>
      <c r="L161" s="27" t="s">
        <v>1008</v>
      </c>
      <c r="M161" s="25" t="s">
        <v>1003</v>
      </c>
      <c r="N161" s="25" t="s">
        <v>1005</v>
      </c>
      <c r="P161" s="22"/>
      <c r="X161" s="22"/>
    </row>
    <row r="162" spans="1:31">
      <c r="A162" s="47" t="s">
        <v>835</v>
      </c>
      <c r="B162" s="47" t="s">
        <v>986</v>
      </c>
      <c r="C162" s="49">
        <v>44672</v>
      </c>
      <c r="D162" s="64">
        <f t="shared" si="8"/>
        <v>17</v>
      </c>
      <c r="E162" s="47" t="s">
        <v>123</v>
      </c>
      <c r="F162" s="18" t="s">
        <v>89</v>
      </c>
      <c r="G162" s="18" t="s">
        <v>133</v>
      </c>
      <c r="H162" s="27" t="s">
        <v>1001</v>
      </c>
      <c r="I162" s="24">
        <v>1</v>
      </c>
      <c r="J162" s="20" t="str">
        <f>VLOOKUP(G162,MD!M$2:O$93,3,FALSE)</f>
        <v>Dose hom.</v>
      </c>
      <c r="K162" s="29">
        <v>1</v>
      </c>
      <c r="L162" s="27" t="s">
        <v>1009</v>
      </c>
      <c r="M162" s="25" t="s">
        <v>367</v>
      </c>
      <c r="N162" s="25" t="s">
        <v>1006</v>
      </c>
      <c r="P162" s="22"/>
      <c r="X162" s="22"/>
    </row>
    <row r="163" spans="1:31">
      <c r="A163" s="47" t="s">
        <v>835</v>
      </c>
      <c r="B163" s="47" t="s">
        <v>986</v>
      </c>
      <c r="C163" s="49">
        <v>44672</v>
      </c>
      <c r="D163" s="64">
        <f t="shared" si="8"/>
        <v>17</v>
      </c>
      <c r="E163" s="47" t="s">
        <v>123</v>
      </c>
      <c r="F163" s="18" t="s">
        <v>89</v>
      </c>
      <c r="G163" s="18" t="s">
        <v>133</v>
      </c>
      <c r="H163" s="109" t="s">
        <v>1004</v>
      </c>
      <c r="I163" s="24">
        <v>1</v>
      </c>
      <c r="J163" s="20" t="str">
        <f>VLOOKUP(G163,MD!M$2:O$93,3,FALSE)</f>
        <v>Dose hom.</v>
      </c>
      <c r="K163" s="29">
        <v>1</v>
      </c>
      <c r="P163" s="22"/>
      <c r="X163" s="22"/>
    </row>
    <row r="164" spans="1:31">
      <c r="A164" s="47" t="s">
        <v>835</v>
      </c>
      <c r="B164" s="47" t="s">
        <v>986</v>
      </c>
      <c r="C164" s="49">
        <v>44672</v>
      </c>
      <c r="D164" s="64">
        <f t="shared" si="8"/>
        <v>17</v>
      </c>
      <c r="E164" s="47" t="s">
        <v>123</v>
      </c>
      <c r="F164" s="18" t="s">
        <v>89</v>
      </c>
      <c r="G164" s="18" t="s">
        <v>133</v>
      </c>
      <c r="H164" s="27" t="s">
        <v>1013</v>
      </c>
      <c r="I164" s="24">
        <v>1</v>
      </c>
      <c r="J164" s="20" t="str">
        <f>VLOOKUP(G164,MD!M$2:O$93,3,FALSE)</f>
        <v>Dose hom.</v>
      </c>
      <c r="K164" s="29">
        <v>1</v>
      </c>
      <c r="L164" s="27" t="s">
        <v>1014</v>
      </c>
      <c r="M164" s="25" t="s">
        <v>1015</v>
      </c>
      <c r="N164" s="25" t="s">
        <v>1016</v>
      </c>
      <c r="P164" s="22"/>
      <c r="X164" s="22"/>
    </row>
    <row r="165" spans="1:31">
      <c r="A165" s="47" t="s">
        <v>835</v>
      </c>
      <c r="B165" s="47" t="s">
        <v>986</v>
      </c>
      <c r="C165" s="49">
        <v>44672</v>
      </c>
      <c r="D165" s="64">
        <f t="shared" ref="D165:D170" si="9">WEEKNUM(C165)</f>
        <v>17</v>
      </c>
      <c r="E165" s="47" t="s">
        <v>123</v>
      </c>
      <c r="F165" s="18" t="s">
        <v>89</v>
      </c>
      <c r="G165" s="18" t="s">
        <v>111</v>
      </c>
      <c r="H165" s="27" t="s">
        <v>1018</v>
      </c>
      <c r="I165" s="24">
        <f>12/15</f>
        <v>0.8</v>
      </c>
      <c r="J165" s="20" t="str">
        <f>VLOOKUP(G165,MD!M$2:O$93,3,FALSE)</f>
        <v>Dose hom.</v>
      </c>
      <c r="K165" s="29">
        <v>1</v>
      </c>
      <c r="L165" s="27" t="s">
        <v>1019</v>
      </c>
      <c r="M165" s="25" t="s">
        <v>1020</v>
      </c>
      <c r="N165" s="25" t="s">
        <v>1021</v>
      </c>
      <c r="P165" s="22"/>
      <c r="X165" s="22"/>
    </row>
    <row r="166" spans="1:31" s="59" customFormat="1">
      <c r="A166" s="47" t="s">
        <v>835</v>
      </c>
      <c r="B166" s="47" t="s">
        <v>986</v>
      </c>
      <c r="C166" s="49">
        <v>44674</v>
      </c>
      <c r="D166" s="64">
        <f t="shared" si="9"/>
        <v>17</v>
      </c>
      <c r="E166" s="47" t="s">
        <v>835</v>
      </c>
      <c r="F166" s="18" t="s">
        <v>86</v>
      </c>
      <c r="G166" s="18" t="s">
        <v>64</v>
      </c>
      <c r="H166" s="27"/>
      <c r="I166" s="24">
        <v>1</v>
      </c>
      <c r="J166" s="20" t="str">
        <f>VLOOKUP(G166,MD!M$2:O$93,3,FALSE)</f>
        <v>ha</v>
      </c>
      <c r="K166" s="29">
        <v>1</v>
      </c>
      <c r="L166" s="27"/>
      <c r="M166" s="25"/>
      <c r="N166" s="25"/>
      <c r="O166" s="25"/>
      <c r="P166" s="22"/>
      <c r="Q166" s="44"/>
      <c r="R166" s="44"/>
      <c r="S166" s="44"/>
      <c r="T166" s="25"/>
      <c r="U166" s="25"/>
      <c r="V166" s="25"/>
      <c r="W166" s="25"/>
      <c r="X166" s="22"/>
      <c r="Y166" s="44"/>
      <c r="Z166" s="44"/>
      <c r="AA166" s="44"/>
      <c r="AB166" s="25"/>
      <c r="AC166" s="25"/>
      <c r="AD166" s="25"/>
      <c r="AE166" s="25"/>
    </row>
    <row r="167" spans="1:31">
      <c r="A167" s="47" t="s">
        <v>835</v>
      </c>
      <c r="B167" s="47" t="s">
        <v>986</v>
      </c>
      <c r="C167" s="49">
        <v>44674</v>
      </c>
      <c r="D167" s="64">
        <f t="shared" si="9"/>
        <v>17</v>
      </c>
      <c r="E167" s="47" t="s">
        <v>835</v>
      </c>
      <c r="F167" s="18" t="s">
        <v>89</v>
      </c>
      <c r="G167" s="18" t="s">
        <v>113</v>
      </c>
      <c r="H167" s="27" t="s">
        <v>1034</v>
      </c>
      <c r="I167" s="57">
        <f>1/1.09</f>
        <v>0.9174311926605504</v>
      </c>
      <c r="J167" s="20" t="str">
        <f>VLOOKUP(G167,MD!M$2:O$93,3,FALSE)</f>
        <v>Dose hom.</v>
      </c>
      <c r="K167" s="29">
        <v>1</v>
      </c>
      <c r="L167" s="27" t="s">
        <v>1036</v>
      </c>
      <c r="M167" s="25" t="s">
        <v>1038</v>
      </c>
      <c r="N167" s="25" t="s">
        <v>1039</v>
      </c>
      <c r="P167" s="22"/>
      <c r="X167" s="22"/>
    </row>
    <row r="168" spans="1:31">
      <c r="A168" s="47" t="s">
        <v>835</v>
      </c>
      <c r="B168" s="47" t="s">
        <v>986</v>
      </c>
      <c r="C168" s="49">
        <v>44674</v>
      </c>
      <c r="D168" s="64">
        <f t="shared" si="9"/>
        <v>17</v>
      </c>
      <c r="E168" s="47" t="s">
        <v>835</v>
      </c>
      <c r="F168" s="18" t="s">
        <v>89</v>
      </c>
      <c r="G168" s="18" t="s">
        <v>113</v>
      </c>
      <c r="H168" s="27" t="s">
        <v>1035</v>
      </c>
      <c r="I168" s="57">
        <f>1/1.09</f>
        <v>0.9174311926605504</v>
      </c>
      <c r="J168" s="20" t="str">
        <f>VLOOKUP(G168,MD!M$2:O$93,3,FALSE)</f>
        <v>Dose hom.</v>
      </c>
      <c r="K168" s="29">
        <v>1</v>
      </c>
      <c r="L168" s="27" t="s">
        <v>1037</v>
      </c>
      <c r="M168" s="25" t="s">
        <v>1040</v>
      </c>
      <c r="N168" s="25" t="s">
        <v>1041</v>
      </c>
      <c r="P168" s="22"/>
      <c r="X168" s="22"/>
    </row>
    <row r="169" spans="1:31">
      <c r="A169" s="47" t="s">
        <v>835</v>
      </c>
      <c r="B169" s="47" t="s">
        <v>986</v>
      </c>
      <c r="C169" s="49">
        <v>44674</v>
      </c>
      <c r="D169" s="64">
        <f t="shared" si="9"/>
        <v>17</v>
      </c>
      <c r="E169" s="47" t="s">
        <v>835</v>
      </c>
      <c r="F169" s="18" t="s">
        <v>89</v>
      </c>
      <c r="G169" s="18" t="s">
        <v>113</v>
      </c>
      <c r="H169" s="27" t="s">
        <v>1042</v>
      </c>
      <c r="I169" s="24">
        <f>3.5/4</f>
        <v>0.875</v>
      </c>
      <c r="J169" s="20" t="str">
        <f>VLOOKUP(G169,MD!M$2:O$93,3,FALSE)</f>
        <v>Dose hom.</v>
      </c>
      <c r="K169" s="29">
        <v>1</v>
      </c>
      <c r="L169" s="27" t="s">
        <v>1044</v>
      </c>
      <c r="M169" s="25" t="s">
        <v>1046</v>
      </c>
      <c r="N169" s="25" t="s">
        <v>1047</v>
      </c>
      <c r="P169" s="22"/>
      <c r="X169" s="22"/>
    </row>
    <row r="170" spans="1:31">
      <c r="A170" s="47" t="s">
        <v>835</v>
      </c>
      <c r="B170" s="47" t="s">
        <v>986</v>
      </c>
      <c r="C170" s="49">
        <v>44674</v>
      </c>
      <c r="D170" s="64">
        <f t="shared" si="9"/>
        <v>17</v>
      </c>
      <c r="E170" s="47" t="s">
        <v>835</v>
      </c>
      <c r="F170" s="18" t="s">
        <v>89</v>
      </c>
      <c r="G170" s="18" t="s">
        <v>113</v>
      </c>
      <c r="H170" s="27" t="s">
        <v>1043</v>
      </c>
      <c r="I170" s="24">
        <f>3.5/4</f>
        <v>0.875</v>
      </c>
      <c r="J170" s="20" t="str">
        <f>VLOOKUP(G170,MD!M$2:O$93,3,FALSE)</f>
        <v>Dose hom.</v>
      </c>
      <c r="K170" s="29">
        <v>1</v>
      </c>
      <c r="L170" s="27" t="s">
        <v>1045</v>
      </c>
      <c r="M170" s="25" t="s">
        <v>1048</v>
      </c>
      <c r="N170" s="25" t="s">
        <v>1049</v>
      </c>
      <c r="P170" s="22"/>
      <c r="X170" s="22"/>
    </row>
    <row r="171" spans="1:31">
      <c r="A171" s="47"/>
      <c r="B171" s="47"/>
      <c r="J171" s="20" t="e">
        <f>VLOOKUP(G171,MD!M$2:O$93,3,FALSE)</f>
        <v>#N/A</v>
      </c>
      <c r="K171" s="29"/>
      <c r="P171" s="22"/>
      <c r="X171" s="22"/>
    </row>
    <row r="172" spans="1:31">
      <c r="A172" s="47"/>
      <c r="B172" s="47"/>
      <c r="J172" s="20" t="e">
        <f>VLOOKUP(G172,MD!M$2:O$93,3,FALSE)</f>
        <v>#N/A</v>
      </c>
      <c r="K172" s="29"/>
      <c r="P172" s="22"/>
      <c r="X172" s="22"/>
    </row>
    <row r="173" spans="1:31">
      <c r="A173" s="47"/>
      <c r="B173" s="47"/>
      <c r="J173" s="20" t="e">
        <f>VLOOKUP(G173,MD!M$2:O$93,3,FALSE)</f>
        <v>#N/A</v>
      </c>
      <c r="K173" s="29"/>
      <c r="P173" s="22"/>
      <c r="X173" s="22"/>
    </row>
    <row r="174" spans="1:31">
      <c r="A174" s="47"/>
      <c r="B174" s="47"/>
      <c r="J174" s="20" t="e">
        <f>VLOOKUP(G174,MD!M$2:O$93,3,FALSE)</f>
        <v>#N/A</v>
      </c>
      <c r="K174" s="29"/>
      <c r="P174" s="22"/>
      <c r="X174" s="22"/>
    </row>
    <row r="175" spans="1:31">
      <c r="A175" s="47"/>
      <c r="B175" s="47"/>
      <c r="J175" s="20" t="e">
        <f>VLOOKUP(G175,MD!M$2:O$93,3,FALSE)</f>
        <v>#N/A</v>
      </c>
      <c r="K175" s="29"/>
      <c r="P175" s="22"/>
      <c r="X175" s="22"/>
    </row>
    <row r="176" spans="1:31">
      <c r="A176" s="47"/>
      <c r="B176" s="47"/>
      <c r="J176" s="20" t="e">
        <f>VLOOKUP(G176,MD!M$2:O$93,3,FALSE)</f>
        <v>#N/A</v>
      </c>
      <c r="K176" s="29"/>
      <c r="P176" s="22"/>
      <c r="X176" s="22"/>
    </row>
    <row r="177" spans="1:24">
      <c r="A177" s="47"/>
      <c r="B177" s="47"/>
      <c r="J177" s="20" t="e">
        <f>VLOOKUP(G177,MD!M$2:O$93,3,FALSE)</f>
        <v>#N/A</v>
      </c>
      <c r="K177" s="29"/>
      <c r="P177" s="22"/>
      <c r="X177" s="22"/>
    </row>
    <row r="178" spans="1:24">
      <c r="A178" s="47"/>
      <c r="B178" s="47"/>
      <c r="J178" s="20" t="e">
        <f>VLOOKUP(G178,MD!M$2:O$93,3,FALSE)</f>
        <v>#N/A</v>
      </c>
      <c r="K178" s="29"/>
      <c r="P178" s="22"/>
      <c r="X178" s="22"/>
    </row>
    <row r="179" spans="1:24">
      <c r="A179" s="47"/>
      <c r="B179" s="47"/>
      <c r="J179" s="20" t="e">
        <f>VLOOKUP(G179,MD!M$2:O$93,3,FALSE)</f>
        <v>#N/A</v>
      </c>
      <c r="K179" s="29"/>
      <c r="P179" s="22"/>
      <c r="X179" s="22"/>
    </row>
    <row r="180" spans="1:24">
      <c r="A180" s="47"/>
      <c r="B180" s="47"/>
      <c r="J180" s="20" t="e">
        <f>VLOOKUP(G180,MD!M$2:O$93,3,FALSE)</f>
        <v>#N/A</v>
      </c>
      <c r="K180" s="29"/>
      <c r="P180" s="22"/>
      <c r="X180" s="22"/>
    </row>
    <row r="181" spans="1:24">
      <c r="A181" s="47"/>
      <c r="B181" s="47"/>
      <c r="J181" s="20" t="e">
        <f>VLOOKUP(G181,MD!M$2:O$93,3,FALSE)</f>
        <v>#N/A</v>
      </c>
      <c r="K181" s="29"/>
      <c r="P181" s="22"/>
      <c r="X181" s="22"/>
    </row>
    <row r="182" spans="1:24">
      <c r="A182" s="47"/>
      <c r="B182" s="47"/>
      <c r="J182" s="20" t="e">
        <f>VLOOKUP(G182,MD!M$2:O$93,3,FALSE)</f>
        <v>#N/A</v>
      </c>
      <c r="K182" s="29"/>
      <c r="P182" s="22"/>
      <c r="X182" s="22"/>
    </row>
    <row r="183" spans="1:24">
      <c r="A183" s="47"/>
      <c r="B183" s="47"/>
      <c r="J183" s="20" t="e">
        <f>VLOOKUP(G183,MD!M$2:O$93,3,FALSE)</f>
        <v>#N/A</v>
      </c>
      <c r="K183" s="29"/>
      <c r="P183" s="22"/>
      <c r="X183" s="22"/>
    </row>
    <row r="184" spans="1:24">
      <c r="A184" s="47"/>
      <c r="B184" s="47"/>
      <c r="J184" s="20" t="e">
        <f>VLOOKUP(G184,MD!M$2:O$93,3,FALSE)</f>
        <v>#N/A</v>
      </c>
      <c r="K184" s="29"/>
      <c r="P184" s="22"/>
      <c r="X184" s="22"/>
    </row>
    <row r="185" spans="1:24">
      <c r="A185" s="47"/>
      <c r="B185" s="47"/>
      <c r="J185" s="20" t="e">
        <f>VLOOKUP(G185,MD!M$2:O$93,3,FALSE)</f>
        <v>#N/A</v>
      </c>
      <c r="K185" s="29"/>
      <c r="P185" s="22"/>
      <c r="X185" s="22"/>
    </row>
    <row r="186" spans="1:24">
      <c r="A186" s="47"/>
      <c r="B186" s="47"/>
      <c r="J186" s="20" t="e">
        <f>VLOOKUP(G186,MD!M$2:O$93,3,FALSE)</f>
        <v>#N/A</v>
      </c>
      <c r="K186" s="29"/>
      <c r="P186" s="22"/>
      <c r="X186" s="22"/>
    </row>
    <row r="187" spans="1:24">
      <c r="A187" s="47"/>
      <c r="B187" s="47"/>
      <c r="J187" s="20" t="e">
        <f>VLOOKUP(G187,MD!M$2:O$93,3,FALSE)</f>
        <v>#N/A</v>
      </c>
      <c r="K187" s="29"/>
      <c r="P187" s="22"/>
      <c r="X187" s="22"/>
    </row>
    <row r="188" spans="1:24">
      <c r="A188" s="47"/>
      <c r="B188" s="47"/>
      <c r="J188" s="20" t="e">
        <f>VLOOKUP(G188,MD!M$2:O$93,3,FALSE)</f>
        <v>#N/A</v>
      </c>
      <c r="K188" s="29"/>
      <c r="P188" s="22"/>
      <c r="X188" s="22"/>
    </row>
    <row r="189" spans="1:24">
      <c r="J189" s="20" t="e">
        <f>VLOOKUP(G189,MD!M$2:O$93,3,FALSE)</f>
        <v>#N/A</v>
      </c>
      <c r="K189" s="29"/>
      <c r="P189" s="22"/>
      <c r="X189" s="22"/>
    </row>
    <row r="190" spans="1:24">
      <c r="J190" s="20" t="e">
        <f>VLOOKUP(G190,MD!M$2:O$93,3,FALSE)</f>
        <v>#N/A</v>
      </c>
      <c r="K190" s="29"/>
      <c r="P190" s="22"/>
      <c r="X190" s="22"/>
    </row>
    <row r="191" spans="1:24">
      <c r="J191" s="20" t="e">
        <f>VLOOKUP(G191,MD!M$2:O$93,3,FALSE)</f>
        <v>#N/A</v>
      </c>
      <c r="K191" s="29"/>
      <c r="P191" s="22"/>
      <c r="X191" s="22"/>
    </row>
    <row r="192" spans="1:24">
      <c r="J192" s="20" t="e">
        <f>VLOOKUP(G192,MD!M$2:O$93,3,FALSE)</f>
        <v>#N/A</v>
      </c>
      <c r="K192" s="29"/>
      <c r="P192" s="22"/>
      <c r="X192" s="22"/>
    </row>
    <row r="193" spans="10:24">
      <c r="J193" s="20" t="e">
        <f>VLOOKUP(G193,MD!M$2:O$93,3,FALSE)</f>
        <v>#N/A</v>
      </c>
      <c r="K193" s="29"/>
      <c r="P193" s="22"/>
      <c r="X193" s="22"/>
    </row>
    <row r="194" spans="10:24">
      <c r="J194" s="20" t="e">
        <f>VLOOKUP(G194,MD!M$2:O$93,3,FALSE)</f>
        <v>#N/A</v>
      </c>
      <c r="K194" s="29"/>
      <c r="P194" s="22"/>
      <c r="X194" s="22"/>
    </row>
    <row r="195" spans="10:24">
      <c r="J195" s="20" t="e">
        <f>VLOOKUP(G195,MD!M$2:O$93,3,FALSE)</f>
        <v>#N/A</v>
      </c>
      <c r="K195" s="29"/>
      <c r="P195" s="22"/>
      <c r="X195" s="22"/>
    </row>
    <row r="196" spans="10:24">
      <c r="J196" s="20" t="e">
        <f>VLOOKUP(G196,MD!M$2:O$93,3,FALSE)</f>
        <v>#N/A</v>
      </c>
      <c r="K196" s="29"/>
      <c r="P196" s="22"/>
      <c r="X196" s="22"/>
    </row>
    <row r="197" spans="10:24">
      <c r="J197" s="20" t="e">
        <f>VLOOKUP(G197,MD!M$2:O$93,3,FALSE)</f>
        <v>#N/A</v>
      </c>
      <c r="K197" s="29"/>
      <c r="P197" s="22"/>
      <c r="X197" s="22"/>
    </row>
    <row r="198" spans="10:24">
      <c r="J198" s="20" t="e">
        <f>VLOOKUP(G198,MD!M$2:O$93,3,FALSE)</f>
        <v>#N/A</v>
      </c>
      <c r="K198" s="29"/>
      <c r="P198" s="22"/>
      <c r="X198" s="22"/>
    </row>
    <row r="199" spans="10:24">
      <c r="J199" s="20" t="e">
        <f>VLOOKUP(G199,MD!M$2:O$93,3,FALSE)</f>
        <v>#N/A</v>
      </c>
      <c r="K199" s="29"/>
      <c r="P199" s="22"/>
      <c r="X199" s="22"/>
    </row>
    <row r="200" spans="10:24">
      <c r="J200" s="20" t="e">
        <f>VLOOKUP(G200,MD!M$2:O$93,3,FALSE)</f>
        <v>#N/A</v>
      </c>
      <c r="K200" s="29"/>
      <c r="P200" s="22"/>
      <c r="X200" s="22"/>
    </row>
    <row r="201" spans="10:24">
      <c r="J201" s="20" t="e">
        <f>VLOOKUP(G201,MD!M$2:O$93,3,FALSE)</f>
        <v>#N/A</v>
      </c>
      <c r="K201" s="29"/>
      <c r="P201" s="22"/>
      <c r="X201" s="22"/>
    </row>
    <row r="202" spans="10:24">
      <c r="J202" s="20" t="e">
        <f>VLOOKUP(G202,MD!M$2:O$93,3,FALSE)</f>
        <v>#N/A</v>
      </c>
      <c r="K202" s="29"/>
      <c r="P202" s="22"/>
      <c r="X202" s="22"/>
    </row>
    <row r="203" spans="10:24">
      <c r="J203" s="20" t="e">
        <f>VLOOKUP(G203,MD!M$2:O$93,3,FALSE)</f>
        <v>#N/A</v>
      </c>
      <c r="K203" s="29"/>
      <c r="P203" s="22"/>
      <c r="X203" s="22"/>
    </row>
    <row r="204" spans="10:24">
      <c r="J204" s="20" t="e">
        <f>VLOOKUP(G204,MD!M$2:O$93,3,FALSE)</f>
        <v>#N/A</v>
      </c>
      <c r="K204" s="29"/>
      <c r="P204" s="22"/>
      <c r="X204" s="22"/>
    </row>
    <row r="205" spans="10:24">
      <c r="J205" s="20" t="e">
        <f>VLOOKUP(G205,MD!M$2:O$93,3,FALSE)</f>
        <v>#N/A</v>
      </c>
      <c r="K205" s="29"/>
      <c r="P205" s="22"/>
      <c r="X205" s="22"/>
    </row>
    <row r="206" spans="10:24">
      <c r="J206" s="20" t="e">
        <f>VLOOKUP(G206,MD!M$2:O$93,3,FALSE)</f>
        <v>#N/A</v>
      </c>
      <c r="K206" s="29"/>
      <c r="P206" s="22"/>
      <c r="X206" s="22"/>
    </row>
    <row r="207" spans="10:24">
      <c r="J207" s="20" t="e">
        <f>VLOOKUP(G207,MD!M$2:O$93,3,FALSE)</f>
        <v>#N/A</v>
      </c>
      <c r="K207" s="29"/>
      <c r="P207" s="22"/>
      <c r="X207" s="22"/>
    </row>
    <row r="208" spans="10:24">
      <c r="J208" s="20" t="e">
        <f>VLOOKUP(G208,MD!M$2:O$93,3,FALSE)</f>
        <v>#N/A</v>
      </c>
      <c r="K208" s="29"/>
      <c r="P208" s="22"/>
      <c r="X208" s="22"/>
    </row>
    <row r="209" spans="10:24">
      <c r="J209" s="20" t="e">
        <f>VLOOKUP(G209,MD!M$2:O$93,3,FALSE)</f>
        <v>#N/A</v>
      </c>
      <c r="K209" s="29"/>
      <c r="P209" s="22"/>
      <c r="X209" s="22"/>
    </row>
    <row r="210" spans="10:24">
      <c r="J210" s="20" t="e">
        <f>VLOOKUP(G210,MD!M$2:O$93,3,FALSE)</f>
        <v>#N/A</v>
      </c>
      <c r="K210" s="29"/>
      <c r="P210" s="22"/>
      <c r="X210" s="22"/>
    </row>
    <row r="211" spans="10:24">
      <c r="J211" s="20" t="e">
        <f>VLOOKUP(G211,MD!M$2:O$93,3,FALSE)</f>
        <v>#N/A</v>
      </c>
      <c r="K211" s="29"/>
      <c r="P211" s="22"/>
      <c r="X211" s="22"/>
    </row>
    <row r="212" spans="10:24">
      <c r="J212" s="20" t="e">
        <f>VLOOKUP(G212,MD!M$2:O$93,3,FALSE)</f>
        <v>#N/A</v>
      </c>
      <c r="K212" s="29"/>
      <c r="P212" s="22"/>
      <c r="X212" s="22"/>
    </row>
    <row r="213" spans="10:24">
      <c r="J213" s="20" t="e">
        <f>VLOOKUP(G213,MD!M$2:O$93,3,FALSE)</f>
        <v>#N/A</v>
      </c>
      <c r="K213" s="29"/>
      <c r="P213" s="22"/>
      <c r="X213" s="22"/>
    </row>
    <row r="214" spans="10:24">
      <c r="J214" s="20" t="e">
        <f>VLOOKUP(G214,MD!M$2:O$93,3,FALSE)</f>
        <v>#N/A</v>
      </c>
      <c r="K214" s="29"/>
      <c r="P214" s="22"/>
      <c r="X214" s="22"/>
    </row>
    <row r="215" spans="10:24">
      <c r="J215" s="20" t="e">
        <f>VLOOKUP(G215,MD!M$2:O$93,3,FALSE)</f>
        <v>#N/A</v>
      </c>
      <c r="K215" s="29"/>
      <c r="P215" s="22"/>
      <c r="X215" s="22"/>
    </row>
    <row r="216" spans="10:24">
      <c r="J216" s="20" t="e">
        <f>VLOOKUP(G216,MD!M$2:O$93,3,FALSE)</f>
        <v>#N/A</v>
      </c>
      <c r="K216" s="29"/>
      <c r="P216" s="22"/>
      <c r="X216" s="22"/>
    </row>
    <row r="217" spans="10:24">
      <c r="J217" s="20" t="e">
        <f>VLOOKUP(G217,MD!M$2:O$93,3,FALSE)</f>
        <v>#N/A</v>
      </c>
      <c r="K217" s="29"/>
      <c r="P217" s="22"/>
      <c r="X217" s="22"/>
    </row>
    <row r="218" spans="10:24">
      <c r="J218" s="20" t="e">
        <f>VLOOKUP(G218,MD!M$2:O$93,3,FALSE)</f>
        <v>#N/A</v>
      </c>
      <c r="K218" s="29"/>
      <c r="P218" s="22"/>
      <c r="X218" s="22"/>
    </row>
    <row r="219" spans="10:24">
      <c r="J219" s="20" t="e">
        <f>VLOOKUP(G219,MD!M$2:O$93,3,FALSE)</f>
        <v>#N/A</v>
      </c>
      <c r="K219" s="29"/>
      <c r="P219" s="22"/>
      <c r="X219" s="22"/>
    </row>
    <row r="220" spans="10:24">
      <c r="J220" s="20" t="e">
        <f>VLOOKUP(G220,MD!M$2:O$93,3,FALSE)</f>
        <v>#N/A</v>
      </c>
      <c r="K220" s="29"/>
      <c r="P220" s="22"/>
      <c r="X220" s="22"/>
    </row>
    <row r="221" spans="10:24">
      <c r="J221" s="20" t="e">
        <f>VLOOKUP(G221,MD!M$2:O$93,3,FALSE)</f>
        <v>#N/A</v>
      </c>
      <c r="K221" s="29"/>
      <c r="P221" s="22"/>
      <c r="X221" s="22"/>
    </row>
    <row r="222" spans="10:24">
      <c r="J222" s="20" t="e">
        <f>VLOOKUP(G222,MD!M$2:O$93,3,FALSE)</f>
        <v>#N/A</v>
      </c>
      <c r="K222" s="29"/>
      <c r="P222" s="22"/>
      <c r="X222" s="22"/>
    </row>
    <row r="223" spans="10:24">
      <c r="J223" s="20" t="e">
        <f>VLOOKUP(G223,MD!M$2:O$93,3,FALSE)</f>
        <v>#N/A</v>
      </c>
      <c r="K223" s="29"/>
      <c r="P223" s="22"/>
      <c r="X223" s="22"/>
    </row>
    <row r="224" spans="10:24">
      <c r="J224" s="20" t="e">
        <f>VLOOKUP(G224,MD!M$2:O$93,3,FALSE)</f>
        <v>#N/A</v>
      </c>
      <c r="K224" s="29"/>
      <c r="P224" s="22"/>
      <c r="X224" s="22"/>
    </row>
    <row r="225" spans="10:24">
      <c r="J225" s="20" t="e">
        <f>VLOOKUP(G225,MD!M$2:O$93,3,FALSE)</f>
        <v>#N/A</v>
      </c>
      <c r="K225" s="29"/>
      <c r="P225" s="22"/>
      <c r="X225" s="22"/>
    </row>
    <row r="226" spans="10:24">
      <c r="J226" s="20" t="e">
        <f>VLOOKUP(G226,MD!M$2:O$93,3,FALSE)</f>
        <v>#N/A</v>
      </c>
      <c r="K226" s="29"/>
      <c r="P226" s="22"/>
      <c r="X226" s="22"/>
    </row>
    <row r="227" spans="10:24">
      <c r="J227" s="20" t="e">
        <f>VLOOKUP(G227,MD!M$2:O$93,3,FALSE)</f>
        <v>#N/A</v>
      </c>
      <c r="K227" s="29"/>
      <c r="P227" s="22"/>
      <c r="X227" s="22"/>
    </row>
    <row r="228" spans="10:24">
      <c r="J228" s="20" t="e">
        <f>VLOOKUP(G228,MD!M$2:O$93,3,FALSE)</f>
        <v>#N/A</v>
      </c>
      <c r="K228" s="29"/>
      <c r="P228" s="22"/>
      <c r="X228" s="22"/>
    </row>
    <row r="229" spans="10:24">
      <c r="J229" s="20" t="e">
        <f>VLOOKUP(G229,MD!M$2:O$93,3,FALSE)</f>
        <v>#N/A</v>
      </c>
      <c r="K229" s="29"/>
      <c r="P229" s="22"/>
      <c r="X229" s="22"/>
    </row>
    <row r="230" spans="10:24">
      <c r="J230" s="20" t="e">
        <f>VLOOKUP(G230,MD!M$2:O$93,3,FALSE)</f>
        <v>#N/A</v>
      </c>
      <c r="K230" s="29"/>
      <c r="P230" s="22"/>
      <c r="X230" s="22"/>
    </row>
    <row r="231" spans="10:24">
      <c r="J231" s="20" t="e">
        <f>VLOOKUP(G231,MD!M$2:O$93,3,FALSE)</f>
        <v>#N/A</v>
      </c>
      <c r="K231" s="29"/>
      <c r="P231" s="22"/>
      <c r="X231" s="22"/>
    </row>
    <row r="232" spans="10:24">
      <c r="J232" s="20" t="e">
        <f>VLOOKUP(G232,MD!M$2:O$93,3,FALSE)</f>
        <v>#N/A</v>
      </c>
      <c r="K232" s="29"/>
      <c r="P232" s="22"/>
      <c r="X232" s="22"/>
    </row>
    <row r="233" spans="10:24">
      <c r="J233" s="20" t="e">
        <f>VLOOKUP(G233,MD!M$2:O$93,3,FALSE)</f>
        <v>#N/A</v>
      </c>
      <c r="K233" s="29"/>
      <c r="P233" s="22"/>
      <c r="X233" s="22"/>
    </row>
    <row r="234" spans="10:24">
      <c r="J234" s="20" t="e">
        <f>VLOOKUP(G234,MD!M$2:O$93,3,FALSE)</f>
        <v>#N/A</v>
      </c>
      <c r="K234" s="29"/>
      <c r="P234" s="22"/>
      <c r="X234" s="22"/>
    </row>
    <row r="235" spans="10:24">
      <c r="J235" s="20" t="e">
        <f>VLOOKUP(G235,MD!M$2:O$93,3,FALSE)</f>
        <v>#N/A</v>
      </c>
      <c r="K235" s="29"/>
      <c r="P235" s="22"/>
      <c r="X235" s="22"/>
    </row>
    <row r="236" spans="10:24">
      <c r="J236" s="20" t="e">
        <f>VLOOKUP(G236,MD!M$2:O$93,3,FALSE)</f>
        <v>#N/A</v>
      </c>
      <c r="K236" s="29"/>
      <c r="P236" s="22"/>
      <c r="X236" s="22"/>
    </row>
    <row r="237" spans="10:24">
      <c r="J237" s="20" t="e">
        <f>VLOOKUP(G237,MD!M$2:O$93,3,FALSE)</f>
        <v>#N/A</v>
      </c>
      <c r="K237" s="29"/>
      <c r="P237" s="22"/>
      <c r="X237" s="22"/>
    </row>
    <row r="238" spans="10:24">
      <c r="J238" s="20" t="e">
        <f>VLOOKUP(G238,MD!M$2:O$93,3,FALSE)</f>
        <v>#N/A</v>
      </c>
      <c r="K238" s="29"/>
      <c r="P238" s="22"/>
      <c r="X238" s="22"/>
    </row>
    <row r="239" spans="10:24">
      <c r="J239" s="20" t="e">
        <f>VLOOKUP(G239,MD!M$2:O$93,3,FALSE)</f>
        <v>#N/A</v>
      </c>
      <c r="K239" s="29"/>
      <c r="P239" s="22"/>
      <c r="X239" s="22"/>
    </row>
    <row r="240" spans="10:24">
      <c r="J240" s="20" t="e">
        <f>VLOOKUP(G240,MD!M$2:O$93,3,FALSE)</f>
        <v>#N/A</v>
      </c>
      <c r="K240" s="29"/>
      <c r="P240" s="22"/>
      <c r="X240" s="22"/>
    </row>
    <row r="241" spans="10:24">
      <c r="J241" s="20" t="e">
        <f>VLOOKUP(G241,MD!M$2:O$93,3,FALSE)</f>
        <v>#N/A</v>
      </c>
      <c r="K241" s="29"/>
      <c r="P241" s="22"/>
      <c r="X241" s="22"/>
    </row>
    <row r="242" spans="10:24">
      <c r="J242" s="20" t="e">
        <f>VLOOKUP(G242,MD!M$2:O$93,3,FALSE)</f>
        <v>#N/A</v>
      </c>
      <c r="K242" s="29"/>
      <c r="P242" s="22"/>
      <c r="X242" s="22"/>
    </row>
    <row r="243" spans="10:24">
      <c r="J243" s="20" t="e">
        <f>VLOOKUP(G243,MD!M$2:O$93,3,FALSE)</f>
        <v>#N/A</v>
      </c>
      <c r="K243" s="29"/>
      <c r="P243" s="22"/>
      <c r="X243" s="22"/>
    </row>
    <row r="244" spans="10:24">
      <c r="J244" s="20" t="e">
        <f>VLOOKUP(G244,MD!M$2:O$93,3,FALSE)</f>
        <v>#N/A</v>
      </c>
      <c r="K244" s="29"/>
      <c r="P244" s="22"/>
      <c r="X244" s="22"/>
    </row>
    <row r="245" spans="10:24">
      <c r="J245" s="20" t="e">
        <f>VLOOKUP(G245,MD!M$2:O$93,3,FALSE)</f>
        <v>#N/A</v>
      </c>
      <c r="K245" s="29"/>
      <c r="P245" s="22"/>
      <c r="X245" s="22"/>
    </row>
    <row r="246" spans="10:24">
      <c r="J246" s="20" t="e">
        <f>VLOOKUP(G246,MD!M$2:O$93,3,FALSE)</f>
        <v>#N/A</v>
      </c>
      <c r="K246" s="29"/>
      <c r="P246" s="22"/>
      <c r="X246" s="22"/>
    </row>
    <row r="247" spans="10:24">
      <c r="J247" s="20" t="e">
        <f>VLOOKUP(G247,MD!M$2:O$93,3,FALSE)</f>
        <v>#N/A</v>
      </c>
      <c r="K247" s="29"/>
      <c r="P247" s="22"/>
      <c r="X247" s="22"/>
    </row>
    <row r="248" spans="10:24">
      <c r="J248" s="20" t="e">
        <f>VLOOKUP(G248,MD!M$2:O$93,3,FALSE)</f>
        <v>#N/A</v>
      </c>
      <c r="K248" s="29"/>
      <c r="P248" s="22"/>
      <c r="X248" s="22"/>
    </row>
    <row r="249" spans="10:24">
      <c r="J249" s="20" t="e">
        <f>VLOOKUP(G249,MD!M$2:O$93,3,FALSE)</f>
        <v>#N/A</v>
      </c>
      <c r="K249" s="29"/>
      <c r="P249" s="22"/>
      <c r="X249" s="22"/>
    </row>
    <row r="250" spans="10:24">
      <c r="J250" s="20" t="e">
        <f>VLOOKUP(G250,MD!M$2:O$93,3,FALSE)</f>
        <v>#N/A</v>
      </c>
      <c r="K250" s="29"/>
      <c r="P250" s="22"/>
      <c r="X250" s="22"/>
    </row>
    <row r="251" spans="10:24">
      <c r="J251" s="20" t="e">
        <f>VLOOKUP(G251,MD!M$2:O$93,3,FALSE)</f>
        <v>#N/A</v>
      </c>
      <c r="K251" s="29"/>
      <c r="P251" s="22"/>
      <c r="X251" s="22"/>
    </row>
    <row r="252" spans="10:24">
      <c r="J252" s="20" t="e">
        <f>VLOOKUP(G252,MD!M$2:O$93,3,FALSE)</f>
        <v>#N/A</v>
      </c>
      <c r="K252" s="29"/>
      <c r="P252" s="22"/>
      <c r="X252" s="22"/>
    </row>
    <row r="253" spans="10:24">
      <c r="J253" s="20" t="e">
        <f>VLOOKUP(G253,MD!M$2:O$93,3,FALSE)</f>
        <v>#N/A</v>
      </c>
      <c r="K253" s="29"/>
      <c r="P253" s="22"/>
      <c r="X253" s="22"/>
    </row>
    <row r="254" spans="10:24">
      <c r="J254" s="20" t="e">
        <f>VLOOKUP(G254,MD!M$2:O$93,3,FALSE)</f>
        <v>#N/A</v>
      </c>
      <c r="K254" s="29"/>
      <c r="P254" s="22"/>
      <c r="X254" s="22"/>
    </row>
    <row r="255" spans="10:24">
      <c r="J255" s="20" t="e">
        <f>VLOOKUP(G255,MD!M$2:O$93,3,FALSE)</f>
        <v>#N/A</v>
      </c>
      <c r="K255" s="29"/>
      <c r="P255" s="22"/>
      <c r="X255" s="22"/>
    </row>
    <row r="256" spans="10:24">
      <c r="J256" s="20" t="e">
        <f>VLOOKUP(G256,MD!M$2:O$93,3,FALSE)</f>
        <v>#N/A</v>
      </c>
      <c r="K256" s="29"/>
      <c r="P256" s="22"/>
      <c r="X256" s="22"/>
    </row>
    <row r="257" spans="10:24">
      <c r="J257" s="20" t="e">
        <f>VLOOKUP(G257,MD!M$2:O$93,3,FALSE)</f>
        <v>#N/A</v>
      </c>
      <c r="K257" s="29"/>
      <c r="P257" s="22"/>
      <c r="X257" s="22"/>
    </row>
    <row r="258" spans="10:24">
      <c r="J258" s="20" t="e">
        <f>VLOOKUP(G258,MD!M$2:O$93,3,FALSE)</f>
        <v>#N/A</v>
      </c>
      <c r="K258" s="29"/>
      <c r="P258" s="22"/>
      <c r="X258" s="22"/>
    </row>
    <row r="259" spans="10:24">
      <c r="J259" s="20" t="e">
        <f>VLOOKUP(G259,MD!M$2:O$93,3,FALSE)</f>
        <v>#N/A</v>
      </c>
      <c r="K259" s="29"/>
      <c r="P259" s="22"/>
      <c r="X259" s="22"/>
    </row>
    <row r="260" spans="10:24">
      <c r="J260" s="20" t="e">
        <f>VLOOKUP(G260,MD!M$2:O$93,3,FALSE)</f>
        <v>#N/A</v>
      </c>
      <c r="K260" s="29"/>
      <c r="P260" s="22"/>
      <c r="X260" s="22"/>
    </row>
    <row r="261" spans="10:24">
      <c r="J261" s="20" t="e">
        <f>VLOOKUP(G261,MD!M$2:O$93,3,FALSE)</f>
        <v>#N/A</v>
      </c>
      <c r="K261" s="29"/>
      <c r="P261" s="22"/>
      <c r="X261" s="22"/>
    </row>
    <row r="262" spans="10:24">
      <c r="J262" s="20" t="e">
        <f>VLOOKUP(G262,MD!M$2:O$93,3,FALSE)</f>
        <v>#N/A</v>
      </c>
      <c r="K262" s="29"/>
      <c r="P262" s="22"/>
      <c r="X262" s="22"/>
    </row>
    <row r="263" spans="10:24">
      <c r="J263" s="20" t="e">
        <f>VLOOKUP(G263,MD!M$2:O$93,3,FALSE)</f>
        <v>#N/A</v>
      </c>
      <c r="K263" s="29"/>
      <c r="P263" s="22"/>
      <c r="X263" s="22"/>
    </row>
    <row r="264" spans="10:24">
      <c r="J264" s="20" t="e">
        <f>VLOOKUP(G264,MD!M$2:O$93,3,FALSE)</f>
        <v>#N/A</v>
      </c>
      <c r="K264" s="29"/>
      <c r="P264" s="22"/>
      <c r="X264" s="22"/>
    </row>
    <row r="265" spans="10:24">
      <c r="J265" s="20" t="e">
        <f>VLOOKUP(G265,MD!M$2:O$93,3,FALSE)</f>
        <v>#N/A</v>
      </c>
      <c r="K265" s="29"/>
      <c r="P265" s="22"/>
      <c r="X265" s="22"/>
    </row>
    <row r="266" spans="10:24">
      <c r="J266" s="20" t="e">
        <f>VLOOKUP(G266,MD!M$2:O$93,3,FALSE)</f>
        <v>#N/A</v>
      </c>
      <c r="K266" s="29"/>
      <c r="P266" s="22"/>
      <c r="X266" s="22"/>
    </row>
    <row r="267" spans="10:24">
      <c r="J267" s="20" t="e">
        <f>VLOOKUP(G267,MD!M$2:O$93,3,FALSE)</f>
        <v>#N/A</v>
      </c>
      <c r="K267" s="29"/>
      <c r="P267" s="22"/>
      <c r="X267" s="22"/>
    </row>
    <row r="268" spans="10:24">
      <c r="J268" s="20" t="e">
        <f>VLOOKUP(G268,MD!M$2:O$93,3,FALSE)</f>
        <v>#N/A</v>
      </c>
      <c r="K268" s="29"/>
      <c r="P268" s="22"/>
      <c r="X268" s="22"/>
    </row>
    <row r="269" spans="10:24">
      <c r="J269" s="20" t="e">
        <f>VLOOKUP(G269,MD!M$2:O$93,3,FALSE)</f>
        <v>#N/A</v>
      </c>
      <c r="K269" s="29"/>
      <c r="P269" s="22"/>
      <c r="X269" s="22"/>
    </row>
    <row r="270" spans="10:24">
      <c r="J270" s="20" t="e">
        <f>VLOOKUP(G270,MD!M$2:O$93,3,FALSE)</f>
        <v>#N/A</v>
      </c>
      <c r="K270" s="29"/>
      <c r="P270" s="22"/>
      <c r="X270" s="22"/>
    </row>
    <row r="271" spans="10:24">
      <c r="J271" s="20" t="e">
        <f>VLOOKUP(G271,MD!M$2:O$93,3,FALSE)</f>
        <v>#N/A</v>
      </c>
      <c r="K271" s="29"/>
      <c r="P271" s="22"/>
      <c r="X271" s="22"/>
    </row>
    <row r="272" spans="10:24">
      <c r="J272" s="20" t="e">
        <f>VLOOKUP(G272,MD!M$2:O$93,3,FALSE)</f>
        <v>#N/A</v>
      </c>
      <c r="K272" s="29"/>
      <c r="P272" s="22"/>
      <c r="X272" s="22"/>
    </row>
    <row r="273" spans="10:24">
      <c r="J273" s="20" t="e">
        <f>VLOOKUP(G273,MD!M$2:O$93,3,FALSE)</f>
        <v>#N/A</v>
      </c>
      <c r="K273" s="29"/>
      <c r="P273" s="22"/>
      <c r="X273" s="22"/>
    </row>
    <row r="274" spans="10:24">
      <c r="J274" s="20" t="e">
        <f>VLOOKUP(G274,MD!M$2:O$93,3,FALSE)</f>
        <v>#N/A</v>
      </c>
      <c r="K274" s="29"/>
      <c r="P274" s="22"/>
      <c r="X274" s="22"/>
    </row>
    <row r="275" spans="10:24">
      <c r="J275" s="20" t="e">
        <f>VLOOKUP(G275,MD!M$2:O$93,3,FALSE)</f>
        <v>#N/A</v>
      </c>
      <c r="K275" s="29"/>
      <c r="P275" s="22"/>
      <c r="X275" s="22"/>
    </row>
    <row r="276" spans="10:24">
      <c r="J276" s="20" t="e">
        <f>VLOOKUP(G276,MD!M$2:O$93,3,FALSE)</f>
        <v>#N/A</v>
      </c>
      <c r="K276" s="29"/>
      <c r="P276" s="22"/>
      <c r="X276" s="22"/>
    </row>
    <row r="277" spans="10:24">
      <c r="J277" s="20" t="e">
        <f>VLOOKUP(G277,MD!M$2:O$93,3,FALSE)</f>
        <v>#N/A</v>
      </c>
      <c r="K277" s="29"/>
      <c r="P277" s="22"/>
      <c r="X277" s="22"/>
    </row>
    <row r="278" spans="10:24">
      <c r="J278" s="20" t="e">
        <f>VLOOKUP(G278,MD!M$2:O$93,3,FALSE)</f>
        <v>#N/A</v>
      </c>
      <c r="K278" s="29"/>
      <c r="P278" s="22"/>
      <c r="X278" s="22"/>
    </row>
    <row r="279" spans="10:24">
      <c r="J279" s="20" t="e">
        <f>VLOOKUP(G279,MD!M$2:O$93,3,FALSE)</f>
        <v>#N/A</v>
      </c>
      <c r="K279" s="29"/>
      <c r="P279" s="22"/>
      <c r="X279" s="22"/>
    </row>
    <row r="280" spans="10:24">
      <c r="J280" s="20" t="e">
        <f>VLOOKUP(G280,MD!M$2:O$93,3,FALSE)</f>
        <v>#N/A</v>
      </c>
      <c r="K280" s="29"/>
      <c r="P280" s="22"/>
      <c r="X280" s="22"/>
    </row>
    <row r="281" spans="10:24">
      <c r="J281" s="20" t="e">
        <f>VLOOKUP(G281,MD!M$2:O$93,3,FALSE)</f>
        <v>#N/A</v>
      </c>
      <c r="K281" s="29"/>
      <c r="P281" s="22"/>
      <c r="X281" s="22"/>
    </row>
    <row r="282" spans="10:24">
      <c r="J282" s="20" t="e">
        <f>VLOOKUP(G282,MD!M$2:O$93,3,FALSE)</f>
        <v>#N/A</v>
      </c>
      <c r="K282" s="29"/>
      <c r="P282" s="22"/>
      <c r="X282" s="22"/>
    </row>
    <row r="283" spans="10:24">
      <c r="J283" s="20" t="e">
        <f>VLOOKUP(G283,MD!M$2:O$93,3,FALSE)</f>
        <v>#N/A</v>
      </c>
      <c r="K283" s="29"/>
      <c r="P283" s="22"/>
      <c r="X283" s="22"/>
    </row>
    <row r="284" spans="10:24">
      <c r="J284" s="20" t="e">
        <f>VLOOKUP(G284,MD!M$2:O$93,3,FALSE)</f>
        <v>#N/A</v>
      </c>
      <c r="K284" s="29"/>
      <c r="P284" s="22"/>
      <c r="X284" s="22"/>
    </row>
    <row r="285" spans="10:24">
      <c r="J285" s="20" t="e">
        <f>VLOOKUP(G285,MD!M$2:O$93,3,FALSE)</f>
        <v>#N/A</v>
      </c>
      <c r="K285" s="29"/>
      <c r="P285" s="22"/>
      <c r="X285" s="22"/>
    </row>
    <row r="286" spans="10:24">
      <c r="J286" s="20" t="e">
        <f>VLOOKUP(G286,MD!M$2:O$93,3,FALSE)</f>
        <v>#N/A</v>
      </c>
      <c r="K286" s="29"/>
      <c r="P286" s="22"/>
      <c r="X286" s="22"/>
    </row>
    <row r="287" spans="10:24">
      <c r="J287" s="20" t="e">
        <f>VLOOKUP(G287,MD!M$2:O$93,3,FALSE)</f>
        <v>#N/A</v>
      </c>
      <c r="K287" s="29"/>
      <c r="P287" s="22"/>
      <c r="X287" s="22"/>
    </row>
    <row r="288" spans="10:24">
      <c r="J288" s="20" t="e">
        <f>VLOOKUP(G288,MD!M$2:O$93,3,FALSE)</f>
        <v>#N/A</v>
      </c>
      <c r="K288" s="29"/>
      <c r="P288" s="22"/>
      <c r="X288" s="22"/>
    </row>
    <row r="289" spans="10:24">
      <c r="J289" s="20" t="e">
        <f>VLOOKUP(G289,MD!M$2:O$93,3,FALSE)</f>
        <v>#N/A</v>
      </c>
      <c r="K289" s="29"/>
      <c r="P289" s="22"/>
      <c r="X289" s="22"/>
    </row>
    <row r="290" spans="10:24">
      <c r="J290" s="20" t="e">
        <f>VLOOKUP(G290,MD!M$2:O$93,3,FALSE)</f>
        <v>#N/A</v>
      </c>
      <c r="K290" s="29"/>
      <c r="P290" s="22"/>
      <c r="X290" s="22"/>
    </row>
    <row r="291" spans="10:24">
      <c r="J291" s="20" t="e">
        <f>VLOOKUP(G291,MD!M$2:O$93,3,FALSE)</f>
        <v>#N/A</v>
      </c>
      <c r="K291" s="29"/>
      <c r="P291" s="22"/>
      <c r="X291" s="22"/>
    </row>
    <row r="292" spans="10:24">
      <c r="J292" s="20" t="e">
        <f>VLOOKUP(G292,MD!M$2:O$93,3,FALSE)</f>
        <v>#N/A</v>
      </c>
      <c r="K292" s="29"/>
      <c r="P292" s="22"/>
      <c r="X292" s="22"/>
    </row>
    <row r="293" spans="10:24">
      <c r="J293" s="20" t="e">
        <f>VLOOKUP(G293,MD!M$2:O$93,3,FALSE)</f>
        <v>#N/A</v>
      </c>
      <c r="K293" s="29"/>
      <c r="P293" s="22"/>
      <c r="X293" s="22"/>
    </row>
    <row r="294" spans="10:24">
      <c r="J294" s="20" t="e">
        <f>VLOOKUP(G294,MD!M$2:O$93,3,FALSE)</f>
        <v>#N/A</v>
      </c>
      <c r="K294" s="29"/>
      <c r="P294" s="22"/>
      <c r="X294" s="22"/>
    </row>
    <row r="295" spans="10:24">
      <c r="J295" s="20" t="e">
        <f>VLOOKUP(G295,MD!M$2:O$93,3,FALSE)</f>
        <v>#N/A</v>
      </c>
      <c r="K295" s="29"/>
      <c r="P295" s="22"/>
      <c r="X295" s="22"/>
    </row>
    <row r="296" spans="10:24">
      <c r="J296" s="20" t="e">
        <f>VLOOKUP(G296,MD!M$2:O$93,3,FALSE)</f>
        <v>#N/A</v>
      </c>
      <c r="K296" s="29"/>
      <c r="P296" s="22"/>
      <c r="X296" s="22"/>
    </row>
    <row r="297" spans="10:24">
      <c r="J297" s="20" t="e">
        <f>VLOOKUP(G297,MD!M$2:O$93,3,FALSE)</f>
        <v>#N/A</v>
      </c>
      <c r="K297" s="29"/>
      <c r="P297" s="22"/>
      <c r="X297" s="22"/>
    </row>
    <row r="298" spans="10:24">
      <c r="J298" s="20" t="e">
        <f>VLOOKUP(G298,MD!M$2:O$93,3,FALSE)</f>
        <v>#N/A</v>
      </c>
      <c r="K298" s="29"/>
      <c r="P298" s="22"/>
      <c r="X298" s="22"/>
    </row>
    <row r="299" spans="10:24">
      <c r="J299" s="20" t="e">
        <f>VLOOKUP(G299,MD!M$2:O$93,3,FALSE)</f>
        <v>#N/A</v>
      </c>
      <c r="K299" s="29"/>
      <c r="P299" s="22"/>
      <c r="X299" s="22"/>
    </row>
    <row r="300" spans="10:24">
      <c r="J300" s="20" t="e">
        <f>VLOOKUP(G300,MD!M$2:O$93,3,FALSE)</f>
        <v>#N/A</v>
      </c>
      <c r="K300" s="29"/>
      <c r="P300" s="22"/>
      <c r="X300" s="22"/>
    </row>
    <row r="301" spans="10:24">
      <c r="J301" s="20" t="e">
        <f>VLOOKUP(G301,MD!M$2:O$93,3,FALSE)</f>
        <v>#N/A</v>
      </c>
      <c r="K301" s="29"/>
      <c r="P301" s="22"/>
      <c r="X301" s="22"/>
    </row>
    <row r="302" spans="10:24">
      <c r="J302" s="20" t="e">
        <f>VLOOKUP(G302,MD!M$2:O$93,3,FALSE)</f>
        <v>#N/A</v>
      </c>
      <c r="K302" s="29"/>
      <c r="P302" s="22"/>
      <c r="X302" s="22"/>
    </row>
    <row r="303" spans="10:24">
      <c r="J303" s="20" t="e">
        <f>VLOOKUP(G303,MD!M$2:O$93,3,FALSE)</f>
        <v>#N/A</v>
      </c>
      <c r="K303" s="29"/>
      <c r="P303" s="22"/>
      <c r="X303" s="22"/>
    </row>
    <row r="304" spans="10:24">
      <c r="J304" s="20" t="e">
        <f>VLOOKUP(G304,MD!M$2:O$93,3,FALSE)</f>
        <v>#N/A</v>
      </c>
      <c r="K304" s="29"/>
      <c r="P304" s="22"/>
      <c r="X304" s="22"/>
    </row>
    <row r="305" spans="10:24">
      <c r="J305" s="20" t="e">
        <f>VLOOKUP(G305,MD!M$2:O$93,3,FALSE)</f>
        <v>#N/A</v>
      </c>
      <c r="K305" s="29"/>
      <c r="P305" s="22"/>
      <c r="X305" s="22"/>
    </row>
    <row r="306" spans="10:24">
      <c r="J306" s="20" t="e">
        <f>VLOOKUP(G306,MD!M$2:O$93,3,FALSE)</f>
        <v>#N/A</v>
      </c>
      <c r="K306" s="29"/>
      <c r="P306" s="22"/>
      <c r="X306" s="22"/>
    </row>
    <row r="307" spans="10:24">
      <c r="J307" s="20" t="e">
        <f>VLOOKUP(G307,MD!M$2:O$93,3,FALSE)</f>
        <v>#N/A</v>
      </c>
      <c r="K307" s="29"/>
      <c r="P307" s="22"/>
      <c r="X307" s="22"/>
    </row>
    <row r="308" spans="10:24">
      <c r="J308" s="20" t="e">
        <f>VLOOKUP(G308,MD!M$2:O$93,3,FALSE)</f>
        <v>#N/A</v>
      </c>
      <c r="K308" s="29"/>
      <c r="P308" s="22"/>
      <c r="X308" s="22"/>
    </row>
    <row r="309" spans="10:24">
      <c r="J309" s="20" t="e">
        <f>VLOOKUP(G309,MD!M$2:O$93,3,FALSE)</f>
        <v>#N/A</v>
      </c>
      <c r="K309" s="29"/>
      <c r="P309" s="22"/>
      <c r="X309" s="22"/>
    </row>
    <row r="310" spans="10:24">
      <c r="J310" s="20" t="e">
        <f>VLOOKUP(G310,MD!M$2:O$93,3,FALSE)</f>
        <v>#N/A</v>
      </c>
      <c r="K310" s="29"/>
      <c r="P310" s="22"/>
      <c r="X310" s="22"/>
    </row>
    <row r="311" spans="10:24">
      <c r="J311" s="20" t="e">
        <f>VLOOKUP(G311,MD!M$2:O$93,3,FALSE)</f>
        <v>#N/A</v>
      </c>
      <c r="K311" s="29"/>
      <c r="P311" s="22"/>
      <c r="X311" s="22"/>
    </row>
    <row r="312" spans="10:24">
      <c r="J312" s="20" t="e">
        <f>VLOOKUP(G312,MD!M$2:O$93,3,FALSE)</f>
        <v>#N/A</v>
      </c>
      <c r="K312" s="29"/>
      <c r="P312" s="22"/>
      <c r="X312" s="22"/>
    </row>
    <row r="313" spans="10:24">
      <c r="J313" s="20" t="e">
        <f>VLOOKUP(G313,MD!M$2:O$93,3,FALSE)</f>
        <v>#N/A</v>
      </c>
      <c r="K313" s="29"/>
      <c r="P313" s="22"/>
      <c r="X313" s="22"/>
    </row>
    <row r="314" spans="10:24">
      <c r="J314" s="20" t="e">
        <f>VLOOKUP(G314,MD!M$2:O$93,3,FALSE)</f>
        <v>#N/A</v>
      </c>
      <c r="K314" s="29"/>
      <c r="P314" s="22"/>
      <c r="X314" s="22"/>
    </row>
    <row r="315" spans="10:24">
      <c r="J315" s="20" t="e">
        <f>VLOOKUP(G315,MD!M$2:O$93,3,FALSE)</f>
        <v>#N/A</v>
      </c>
      <c r="K315" s="29"/>
      <c r="P315" s="22"/>
      <c r="X315" s="22"/>
    </row>
    <row r="316" spans="10:24">
      <c r="J316" s="20" t="e">
        <f>VLOOKUP(G316,MD!M$2:O$93,3,FALSE)</f>
        <v>#N/A</v>
      </c>
      <c r="K316" s="29"/>
      <c r="P316" s="22"/>
      <c r="X316" s="22"/>
    </row>
    <row r="317" spans="10:24">
      <c r="J317" s="20" t="e">
        <f>VLOOKUP(G317,MD!M$2:O$93,3,FALSE)</f>
        <v>#N/A</v>
      </c>
      <c r="K317" s="29"/>
      <c r="P317" s="22"/>
      <c r="X317" s="22"/>
    </row>
    <row r="318" spans="10:24">
      <c r="J318" s="20" t="e">
        <f>VLOOKUP(G318,MD!M$2:O$93,3,FALSE)</f>
        <v>#N/A</v>
      </c>
      <c r="K318" s="29"/>
      <c r="P318" s="22"/>
      <c r="X318" s="22"/>
    </row>
    <row r="319" spans="10:24">
      <c r="J319" s="20" t="e">
        <f>VLOOKUP(G319,MD!M$2:O$93,3,FALSE)</f>
        <v>#N/A</v>
      </c>
      <c r="K319" s="29"/>
      <c r="P319" s="22"/>
      <c r="X319" s="22"/>
    </row>
    <row r="320" spans="10:24">
      <c r="J320" s="20" t="e">
        <f>VLOOKUP(G320,MD!M$2:O$93,3,FALSE)</f>
        <v>#N/A</v>
      </c>
      <c r="K320" s="29"/>
      <c r="P320" s="22"/>
      <c r="X320" s="22"/>
    </row>
    <row r="321" spans="10:24">
      <c r="J321" s="20" t="e">
        <f>VLOOKUP(G321,MD!M$2:O$93,3,FALSE)</f>
        <v>#N/A</v>
      </c>
      <c r="K321" s="29"/>
      <c r="P321" s="22"/>
      <c r="X321" s="22"/>
    </row>
    <row r="322" spans="10:24">
      <c r="J322" s="20" t="e">
        <f>VLOOKUP(G322,MD!M$2:O$93,3,FALSE)</f>
        <v>#N/A</v>
      </c>
      <c r="K322" s="29"/>
      <c r="P322" s="22"/>
      <c r="X322" s="22"/>
    </row>
    <row r="323" spans="10:24">
      <c r="J323" s="20" t="e">
        <f>VLOOKUP(G323,MD!M$2:O$93,3,FALSE)</f>
        <v>#N/A</v>
      </c>
      <c r="K323" s="29"/>
      <c r="P323" s="22"/>
      <c r="X323" s="22"/>
    </row>
    <row r="324" spans="10:24">
      <c r="J324" s="20" t="e">
        <f>VLOOKUP(G324,MD!M$2:O$93,3,FALSE)</f>
        <v>#N/A</v>
      </c>
      <c r="K324" s="29"/>
      <c r="P324" s="22"/>
      <c r="X324" s="22"/>
    </row>
    <row r="325" spans="10:24">
      <c r="J325" s="20" t="e">
        <f>VLOOKUP(G325,MD!M$2:O$93,3,FALSE)</f>
        <v>#N/A</v>
      </c>
      <c r="K325" s="29"/>
      <c r="P325" s="22"/>
      <c r="X325" s="22"/>
    </row>
    <row r="326" spans="10:24">
      <c r="J326" s="20" t="e">
        <f>VLOOKUP(G326,MD!M$2:O$93,3,FALSE)</f>
        <v>#N/A</v>
      </c>
      <c r="K326" s="29"/>
      <c r="P326" s="22"/>
      <c r="X326" s="22"/>
    </row>
    <row r="327" spans="10:24">
      <c r="J327" s="20" t="e">
        <f>VLOOKUP(G327,MD!M$2:O$93,3,FALSE)</f>
        <v>#N/A</v>
      </c>
      <c r="K327" s="29"/>
      <c r="P327" s="22"/>
      <c r="X327" s="22"/>
    </row>
    <row r="328" spans="10:24">
      <c r="J328" s="20" t="e">
        <f>VLOOKUP(G328,MD!M$2:O$93,3,FALSE)</f>
        <v>#N/A</v>
      </c>
      <c r="K328" s="29"/>
      <c r="P328" s="22"/>
      <c r="X328" s="22"/>
    </row>
    <row r="329" spans="10:24">
      <c r="J329" s="20" t="e">
        <f>VLOOKUP(G329,MD!M$2:O$93,3,FALSE)</f>
        <v>#N/A</v>
      </c>
      <c r="K329" s="29"/>
      <c r="P329" s="22"/>
      <c r="X329" s="22"/>
    </row>
    <row r="330" spans="10:24">
      <c r="J330" s="20" t="e">
        <f>VLOOKUP(G330,MD!M$2:O$93,3,FALSE)</f>
        <v>#N/A</v>
      </c>
      <c r="K330" s="29"/>
      <c r="P330" s="22"/>
      <c r="X330" s="22"/>
    </row>
    <row r="331" spans="10:24">
      <c r="J331" s="20" t="e">
        <f>VLOOKUP(G331,MD!M$2:O$93,3,FALSE)</f>
        <v>#N/A</v>
      </c>
      <c r="K331" s="29"/>
      <c r="P331" s="22"/>
      <c r="X331" s="22"/>
    </row>
    <row r="332" spans="10:24">
      <c r="J332" s="20" t="e">
        <f>VLOOKUP(G332,MD!M$2:O$93,3,FALSE)</f>
        <v>#N/A</v>
      </c>
      <c r="K332" s="29"/>
      <c r="P332" s="22"/>
      <c r="X332" s="22"/>
    </row>
    <row r="333" spans="10:24">
      <c r="J333" s="20" t="e">
        <f>VLOOKUP(G333,MD!M$2:O$93,3,FALSE)</f>
        <v>#N/A</v>
      </c>
      <c r="K333" s="29"/>
      <c r="P333" s="22"/>
      <c r="X333" s="22"/>
    </row>
    <row r="334" spans="10:24">
      <c r="J334" s="20" t="e">
        <f>VLOOKUP(G334,MD!M$2:O$93,3,FALSE)</f>
        <v>#N/A</v>
      </c>
      <c r="K334" s="29"/>
      <c r="P334" s="22"/>
      <c r="X334" s="22"/>
    </row>
    <row r="335" spans="10:24">
      <c r="J335" s="20" t="e">
        <f>VLOOKUP(G335,MD!M$2:O$93,3,FALSE)</f>
        <v>#N/A</v>
      </c>
      <c r="K335" s="29"/>
      <c r="P335" s="22"/>
      <c r="X335" s="22"/>
    </row>
    <row r="336" spans="10:24">
      <c r="J336" s="20" t="e">
        <f>VLOOKUP(G336,MD!M$2:O$93,3,FALSE)</f>
        <v>#N/A</v>
      </c>
      <c r="K336" s="29"/>
      <c r="P336" s="22"/>
      <c r="X336" s="22"/>
    </row>
    <row r="337" spans="10:24">
      <c r="J337" s="20" t="e">
        <f>VLOOKUP(G337,MD!M$2:O$93,3,FALSE)</f>
        <v>#N/A</v>
      </c>
      <c r="K337" s="29"/>
      <c r="P337" s="22"/>
      <c r="X337" s="22"/>
    </row>
    <row r="338" spans="10:24">
      <c r="J338" s="20" t="e">
        <f>VLOOKUP(G338,MD!M$2:O$93,3,FALSE)</f>
        <v>#N/A</v>
      </c>
      <c r="K338" s="29"/>
      <c r="P338" s="22"/>
      <c r="X338" s="22"/>
    </row>
    <row r="339" spans="10:24">
      <c r="J339" s="20" t="e">
        <f>VLOOKUP(G339,MD!M$2:O$93,3,FALSE)</f>
        <v>#N/A</v>
      </c>
      <c r="K339" s="29"/>
      <c r="P339" s="22"/>
      <c r="X339" s="22"/>
    </row>
    <row r="340" spans="10:24">
      <c r="J340" s="20" t="e">
        <f>VLOOKUP(G340,MD!M$2:O$93,3,FALSE)</f>
        <v>#N/A</v>
      </c>
      <c r="K340" s="29"/>
      <c r="P340" s="22"/>
      <c r="X340" s="22"/>
    </row>
    <row r="341" spans="10:24">
      <c r="J341" s="20" t="e">
        <f>VLOOKUP(G341,MD!M$2:O$93,3,FALSE)</f>
        <v>#N/A</v>
      </c>
      <c r="K341" s="29"/>
      <c r="P341" s="22"/>
      <c r="X341" s="22"/>
    </row>
    <row r="342" spans="10:24">
      <c r="J342" s="20" t="e">
        <f>VLOOKUP(G342,MD!M$2:O$93,3,FALSE)</f>
        <v>#N/A</v>
      </c>
      <c r="K342" s="29"/>
      <c r="P342" s="22"/>
      <c r="X342" s="22"/>
    </row>
    <row r="343" spans="10:24">
      <c r="J343" s="20" t="e">
        <f>VLOOKUP(G343,MD!M$2:O$93,3,FALSE)</f>
        <v>#N/A</v>
      </c>
      <c r="K343" s="29"/>
      <c r="P343" s="22"/>
      <c r="X343" s="22"/>
    </row>
    <row r="344" spans="10:24">
      <c r="J344" s="20" t="e">
        <f>VLOOKUP(G344,MD!M$2:O$93,3,FALSE)</f>
        <v>#N/A</v>
      </c>
      <c r="K344" s="29"/>
      <c r="P344" s="22"/>
      <c r="X344" s="22"/>
    </row>
    <row r="345" spans="10:24">
      <c r="J345" s="20" t="e">
        <f>VLOOKUP(G345,MD!M$2:O$93,3,FALSE)</f>
        <v>#N/A</v>
      </c>
      <c r="K345" s="29"/>
      <c r="P345" s="22"/>
      <c r="X345" s="22"/>
    </row>
    <row r="346" spans="10:24">
      <c r="J346" s="20" t="e">
        <f>VLOOKUP(G346,MD!M$2:O$93,3,FALSE)</f>
        <v>#N/A</v>
      </c>
      <c r="K346" s="29"/>
      <c r="P346" s="22"/>
      <c r="X346" s="22"/>
    </row>
    <row r="347" spans="10:24">
      <c r="J347" s="20" t="e">
        <f>VLOOKUP(G347,MD!M$2:O$93,3,FALSE)</f>
        <v>#N/A</v>
      </c>
      <c r="K347" s="29"/>
      <c r="P347" s="22"/>
      <c r="X347" s="22"/>
    </row>
    <row r="348" spans="10:24">
      <c r="J348" s="20" t="e">
        <f>VLOOKUP(G348,MD!M$2:O$93,3,FALSE)</f>
        <v>#N/A</v>
      </c>
      <c r="K348" s="29"/>
      <c r="P348" s="22"/>
      <c r="X348" s="22"/>
    </row>
    <row r="349" spans="10:24">
      <c r="J349" s="20" t="e">
        <f>VLOOKUP(G349,MD!M$2:O$93,3,FALSE)</f>
        <v>#N/A</v>
      </c>
      <c r="K349" s="29"/>
      <c r="P349" s="22"/>
      <c r="X349" s="22"/>
    </row>
    <row r="350" spans="10:24">
      <c r="J350" s="20" t="e">
        <f>VLOOKUP(G350,MD!M$2:O$93,3,FALSE)</f>
        <v>#N/A</v>
      </c>
      <c r="K350" s="29"/>
      <c r="P350" s="22"/>
      <c r="X350" s="22"/>
    </row>
    <row r="351" spans="10:24">
      <c r="J351" s="20" t="e">
        <f>VLOOKUP(G351,MD!M$2:O$93,3,FALSE)</f>
        <v>#N/A</v>
      </c>
      <c r="K351" s="29"/>
      <c r="P351" s="22"/>
      <c r="X351" s="22"/>
    </row>
    <row r="352" spans="10:24">
      <c r="J352" s="20" t="e">
        <f>VLOOKUP(G352,MD!M$2:O$93,3,FALSE)</f>
        <v>#N/A</v>
      </c>
      <c r="K352" s="29"/>
      <c r="P352" s="22"/>
      <c r="X352" s="22"/>
    </row>
    <row r="353" spans="10:24">
      <c r="J353" s="20" t="e">
        <f>VLOOKUP(G353,MD!M$2:O$93,3,FALSE)</f>
        <v>#N/A</v>
      </c>
      <c r="K353" s="29"/>
      <c r="P353" s="22"/>
      <c r="X353" s="22"/>
    </row>
    <row r="354" spans="10:24">
      <c r="J354" s="20" t="e">
        <f>VLOOKUP(G354,MD!M$2:O$93,3,FALSE)</f>
        <v>#N/A</v>
      </c>
      <c r="K354" s="29"/>
      <c r="P354" s="22"/>
      <c r="X354" s="22"/>
    </row>
    <row r="355" spans="10:24">
      <c r="J355" s="20" t="e">
        <f>VLOOKUP(G355,MD!M$2:O$93,3,FALSE)</f>
        <v>#N/A</v>
      </c>
      <c r="K355" s="29"/>
      <c r="P355" s="22"/>
      <c r="X355" s="22"/>
    </row>
    <row r="356" spans="10:24">
      <c r="J356" s="20" t="e">
        <f>VLOOKUP(G356,MD!M$2:O$93,3,FALSE)</f>
        <v>#N/A</v>
      </c>
      <c r="K356" s="29"/>
      <c r="P356" s="22"/>
      <c r="X356" s="22"/>
    </row>
    <row r="357" spans="10:24">
      <c r="J357" s="20" t="e">
        <f>VLOOKUP(G357,MD!M$2:O$93,3,FALSE)</f>
        <v>#N/A</v>
      </c>
      <c r="K357" s="29"/>
      <c r="P357" s="22"/>
      <c r="X357" s="22"/>
    </row>
    <row r="358" spans="10:24">
      <c r="J358" s="20" t="e">
        <f>VLOOKUP(G358,MD!M$2:O$93,3,FALSE)</f>
        <v>#N/A</v>
      </c>
      <c r="K358" s="29"/>
      <c r="P358" s="22"/>
      <c r="X358" s="22"/>
    </row>
    <row r="359" spans="10:24">
      <c r="J359" s="20" t="e">
        <f>VLOOKUP(G359,MD!M$2:O$93,3,FALSE)</f>
        <v>#N/A</v>
      </c>
      <c r="K359" s="29"/>
      <c r="P359" s="22"/>
      <c r="X359" s="22"/>
    </row>
    <row r="360" spans="10:24">
      <c r="J360" s="20" t="e">
        <f>VLOOKUP(G360,MD!M$2:O$93,3,FALSE)</f>
        <v>#N/A</v>
      </c>
      <c r="K360" s="29"/>
      <c r="P360" s="22"/>
      <c r="X360" s="22"/>
    </row>
    <row r="361" spans="10:24">
      <c r="J361" s="20" t="e">
        <f>VLOOKUP(G361,MD!M$2:O$93,3,FALSE)</f>
        <v>#N/A</v>
      </c>
      <c r="K361" s="29"/>
      <c r="P361" s="22"/>
      <c r="X361" s="22"/>
    </row>
    <row r="362" spans="10:24">
      <c r="J362" s="20" t="e">
        <f>VLOOKUP(G362,MD!M$2:O$93,3,FALSE)</f>
        <v>#N/A</v>
      </c>
      <c r="K362" s="29"/>
      <c r="P362" s="22"/>
      <c r="X362" s="22"/>
    </row>
    <row r="363" spans="10:24">
      <c r="J363" s="20" t="e">
        <f>VLOOKUP(G363,MD!M$2:O$93,3,FALSE)</f>
        <v>#N/A</v>
      </c>
      <c r="K363" s="29"/>
      <c r="P363" s="22"/>
      <c r="X363" s="22"/>
    </row>
    <row r="364" spans="10:24">
      <c r="J364" s="20" t="e">
        <f>VLOOKUP(G364,MD!M$2:O$93,3,FALSE)</f>
        <v>#N/A</v>
      </c>
      <c r="K364" s="29"/>
      <c r="P364" s="22"/>
      <c r="X364" s="22"/>
    </row>
    <row r="365" spans="10:24">
      <c r="J365" s="20" t="e">
        <f>VLOOKUP(G365,MD!M$2:O$93,3,FALSE)</f>
        <v>#N/A</v>
      </c>
      <c r="K365" s="29"/>
      <c r="P365" s="22"/>
      <c r="X365" s="22"/>
    </row>
    <row r="366" spans="10:24">
      <c r="J366" s="20" t="e">
        <f>VLOOKUP(G366,MD!M$2:O$93,3,FALSE)</f>
        <v>#N/A</v>
      </c>
      <c r="K366" s="29"/>
      <c r="P366" s="22"/>
      <c r="X366" s="22"/>
    </row>
    <row r="367" spans="10:24">
      <c r="J367" s="20" t="e">
        <f>VLOOKUP(G367,MD!M$2:O$93,3,FALSE)</f>
        <v>#N/A</v>
      </c>
      <c r="K367" s="29"/>
      <c r="P367" s="22"/>
      <c r="X367" s="22"/>
    </row>
    <row r="368" spans="10:24">
      <c r="J368" s="20" t="e">
        <f>VLOOKUP(G368,MD!M$2:O$93,3,FALSE)</f>
        <v>#N/A</v>
      </c>
      <c r="K368" s="29"/>
      <c r="P368" s="22"/>
      <c r="X368" s="22"/>
    </row>
    <row r="369" spans="10:24">
      <c r="J369" s="20" t="e">
        <f>VLOOKUP(G369,MD!M$2:O$93,3,FALSE)</f>
        <v>#N/A</v>
      </c>
      <c r="K369" s="29"/>
      <c r="P369" s="22"/>
      <c r="X369" s="22"/>
    </row>
    <row r="370" spans="10:24">
      <c r="J370" s="20" t="e">
        <f>VLOOKUP(G370,MD!M$2:O$93,3,FALSE)</f>
        <v>#N/A</v>
      </c>
      <c r="K370" s="29"/>
      <c r="P370" s="22"/>
      <c r="X370" s="22"/>
    </row>
    <row r="371" spans="10:24">
      <c r="J371" s="20" t="e">
        <f>VLOOKUP(G371,MD!M$2:O$93,3,FALSE)</f>
        <v>#N/A</v>
      </c>
      <c r="K371" s="29"/>
      <c r="P371" s="22"/>
      <c r="X371" s="22"/>
    </row>
    <row r="372" spans="10:24">
      <c r="J372" s="20" t="e">
        <f>VLOOKUP(G372,MD!M$2:O$93,3,FALSE)</f>
        <v>#N/A</v>
      </c>
      <c r="K372" s="29"/>
      <c r="P372" s="22"/>
      <c r="X372" s="22"/>
    </row>
    <row r="373" spans="10:24">
      <c r="J373" s="20" t="e">
        <f>VLOOKUP(G373,MD!M$2:O$93,3,FALSE)</f>
        <v>#N/A</v>
      </c>
      <c r="K373" s="29"/>
      <c r="P373" s="22"/>
      <c r="X373" s="22"/>
    </row>
    <row r="374" spans="10:24">
      <c r="J374" s="20" t="e">
        <f>VLOOKUP(G374,MD!M$2:O$93,3,FALSE)</f>
        <v>#N/A</v>
      </c>
      <c r="K374" s="29"/>
      <c r="P374" s="22"/>
      <c r="X374" s="22"/>
    </row>
    <row r="375" spans="10:24">
      <c r="J375" s="20" t="e">
        <f>VLOOKUP(G375,MD!M$2:O$93,3,FALSE)</f>
        <v>#N/A</v>
      </c>
      <c r="K375" s="29"/>
      <c r="P375" s="22"/>
      <c r="X375" s="22"/>
    </row>
    <row r="376" spans="10:24">
      <c r="J376" s="20" t="e">
        <f>VLOOKUP(G376,MD!M$2:O$93,3,FALSE)</f>
        <v>#N/A</v>
      </c>
      <c r="K376" s="29"/>
      <c r="P376" s="22"/>
      <c r="X376" s="22"/>
    </row>
    <row r="377" spans="10:24">
      <c r="J377" s="20" t="e">
        <f>VLOOKUP(G377,MD!M$2:O$93,3,FALSE)</f>
        <v>#N/A</v>
      </c>
      <c r="K377" s="29"/>
      <c r="P377" s="22"/>
      <c r="X377" s="22"/>
    </row>
    <row r="378" spans="10:24">
      <c r="J378" s="20" t="e">
        <f>VLOOKUP(G378,MD!M$2:O$93,3,FALSE)</f>
        <v>#N/A</v>
      </c>
      <c r="K378" s="29"/>
      <c r="P378" s="22"/>
      <c r="X378" s="22"/>
    </row>
    <row r="379" spans="10:24">
      <c r="J379" s="20" t="e">
        <f>VLOOKUP(G379,MD!M$2:O$93,3,FALSE)</f>
        <v>#N/A</v>
      </c>
      <c r="K379" s="29"/>
      <c r="P379" s="22"/>
      <c r="X379" s="22"/>
    </row>
    <row r="380" spans="10:24">
      <c r="J380" s="20" t="e">
        <f>VLOOKUP(G380,MD!M$2:O$93,3,FALSE)</f>
        <v>#N/A</v>
      </c>
      <c r="K380" s="29"/>
      <c r="P380" s="22"/>
      <c r="X380" s="22"/>
    </row>
    <row r="381" spans="10:24">
      <c r="J381" s="20" t="e">
        <f>VLOOKUP(G381,MD!M$2:O$93,3,FALSE)</f>
        <v>#N/A</v>
      </c>
      <c r="K381" s="29"/>
      <c r="P381" s="22"/>
      <c r="X381" s="22"/>
    </row>
    <row r="382" spans="10:24">
      <c r="J382" s="20" t="e">
        <f>VLOOKUP(G382,MD!M$2:O$93,3,FALSE)</f>
        <v>#N/A</v>
      </c>
      <c r="K382" s="29"/>
      <c r="P382" s="22"/>
      <c r="X382" s="22"/>
    </row>
    <row r="383" spans="10:24">
      <c r="J383" s="20" t="e">
        <f>VLOOKUP(G383,MD!M$2:O$93,3,FALSE)</f>
        <v>#N/A</v>
      </c>
      <c r="K383" s="29"/>
      <c r="P383" s="22"/>
      <c r="X383" s="22"/>
    </row>
    <row r="384" spans="10:24">
      <c r="J384" s="20" t="e">
        <f>VLOOKUP(G384,MD!M$2:O$93,3,FALSE)</f>
        <v>#N/A</v>
      </c>
      <c r="K384" s="29"/>
      <c r="P384" s="22"/>
      <c r="X384" s="22"/>
    </row>
    <row r="385" spans="10:24">
      <c r="J385" s="20" t="e">
        <f>VLOOKUP(G385,MD!M$2:O$93,3,FALSE)</f>
        <v>#N/A</v>
      </c>
      <c r="K385" s="29"/>
      <c r="P385" s="22"/>
      <c r="X385" s="22"/>
    </row>
    <row r="386" spans="10:24">
      <c r="J386" s="20" t="e">
        <f>VLOOKUP(G386,MD!M$2:O$93,3,FALSE)</f>
        <v>#N/A</v>
      </c>
      <c r="K386" s="29"/>
      <c r="P386" s="22"/>
      <c r="X386" s="22"/>
    </row>
    <row r="387" spans="10:24">
      <c r="J387" s="20" t="e">
        <f>VLOOKUP(G387,MD!M$2:O$93,3,FALSE)</f>
        <v>#N/A</v>
      </c>
      <c r="K387" s="29"/>
      <c r="P387" s="22"/>
      <c r="X387" s="22"/>
    </row>
    <row r="388" spans="10:24">
      <c r="J388" s="20" t="e">
        <f>VLOOKUP(G388,MD!M$2:O$93,3,FALSE)</f>
        <v>#N/A</v>
      </c>
      <c r="K388" s="29"/>
      <c r="P388" s="22"/>
      <c r="X388" s="22"/>
    </row>
    <row r="389" spans="10:24">
      <c r="J389" s="20" t="e">
        <f>VLOOKUP(G389,MD!M$2:O$93,3,FALSE)</f>
        <v>#N/A</v>
      </c>
      <c r="K389" s="29"/>
      <c r="P389" s="22"/>
      <c r="X389" s="22"/>
    </row>
    <row r="390" spans="10:24">
      <c r="J390" s="20" t="e">
        <f>VLOOKUP(G390,MD!M$2:O$93,3,FALSE)</f>
        <v>#N/A</v>
      </c>
      <c r="K390" s="29"/>
      <c r="P390" s="22"/>
      <c r="X390" s="22"/>
    </row>
    <row r="391" spans="10:24">
      <c r="J391" s="20" t="e">
        <f>VLOOKUP(G391,MD!M$2:O$93,3,FALSE)</f>
        <v>#N/A</v>
      </c>
      <c r="K391" s="29"/>
      <c r="P391" s="22"/>
      <c r="X391" s="22"/>
    </row>
    <row r="392" spans="10:24">
      <c r="J392" s="20" t="e">
        <f>VLOOKUP(G392,MD!M$2:O$93,3,FALSE)</f>
        <v>#N/A</v>
      </c>
      <c r="K392" s="29"/>
      <c r="P392" s="22"/>
      <c r="X392" s="22"/>
    </row>
    <row r="393" spans="10:24">
      <c r="J393" s="20" t="e">
        <f>VLOOKUP(G393,MD!M$2:O$93,3,FALSE)</f>
        <v>#N/A</v>
      </c>
      <c r="K393" s="29"/>
      <c r="P393" s="22"/>
      <c r="X393" s="22"/>
    </row>
    <row r="394" spans="10:24">
      <c r="J394" s="20" t="e">
        <f>VLOOKUP(G394,MD!M$2:O$93,3,FALSE)</f>
        <v>#N/A</v>
      </c>
      <c r="K394" s="29"/>
      <c r="P394" s="22"/>
      <c r="X394" s="22"/>
    </row>
    <row r="395" spans="10:24">
      <c r="J395" s="20" t="e">
        <f>VLOOKUP(G395,MD!M$2:O$93,3,FALSE)</f>
        <v>#N/A</v>
      </c>
      <c r="K395" s="29"/>
      <c r="P395" s="22"/>
      <c r="X395" s="22"/>
    </row>
    <row r="396" spans="10:24">
      <c r="J396" s="20" t="e">
        <f>VLOOKUP(G396,MD!M$2:O$93,3,FALSE)</f>
        <v>#N/A</v>
      </c>
      <c r="K396" s="29"/>
      <c r="P396" s="22"/>
      <c r="X396" s="22"/>
    </row>
    <row r="397" spans="10:24">
      <c r="J397" s="20" t="e">
        <f>VLOOKUP(G397,MD!M$2:O$93,3,FALSE)</f>
        <v>#N/A</v>
      </c>
      <c r="K397" s="29"/>
      <c r="P397" s="22"/>
      <c r="X397" s="22"/>
    </row>
    <row r="398" spans="10:24">
      <c r="J398" s="20" t="e">
        <f>VLOOKUP(G398,MD!M$2:O$93,3,FALSE)</f>
        <v>#N/A</v>
      </c>
      <c r="K398" s="29"/>
      <c r="P398" s="22"/>
      <c r="X398" s="22"/>
    </row>
    <row r="399" spans="10:24">
      <c r="J399" s="20" t="e">
        <f>VLOOKUP(G399,MD!M$2:O$93,3,FALSE)</f>
        <v>#N/A</v>
      </c>
      <c r="K399" s="29"/>
      <c r="P399" s="22"/>
      <c r="X399" s="22"/>
    </row>
    <row r="400" spans="10:24">
      <c r="J400" s="20" t="e">
        <f>VLOOKUP(G400,MD!M$2:O$93,3,FALSE)</f>
        <v>#N/A</v>
      </c>
      <c r="K400" s="29"/>
      <c r="P400" s="22"/>
      <c r="X400" s="22"/>
    </row>
    <row r="401" spans="10:24">
      <c r="J401" s="20" t="e">
        <f>VLOOKUP(G401,MD!M$2:O$93,3,FALSE)</f>
        <v>#N/A</v>
      </c>
      <c r="K401" s="29"/>
      <c r="P401" s="22"/>
      <c r="X401" s="22"/>
    </row>
    <row r="402" spans="10:24">
      <c r="J402" s="20" t="e">
        <f>VLOOKUP(G402,MD!M$2:O$93,3,FALSE)</f>
        <v>#N/A</v>
      </c>
      <c r="K402" s="29"/>
      <c r="P402" s="22"/>
      <c r="X402" s="22"/>
    </row>
    <row r="403" spans="10:24">
      <c r="J403" s="20" t="e">
        <f>VLOOKUP(G403,MD!M$2:O$93,3,FALSE)</f>
        <v>#N/A</v>
      </c>
      <c r="K403" s="29"/>
      <c r="P403" s="22"/>
      <c r="X403" s="22"/>
    </row>
    <row r="404" spans="10:24">
      <c r="J404" s="20" t="e">
        <f>VLOOKUP(G404,MD!M$2:O$93,3,FALSE)</f>
        <v>#N/A</v>
      </c>
      <c r="K404" s="29"/>
      <c r="P404" s="22"/>
      <c r="X404" s="22"/>
    </row>
    <row r="405" spans="10:24">
      <c r="J405" s="20" t="e">
        <f>VLOOKUP(G405,MD!M$2:O$93,3,FALSE)</f>
        <v>#N/A</v>
      </c>
      <c r="K405" s="29"/>
      <c r="P405" s="22"/>
      <c r="X405" s="22"/>
    </row>
    <row r="406" spans="10:24">
      <c r="J406" s="20" t="e">
        <f>VLOOKUP(G406,MD!M$2:O$93,3,FALSE)</f>
        <v>#N/A</v>
      </c>
      <c r="K406" s="29"/>
      <c r="P406" s="22"/>
      <c r="X406" s="22"/>
    </row>
    <row r="407" spans="10:24">
      <c r="J407" s="20" t="e">
        <f>VLOOKUP(G407,MD!M$2:O$93,3,FALSE)</f>
        <v>#N/A</v>
      </c>
      <c r="K407" s="29"/>
      <c r="P407" s="22"/>
      <c r="X407" s="22"/>
    </row>
    <row r="408" spans="10:24">
      <c r="J408" s="20" t="e">
        <f>VLOOKUP(G408,MD!M$2:O$93,3,FALSE)</f>
        <v>#N/A</v>
      </c>
      <c r="K408" s="29"/>
      <c r="P408" s="22"/>
      <c r="X408" s="22"/>
    </row>
    <row r="409" spans="10:24">
      <c r="J409" s="20" t="e">
        <f>VLOOKUP(G409,MD!M$2:O$93,3,FALSE)</f>
        <v>#N/A</v>
      </c>
      <c r="K409" s="29"/>
      <c r="P409" s="22"/>
      <c r="X409" s="22"/>
    </row>
    <row r="410" spans="10:24">
      <c r="J410" s="20" t="e">
        <f>VLOOKUP(G410,MD!M$2:O$93,3,FALSE)</f>
        <v>#N/A</v>
      </c>
      <c r="K410" s="29"/>
      <c r="P410" s="22"/>
      <c r="X410" s="22"/>
    </row>
    <row r="411" spans="10:24">
      <c r="J411" s="20" t="e">
        <f>VLOOKUP(G411,MD!M$2:O$93,3,FALSE)</f>
        <v>#N/A</v>
      </c>
      <c r="K411" s="29"/>
      <c r="P411" s="22"/>
      <c r="X411" s="22"/>
    </row>
    <row r="412" spans="10:24">
      <c r="J412" s="20" t="e">
        <f>VLOOKUP(G412,MD!M$2:O$93,3,FALSE)</f>
        <v>#N/A</v>
      </c>
      <c r="K412" s="29"/>
      <c r="P412" s="22"/>
      <c r="X412" s="22"/>
    </row>
    <row r="413" spans="10:24">
      <c r="J413" s="20" t="e">
        <f>VLOOKUP(G413,MD!M$2:O$93,3,FALSE)</f>
        <v>#N/A</v>
      </c>
      <c r="K413" s="29"/>
      <c r="P413" s="22"/>
      <c r="X413" s="22"/>
    </row>
    <row r="414" spans="10:24">
      <c r="J414" s="20" t="e">
        <f>VLOOKUP(G414,MD!M$2:O$93,3,FALSE)</f>
        <v>#N/A</v>
      </c>
      <c r="K414" s="29"/>
      <c r="P414" s="22"/>
      <c r="X414" s="22"/>
    </row>
    <row r="415" spans="10:24">
      <c r="J415" s="20" t="e">
        <f>VLOOKUP(G415,MD!M$2:O$93,3,FALSE)</f>
        <v>#N/A</v>
      </c>
      <c r="K415" s="29"/>
      <c r="P415" s="22"/>
      <c r="X415" s="22"/>
    </row>
    <row r="416" spans="10:24">
      <c r="J416" s="20" t="e">
        <f>VLOOKUP(G416,MD!M$2:O$93,3,FALSE)</f>
        <v>#N/A</v>
      </c>
      <c r="K416" s="29"/>
      <c r="P416" s="22"/>
      <c r="X416" s="22"/>
    </row>
    <row r="417" spans="10:24">
      <c r="J417" s="20" t="e">
        <f>VLOOKUP(G417,MD!M$2:O$93,3,FALSE)</f>
        <v>#N/A</v>
      </c>
      <c r="K417" s="29"/>
      <c r="P417" s="22"/>
      <c r="X417" s="22"/>
    </row>
    <row r="418" spans="10:24">
      <c r="J418" s="20" t="e">
        <f>VLOOKUP(G418,MD!M$2:O$93,3,FALSE)</f>
        <v>#N/A</v>
      </c>
      <c r="K418" s="29"/>
      <c r="P418" s="22"/>
      <c r="X418" s="22"/>
    </row>
    <row r="419" spans="10:24">
      <c r="J419" s="20" t="e">
        <f>VLOOKUP(G419,MD!M$2:O$93,3,FALSE)</f>
        <v>#N/A</v>
      </c>
      <c r="K419" s="29"/>
      <c r="P419" s="22"/>
      <c r="X419" s="22"/>
    </row>
    <row r="420" spans="10:24">
      <c r="J420" s="20" t="e">
        <f>VLOOKUP(G420,MD!M$2:O$93,3,FALSE)</f>
        <v>#N/A</v>
      </c>
      <c r="K420" s="29"/>
      <c r="P420" s="22"/>
      <c r="X420" s="22"/>
    </row>
    <row r="421" spans="10:24">
      <c r="J421" s="20" t="e">
        <f>VLOOKUP(G421,MD!M$2:O$93,3,FALSE)</f>
        <v>#N/A</v>
      </c>
      <c r="K421" s="29"/>
      <c r="P421" s="22"/>
      <c r="X421" s="22"/>
    </row>
    <row r="422" spans="10:24">
      <c r="J422" s="20" t="e">
        <f>VLOOKUP(G422,MD!M$2:O$93,3,FALSE)</f>
        <v>#N/A</v>
      </c>
      <c r="K422" s="29"/>
      <c r="P422" s="22"/>
      <c r="X422" s="22"/>
    </row>
    <row r="423" spans="10:24">
      <c r="J423" s="20" t="e">
        <f>VLOOKUP(G423,MD!M$2:O$93,3,FALSE)</f>
        <v>#N/A</v>
      </c>
      <c r="K423" s="29"/>
      <c r="P423" s="22"/>
      <c r="X423" s="22"/>
    </row>
    <row r="424" spans="10:24">
      <c r="J424" s="20" t="e">
        <f>VLOOKUP(G424,MD!M$2:O$93,3,FALSE)</f>
        <v>#N/A</v>
      </c>
      <c r="K424" s="29"/>
      <c r="P424" s="22"/>
      <c r="X424" s="22"/>
    </row>
    <row r="425" spans="10:24">
      <c r="J425" s="20" t="e">
        <f>VLOOKUP(G425,MD!M$2:O$93,3,FALSE)</f>
        <v>#N/A</v>
      </c>
      <c r="K425" s="29"/>
      <c r="P425" s="22"/>
      <c r="X425" s="22"/>
    </row>
    <row r="426" spans="10:24">
      <c r="J426" s="20" t="e">
        <f>VLOOKUP(G426,MD!M$2:O$93,3,FALSE)</f>
        <v>#N/A</v>
      </c>
      <c r="K426" s="29"/>
      <c r="P426" s="22"/>
      <c r="X426" s="22"/>
    </row>
    <row r="427" spans="10:24">
      <c r="J427" s="20" t="e">
        <f>VLOOKUP(G427,MD!M$2:O$93,3,FALSE)</f>
        <v>#N/A</v>
      </c>
      <c r="K427" s="29"/>
      <c r="P427" s="22"/>
      <c r="X427" s="22"/>
    </row>
    <row r="428" spans="10:24">
      <c r="J428" s="20" t="e">
        <f>VLOOKUP(G428,MD!M$2:O$93,3,FALSE)</f>
        <v>#N/A</v>
      </c>
      <c r="K428" s="29"/>
      <c r="P428" s="22"/>
      <c r="X428" s="22"/>
    </row>
    <row r="429" spans="10:24">
      <c r="J429" s="20" t="e">
        <f>VLOOKUP(G429,MD!M$2:O$93,3,FALSE)</f>
        <v>#N/A</v>
      </c>
      <c r="K429" s="29"/>
      <c r="P429" s="22"/>
      <c r="X429" s="22"/>
    </row>
    <row r="430" spans="10:24">
      <c r="J430" s="20" t="e">
        <f>VLOOKUP(G430,MD!M$2:O$93,3,FALSE)</f>
        <v>#N/A</v>
      </c>
      <c r="K430" s="29"/>
      <c r="P430" s="22"/>
      <c r="X430" s="22"/>
    </row>
    <row r="431" spans="10:24">
      <c r="J431" s="20" t="e">
        <f>VLOOKUP(G431,MD!M$2:O$93,3,FALSE)</f>
        <v>#N/A</v>
      </c>
      <c r="K431" s="29"/>
      <c r="P431" s="22"/>
      <c r="X431" s="22"/>
    </row>
    <row r="432" spans="10:24">
      <c r="J432" s="20" t="e">
        <f>VLOOKUP(G432,MD!M$2:O$93,3,FALSE)</f>
        <v>#N/A</v>
      </c>
      <c r="K432" s="29"/>
      <c r="P432" s="22"/>
      <c r="X432" s="22"/>
    </row>
    <row r="433" spans="10:24">
      <c r="J433" s="20" t="e">
        <f>VLOOKUP(G433,MD!M$2:O$93,3,FALSE)</f>
        <v>#N/A</v>
      </c>
      <c r="K433" s="29"/>
      <c r="P433" s="22"/>
      <c r="X433" s="22"/>
    </row>
    <row r="434" spans="10:24">
      <c r="J434" s="20" t="e">
        <f>VLOOKUP(G434,MD!M$2:O$93,3,FALSE)</f>
        <v>#N/A</v>
      </c>
      <c r="K434" s="29"/>
      <c r="P434" s="22"/>
      <c r="X434" s="22"/>
    </row>
    <row r="435" spans="10:24">
      <c r="J435" s="20" t="e">
        <f>VLOOKUP(G435,MD!M$2:O$93,3,FALSE)</f>
        <v>#N/A</v>
      </c>
      <c r="K435" s="29"/>
      <c r="P435" s="22"/>
      <c r="X435" s="22"/>
    </row>
    <row r="436" spans="10:24">
      <c r="J436" s="20" t="e">
        <f>VLOOKUP(G436,MD!M$2:O$93,3,FALSE)</f>
        <v>#N/A</v>
      </c>
      <c r="K436" s="29"/>
      <c r="P436" s="22"/>
      <c r="X436" s="22"/>
    </row>
    <row r="437" spans="10:24">
      <c r="J437" s="20" t="e">
        <f>VLOOKUP(G437,MD!M$2:O$93,3,FALSE)</f>
        <v>#N/A</v>
      </c>
      <c r="K437" s="29"/>
      <c r="P437" s="22"/>
      <c r="X437" s="22"/>
    </row>
    <row r="438" spans="10:24">
      <c r="J438" s="20" t="e">
        <f>VLOOKUP(G438,MD!M$2:O$93,3,FALSE)</f>
        <v>#N/A</v>
      </c>
      <c r="K438" s="29"/>
      <c r="P438" s="22"/>
      <c r="X438" s="22"/>
    </row>
    <row r="439" spans="10:24">
      <c r="J439" s="20" t="e">
        <f>VLOOKUP(G439,MD!M$2:O$93,3,FALSE)</f>
        <v>#N/A</v>
      </c>
      <c r="K439" s="29"/>
      <c r="P439" s="22"/>
      <c r="X439" s="22"/>
    </row>
    <row r="440" spans="10:24">
      <c r="J440" s="20" t="e">
        <f>VLOOKUP(G440,MD!M$2:O$93,3,FALSE)</f>
        <v>#N/A</v>
      </c>
      <c r="K440" s="29"/>
      <c r="P440" s="22"/>
      <c r="X440" s="22"/>
    </row>
    <row r="441" spans="10:24">
      <c r="J441" s="20" t="e">
        <f>VLOOKUP(G441,MD!M$2:O$93,3,FALSE)</f>
        <v>#N/A</v>
      </c>
      <c r="K441" s="29"/>
      <c r="P441" s="22"/>
      <c r="X441" s="22"/>
    </row>
    <row r="442" spans="10:24">
      <c r="J442" s="20" t="e">
        <f>VLOOKUP(G442,MD!M$2:O$93,3,FALSE)</f>
        <v>#N/A</v>
      </c>
      <c r="K442" s="29"/>
      <c r="P442" s="22"/>
      <c r="X442" s="22"/>
    </row>
    <row r="443" spans="10:24">
      <c r="J443" s="20" t="e">
        <f>VLOOKUP(G443,MD!M$2:O$93,3,FALSE)</f>
        <v>#N/A</v>
      </c>
      <c r="K443" s="29"/>
      <c r="P443" s="22"/>
      <c r="X443" s="22"/>
    </row>
    <row r="444" spans="10:24">
      <c r="J444" s="20" t="e">
        <f>VLOOKUP(G444,MD!M$2:O$93,3,FALSE)</f>
        <v>#N/A</v>
      </c>
      <c r="K444" s="29"/>
      <c r="P444" s="22"/>
      <c r="X444" s="22"/>
    </row>
    <row r="445" spans="10:24">
      <c r="J445" s="20" t="e">
        <f>VLOOKUP(G445,MD!M$2:O$93,3,FALSE)</f>
        <v>#N/A</v>
      </c>
      <c r="K445" s="29"/>
      <c r="P445" s="22"/>
      <c r="X445" s="22"/>
    </row>
    <row r="446" spans="10:24">
      <c r="J446" s="20" t="e">
        <f>VLOOKUP(G446,MD!M$2:O$93,3,FALSE)</f>
        <v>#N/A</v>
      </c>
      <c r="K446" s="29"/>
      <c r="P446" s="22"/>
      <c r="X446" s="22"/>
    </row>
    <row r="447" spans="10:24">
      <c r="J447" s="20" t="e">
        <f>VLOOKUP(G447,MD!M$2:O$93,3,FALSE)</f>
        <v>#N/A</v>
      </c>
      <c r="K447" s="29"/>
      <c r="P447" s="22"/>
      <c r="X447" s="22"/>
    </row>
    <row r="448" spans="10:24">
      <c r="J448" s="20" t="e">
        <f>VLOOKUP(G448,MD!M$2:O$93,3,FALSE)</f>
        <v>#N/A</v>
      </c>
      <c r="K448" s="29"/>
      <c r="P448" s="22"/>
      <c r="X448" s="22"/>
    </row>
    <row r="449" spans="10:24">
      <c r="J449" s="20" t="e">
        <f>VLOOKUP(G449,MD!M$2:O$93,3,FALSE)</f>
        <v>#N/A</v>
      </c>
      <c r="K449" s="29"/>
      <c r="P449" s="22"/>
      <c r="X449" s="22"/>
    </row>
    <row r="450" spans="10:24">
      <c r="J450" s="20" t="e">
        <f>VLOOKUP(G450,MD!M$2:O$93,3,FALSE)</f>
        <v>#N/A</v>
      </c>
      <c r="K450" s="29"/>
      <c r="P450" s="22"/>
      <c r="X450" s="22"/>
    </row>
    <row r="451" spans="10:24">
      <c r="J451" s="20" t="e">
        <f>VLOOKUP(G451,MD!M$2:O$93,3,FALSE)</f>
        <v>#N/A</v>
      </c>
      <c r="K451" s="29"/>
      <c r="P451" s="22"/>
      <c r="X451" s="22"/>
    </row>
    <row r="452" spans="10:24">
      <c r="J452" s="20" t="e">
        <f>VLOOKUP(G452,MD!M$2:O$93,3,FALSE)</f>
        <v>#N/A</v>
      </c>
      <c r="K452" s="29"/>
      <c r="P452" s="22"/>
      <c r="X452" s="22"/>
    </row>
    <row r="453" spans="10:24">
      <c r="J453" s="20" t="e">
        <f>VLOOKUP(G453,MD!M$2:O$93,3,FALSE)</f>
        <v>#N/A</v>
      </c>
      <c r="K453" s="29"/>
      <c r="P453" s="22"/>
      <c r="X453" s="22"/>
    </row>
    <row r="454" spans="10:24">
      <c r="J454" s="20" t="e">
        <f>VLOOKUP(G454,MD!M$2:O$93,3,FALSE)</f>
        <v>#N/A</v>
      </c>
      <c r="K454" s="29"/>
      <c r="P454" s="22"/>
      <c r="X454" s="22"/>
    </row>
    <row r="455" spans="10:24">
      <c r="J455" s="20" t="e">
        <f>VLOOKUP(G455,MD!M$2:O$93,3,FALSE)</f>
        <v>#N/A</v>
      </c>
      <c r="K455" s="29"/>
      <c r="P455" s="22"/>
      <c r="X455" s="22"/>
    </row>
    <row r="456" spans="10:24">
      <c r="J456" s="20" t="e">
        <f>VLOOKUP(G456,MD!M$2:O$93,3,FALSE)</f>
        <v>#N/A</v>
      </c>
      <c r="K456" s="29"/>
      <c r="P456" s="22"/>
      <c r="X456" s="22"/>
    </row>
    <row r="457" spans="10:24">
      <c r="J457" s="20" t="e">
        <f>VLOOKUP(G457,MD!M$2:O$93,3,FALSE)</f>
        <v>#N/A</v>
      </c>
      <c r="K457" s="29"/>
      <c r="P457" s="22"/>
      <c r="X457" s="22"/>
    </row>
    <row r="458" spans="10:24">
      <c r="J458" s="20" t="e">
        <f>VLOOKUP(G458,MD!M$2:O$93,3,FALSE)</f>
        <v>#N/A</v>
      </c>
      <c r="K458" s="29"/>
      <c r="P458" s="22"/>
      <c r="X458" s="22"/>
    </row>
    <row r="459" spans="10:24">
      <c r="J459" s="20" t="e">
        <f>VLOOKUP(G459,MD!M$2:O$93,3,FALSE)</f>
        <v>#N/A</v>
      </c>
      <c r="K459" s="29"/>
      <c r="P459" s="22"/>
      <c r="X459" s="22"/>
    </row>
    <row r="460" spans="10:24">
      <c r="J460" s="20" t="e">
        <f>VLOOKUP(G460,MD!M$2:O$93,3,FALSE)</f>
        <v>#N/A</v>
      </c>
      <c r="K460" s="29"/>
      <c r="P460" s="22"/>
      <c r="X460" s="22"/>
    </row>
    <row r="461" spans="10:24">
      <c r="J461" s="20" t="e">
        <f>VLOOKUP(G461,MD!M$2:O$93,3,FALSE)</f>
        <v>#N/A</v>
      </c>
      <c r="K461" s="29"/>
      <c r="P461" s="22"/>
      <c r="X461" s="22"/>
    </row>
    <row r="462" spans="10:24">
      <c r="J462" s="20" t="e">
        <f>VLOOKUP(G462,MD!M$2:O$93,3,FALSE)</f>
        <v>#N/A</v>
      </c>
      <c r="K462" s="29"/>
      <c r="P462" s="22"/>
      <c r="X462" s="22"/>
    </row>
    <row r="463" spans="10:24">
      <c r="J463" s="20" t="e">
        <f>VLOOKUP(G463,MD!M$2:O$93,3,FALSE)</f>
        <v>#N/A</v>
      </c>
      <c r="K463" s="29"/>
      <c r="P463" s="22"/>
      <c r="X463" s="22"/>
    </row>
    <row r="464" spans="10:24">
      <c r="J464" s="20" t="e">
        <f>VLOOKUP(G464,MD!M$2:O$93,3,FALSE)</f>
        <v>#N/A</v>
      </c>
      <c r="K464" s="29"/>
      <c r="P464" s="22"/>
      <c r="X464" s="22"/>
    </row>
    <row r="465" spans="10:24">
      <c r="J465" s="20" t="e">
        <f>VLOOKUP(G465,MD!M$2:O$93,3,FALSE)</f>
        <v>#N/A</v>
      </c>
      <c r="K465" s="29"/>
      <c r="P465" s="22"/>
      <c r="X465" s="22"/>
    </row>
    <row r="466" spans="10:24">
      <c r="J466" s="20" t="e">
        <f>VLOOKUP(G466,MD!M$2:O$93,3,FALSE)</f>
        <v>#N/A</v>
      </c>
      <c r="K466" s="29"/>
      <c r="P466" s="22"/>
      <c r="X466" s="22"/>
    </row>
    <row r="467" spans="10:24">
      <c r="J467" s="20" t="e">
        <f>VLOOKUP(G467,MD!M$2:O$93,3,FALSE)</f>
        <v>#N/A</v>
      </c>
      <c r="K467" s="29"/>
      <c r="P467" s="22"/>
      <c r="X467" s="22"/>
    </row>
    <row r="468" spans="10:24">
      <c r="J468" s="20" t="e">
        <f>VLOOKUP(G468,MD!M$2:O$93,3,FALSE)</f>
        <v>#N/A</v>
      </c>
      <c r="K468" s="29"/>
      <c r="P468" s="22"/>
      <c r="X468" s="22"/>
    </row>
    <row r="469" spans="10:24">
      <c r="J469" s="20" t="e">
        <f>VLOOKUP(G469,MD!M$2:O$93,3,FALSE)</f>
        <v>#N/A</v>
      </c>
      <c r="K469" s="29"/>
      <c r="P469" s="22"/>
      <c r="X469" s="22"/>
    </row>
    <row r="470" spans="10:24">
      <c r="J470" s="20" t="e">
        <f>VLOOKUP(G470,MD!M$2:O$93,3,FALSE)</f>
        <v>#N/A</v>
      </c>
      <c r="K470" s="29"/>
      <c r="P470" s="22"/>
      <c r="X470" s="22"/>
    </row>
    <row r="471" spans="10:24">
      <c r="J471" s="20" t="e">
        <f>VLOOKUP(G471,MD!M$2:O$93,3,FALSE)</f>
        <v>#N/A</v>
      </c>
      <c r="K471" s="29"/>
      <c r="P471" s="22"/>
      <c r="X471" s="22"/>
    </row>
    <row r="472" spans="10:24">
      <c r="J472" s="20" t="e">
        <f>VLOOKUP(G472,MD!M$2:O$93,3,FALSE)</f>
        <v>#N/A</v>
      </c>
      <c r="K472" s="29"/>
      <c r="P472" s="22"/>
      <c r="X472" s="22"/>
    </row>
    <row r="473" spans="10:24">
      <c r="J473" s="20" t="e">
        <f>VLOOKUP(G473,MD!M$2:O$93,3,FALSE)</f>
        <v>#N/A</v>
      </c>
      <c r="K473" s="29"/>
      <c r="P473" s="22"/>
      <c r="X473" s="22"/>
    </row>
    <row r="474" spans="10:24">
      <c r="J474" s="20" t="e">
        <f>VLOOKUP(G474,MD!M$2:O$93,3,FALSE)</f>
        <v>#N/A</v>
      </c>
      <c r="K474" s="29"/>
      <c r="P474" s="22"/>
      <c r="X474" s="22"/>
    </row>
    <row r="475" spans="10:24">
      <c r="J475" s="20" t="e">
        <f>VLOOKUP(G475,MD!M$2:O$93,3,FALSE)</f>
        <v>#N/A</v>
      </c>
      <c r="K475" s="29"/>
      <c r="P475" s="22"/>
      <c r="X475" s="22"/>
    </row>
    <row r="476" spans="10:24">
      <c r="J476" s="20" t="e">
        <f>VLOOKUP(G476,MD!M$2:O$93,3,FALSE)</f>
        <v>#N/A</v>
      </c>
      <c r="K476" s="29"/>
      <c r="P476" s="22"/>
      <c r="X476" s="22"/>
    </row>
    <row r="477" spans="10:24">
      <c r="J477" s="20" t="e">
        <f>VLOOKUP(G477,MD!M$2:O$93,3,FALSE)</f>
        <v>#N/A</v>
      </c>
      <c r="K477" s="29"/>
      <c r="P477" s="22"/>
      <c r="X477" s="22"/>
    </row>
    <row r="478" spans="10:24">
      <c r="J478" s="20" t="e">
        <f>VLOOKUP(G478,MD!M$2:O$93,3,FALSE)</f>
        <v>#N/A</v>
      </c>
      <c r="K478" s="29"/>
      <c r="P478" s="22"/>
      <c r="X478" s="22"/>
    </row>
    <row r="479" spans="10:24">
      <c r="J479" s="20" t="e">
        <f>VLOOKUP(G479,MD!M$2:O$93,3,FALSE)</f>
        <v>#N/A</v>
      </c>
      <c r="K479" s="29"/>
      <c r="P479" s="22"/>
      <c r="X479" s="22"/>
    </row>
    <row r="480" spans="10:24">
      <c r="J480" s="20" t="e">
        <f>VLOOKUP(G480,MD!M$2:O$93,3,FALSE)</f>
        <v>#N/A</v>
      </c>
      <c r="K480" s="29"/>
      <c r="P480" s="22"/>
      <c r="X480" s="22"/>
    </row>
    <row r="481" spans="10:24">
      <c r="J481" s="20" t="e">
        <f>VLOOKUP(G481,MD!M$2:O$93,3,FALSE)</f>
        <v>#N/A</v>
      </c>
      <c r="K481" s="29"/>
      <c r="P481" s="22"/>
      <c r="X481" s="22"/>
    </row>
    <row r="482" spans="10:24">
      <c r="J482" s="20" t="e">
        <f>VLOOKUP(G482,MD!M$2:O$93,3,FALSE)</f>
        <v>#N/A</v>
      </c>
      <c r="K482" s="29"/>
      <c r="P482" s="22"/>
      <c r="X482" s="22"/>
    </row>
    <row r="483" spans="10:24">
      <c r="J483" s="20" t="e">
        <f>VLOOKUP(G483,MD!M$2:O$93,3,FALSE)</f>
        <v>#N/A</v>
      </c>
      <c r="K483" s="29"/>
      <c r="P483" s="22"/>
      <c r="X483" s="22"/>
    </row>
    <row r="484" spans="10:24">
      <c r="J484" s="20" t="e">
        <f>VLOOKUP(G484,MD!M$2:O$93,3,FALSE)</f>
        <v>#N/A</v>
      </c>
      <c r="K484" s="29"/>
      <c r="P484" s="22"/>
      <c r="X484" s="22"/>
    </row>
    <row r="485" spans="10:24">
      <c r="J485" s="20" t="e">
        <f>VLOOKUP(G485,MD!M$2:O$93,3,FALSE)</f>
        <v>#N/A</v>
      </c>
      <c r="K485" s="29"/>
      <c r="P485" s="22"/>
      <c r="X485" s="22"/>
    </row>
    <row r="486" spans="10:24">
      <c r="J486" s="20" t="e">
        <f>VLOOKUP(G486,MD!M$2:O$93,3,FALSE)</f>
        <v>#N/A</v>
      </c>
      <c r="K486" s="29"/>
      <c r="P486" s="22"/>
      <c r="X486" s="22"/>
    </row>
    <row r="487" spans="10:24">
      <c r="J487" s="20" t="e">
        <f>VLOOKUP(G487,MD!M$2:O$93,3,FALSE)</f>
        <v>#N/A</v>
      </c>
      <c r="K487" s="29"/>
      <c r="P487" s="22"/>
      <c r="X487" s="22"/>
    </row>
    <row r="488" spans="10:24">
      <c r="J488" s="20" t="e">
        <f>VLOOKUP(G488,MD!M$2:O$93,3,FALSE)</f>
        <v>#N/A</v>
      </c>
      <c r="K488" s="29"/>
      <c r="P488" s="22"/>
      <c r="X488" s="22"/>
    </row>
    <row r="489" spans="10:24">
      <c r="J489" s="20" t="e">
        <f>VLOOKUP(G489,MD!M$2:O$93,3,FALSE)</f>
        <v>#N/A</v>
      </c>
      <c r="K489" s="29"/>
      <c r="P489" s="22"/>
      <c r="X489" s="22"/>
    </row>
    <row r="490" spans="10:24">
      <c r="J490" s="20" t="e">
        <f>VLOOKUP(G490,MD!M$2:O$93,3,FALSE)</f>
        <v>#N/A</v>
      </c>
      <c r="K490" s="29"/>
      <c r="P490" s="22"/>
      <c r="X490" s="22"/>
    </row>
    <row r="491" spans="10:24">
      <c r="J491" s="20" t="e">
        <f>VLOOKUP(G491,MD!M$2:O$93,3,FALSE)</f>
        <v>#N/A</v>
      </c>
      <c r="K491" s="29"/>
      <c r="P491" s="22"/>
      <c r="X491" s="22"/>
    </row>
    <row r="492" spans="10:24">
      <c r="J492" s="20" t="e">
        <f>VLOOKUP(G492,MD!M$2:O$93,3,FALSE)</f>
        <v>#N/A</v>
      </c>
      <c r="K492" s="29"/>
      <c r="P492" s="22"/>
      <c r="X492" s="22"/>
    </row>
    <row r="493" spans="10:24">
      <c r="J493" s="20" t="e">
        <f>VLOOKUP(G493,MD!M$2:O$93,3,FALSE)</f>
        <v>#N/A</v>
      </c>
      <c r="K493" s="29"/>
      <c r="P493" s="22"/>
      <c r="X493" s="22"/>
    </row>
    <row r="494" spans="10:24">
      <c r="J494" s="20" t="e">
        <f>VLOOKUP(G494,MD!M$2:O$93,3,FALSE)</f>
        <v>#N/A</v>
      </c>
      <c r="K494" s="29"/>
      <c r="P494" s="22"/>
      <c r="X494" s="22"/>
    </row>
    <row r="495" spans="10:24">
      <c r="J495" s="20" t="e">
        <f>VLOOKUP(G495,MD!M$2:O$93,3,FALSE)</f>
        <v>#N/A</v>
      </c>
      <c r="K495" s="29"/>
      <c r="P495" s="22"/>
      <c r="X495" s="22"/>
    </row>
    <row r="496" spans="10:24">
      <c r="J496" s="20" t="e">
        <f>VLOOKUP(G496,MD!M$2:O$93,3,FALSE)</f>
        <v>#N/A</v>
      </c>
      <c r="K496" s="29"/>
      <c r="P496" s="22"/>
      <c r="X496" s="22"/>
    </row>
    <row r="497" spans="10:24">
      <c r="J497" s="20" t="e">
        <f>VLOOKUP(G497,MD!M$2:O$93,3,FALSE)</f>
        <v>#N/A</v>
      </c>
      <c r="K497" s="29"/>
      <c r="P497" s="22"/>
      <c r="X497" s="22"/>
    </row>
    <row r="498" spans="10:24">
      <c r="J498" s="20" t="e">
        <f>VLOOKUP(G498,MD!M$2:O$93,3,FALSE)</f>
        <v>#N/A</v>
      </c>
      <c r="K498" s="29"/>
      <c r="P498" s="22"/>
      <c r="X498" s="22"/>
    </row>
    <row r="499" spans="10:24">
      <c r="J499" s="20" t="e">
        <f>VLOOKUP(G499,MD!M$2:O$93,3,FALSE)</f>
        <v>#N/A</v>
      </c>
      <c r="K499" s="29"/>
      <c r="P499" s="22"/>
      <c r="X499" s="22"/>
    </row>
    <row r="500" spans="10:24">
      <c r="J500" s="20" t="e">
        <f>VLOOKUP(G500,MD!M$2:O$93,3,FALSE)</f>
        <v>#N/A</v>
      </c>
      <c r="K500" s="29"/>
      <c r="P500" s="22"/>
      <c r="X500" s="22"/>
    </row>
    <row r="501" spans="10:24">
      <c r="J501" s="20" t="e">
        <f>VLOOKUP(G501,MD!M$2:O$93,3,FALSE)</f>
        <v>#N/A</v>
      </c>
      <c r="K501" s="29"/>
      <c r="P501" s="22"/>
      <c r="X501" s="22"/>
    </row>
    <row r="502" spans="10:24">
      <c r="J502" s="20" t="e">
        <f>VLOOKUP(G502,MD!M$2:O$93,3,FALSE)</f>
        <v>#N/A</v>
      </c>
      <c r="K502" s="29"/>
      <c r="P502" s="22"/>
      <c r="X502" s="22"/>
    </row>
    <row r="503" spans="10:24">
      <c r="J503" s="20" t="e">
        <f>VLOOKUP(G503,MD!M$2:O$93,3,FALSE)</f>
        <v>#N/A</v>
      </c>
      <c r="K503" s="29"/>
      <c r="P503" s="22"/>
      <c r="X503" s="22"/>
    </row>
    <row r="504" spans="10:24">
      <c r="J504" s="20" t="e">
        <f>VLOOKUP(G504,MD!M$2:O$93,3,FALSE)</f>
        <v>#N/A</v>
      </c>
      <c r="K504" s="29"/>
      <c r="P504" s="22"/>
      <c r="X504" s="22"/>
    </row>
    <row r="505" spans="10:24">
      <c r="J505" s="20" t="e">
        <f>VLOOKUP(G505,MD!M$2:O$93,3,FALSE)</f>
        <v>#N/A</v>
      </c>
      <c r="K505" s="29"/>
      <c r="P505" s="22"/>
      <c r="X505" s="22"/>
    </row>
    <row r="506" spans="10:24">
      <c r="J506" s="20" t="e">
        <f>VLOOKUP(G506,MD!M$2:O$93,3,FALSE)</f>
        <v>#N/A</v>
      </c>
      <c r="K506" s="29"/>
      <c r="P506" s="22"/>
      <c r="X506" s="22"/>
    </row>
    <row r="507" spans="10:24">
      <c r="J507" s="20" t="e">
        <f>VLOOKUP(G507,MD!M$2:O$93,3,FALSE)</f>
        <v>#N/A</v>
      </c>
      <c r="K507" s="29"/>
      <c r="P507" s="22"/>
      <c r="X507" s="22"/>
    </row>
    <row r="508" spans="10:24">
      <c r="J508" s="20" t="e">
        <f>VLOOKUP(G508,MD!M$2:O$93,3,FALSE)</f>
        <v>#N/A</v>
      </c>
      <c r="K508" s="29"/>
      <c r="P508" s="22"/>
      <c r="X508" s="22"/>
    </row>
    <row r="509" spans="10:24">
      <c r="J509" s="20" t="e">
        <f>VLOOKUP(G509,MD!M$2:O$93,3,FALSE)</f>
        <v>#N/A</v>
      </c>
      <c r="K509" s="29"/>
      <c r="P509" s="22"/>
      <c r="X509" s="22"/>
    </row>
    <row r="510" spans="10:24">
      <c r="J510" s="20" t="e">
        <f>VLOOKUP(G510,MD!M$2:O$93,3,FALSE)</f>
        <v>#N/A</v>
      </c>
      <c r="K510" s="29"/>
      <c r="P510" s="22"/>
      <c r="X510" s="22"/>
    </row>
    <row r="511" spans="10:24">
      <c r="J511" s="20" t="e">
        <f>VLOOKUP(G511,MD!M$2:O$93,3,FALSE)</f>
        <v>#N/A</v>
      </c>
      <c r="K511" s="29"/>
      <c r="P511" s="22"/>
      <c r="X511" s="22"/>
    </row>
    <row r="512" spans="10:24">
      <c r="J512" s="20" t="e">
        <f>VLOOKUP(G512,MD!M$2:O$93,3,FALSE)</f>
        <v>#N/A</v>
      </c>
      <c r="K512" s="29"/>
      <c r="P512" s="22"/>
      <c r="X512" s="22"/>
    </row>
    <row r="513" spans="10:24">
      <c r="J513" s="20" t="e">
        <f>VLOOKUP(G513,MD!M$2:O$93,3,FALSE)</f>
        <v>#N/A</v>
      </c>
      <c r="K513" s="29"/>
      <c r="P513" s="22"/>
      <c r="X513" s="22"/>
    </row>
    <row r="514" spans="10:24">
      <c r="J514" s="20" t="e">
        <f>VLOOKUP(G514,MD!M$2:O$93,3,FALSE)</f>
        <v>#N/A</v>
      </c>
      <c r="K514" s="29"/>
      <c r="P514" s="22"/>
      <c r="X514" s="22"/>
    </row>
    <row r="515" spans="10:24">
      <c r="J515" s="20" t="e">
        <f>VLOOKUP(G515,MD!M$2:O$93,3,FALSE)</f>
        <v>#N/A</v>
      </c>
      <c r="K515" s="29"/>
      <c r="P515" s="22"/>
      <c r="X515" s="22"/>
    </row>
    <row r="516" spans="10:24">
      <c r="J516" s="20" t="e">
        <f>VLOOKUP(G516,MD!M$2:O$93,3,FALSE)</f>
        <v>#N/A</v>
      </c>
      <c r="K516" s="29"/>
      <c r="P516" s="22"/>
      <c r="X516" s="22"/>
    </row>
    <row r="517" spans="10:24">
      <c r="J517" s="20" t="e">
        <f>VLOOKUP(G517,MD!M$2:O$93,3,FALSE)</f>
        <v>#N/A</v>
      </c>
      <c r="K517" s="29"/>
      <c r="P517" s="22"/>
      <c r="X517" s="22"/>
    </row>
    <row r="518" spans="10:24">
      <c r="J518" s="20" t="e">
        <f>VLOOKUP(G518,MD!M$2:O$93,3,FALSE)</f>
        <v>#N/A</v>
      </c>
      <c r="K518" s="29"/>
      <c r="P518" s="22"/>
      <c r="X518" s="22"/>
    </row>
    <row r="519" spans="10:24">
      <c r="J519" s="20" t="e">
        <f>VLOOKUP(G519,MD!M$2:O$93,3,FALSE)</f>
        <v>#N/A</v>
      </c>
      <c r="K519" s="29"/>
      <c r="P519" s="22"/>
      <c r="X519" s="22"/>
    </row>
    <row r="520" spans="10:24">
      <c r="J520" s="20" t="e">
        <f>VLOOKUP(G520,MD!M$2:O$93,3,FALSE)</f>
        <v>#N/A</v>
      </c>
      <c r="K520" s="29"/>
      <c r="P520" s="22"/>
      <c r="X520" s="22"/>
    </row>
    <row r="521" spans="10:24">
      <c r="J521" s="20" t="e">
        <f>VLOOKUP(G521,MD!M$2:O$93,3,FALSE)</f>
        <v>#N/A</v>
      </c>
      <c r="K521" s="29"/>
      <c r="P521" s="22"/>
      <c r="X521" s="22"/>
    </row>
    <row r="522" spans="10:24">
      <c r="J522" s="20" t="e">
        <f>VLOOKUP(G522,MD!M$2:O$93,3,FALSE)</f>
        <v>#N/A</v>
      </c>
      <c r="K522" s="29"/>
      <c r="P522" s="22"/>
      <c r="X522" s="22"/>
    </row>
    <row r="523" spans="10:24">
      <c r="J523" s="20" t="e">
        <f>VLOOKUP(G523,MD!M$2:O$93,3,FALSE)</f>
        <v>#N/A</v>
      </c>
      <c r="K523" s="29"/>
      <c r="P523" s="22"/>
      <c r="X523" s="22"/>
    </row>
    <row r="524" spans="10:24">
      <c r="J524" s="20" t="e">
        <f>VLOOKUP(G524,MD!M$2:O$93,3,FALSE)</f>
        <v>#N/A</v>
      </c>
      <c r="K524" s="29"/>
      <c r="P524" s="22"/>
      <c r="X524" s="22"/>
    </row>
    <row r="525" spans="10:24">
      <c r="J525" s="20" t="e">
        <f>VLOOKUP(G525,MD!M$2:O$93,3,FALSE)</f>
        <v>#N/A</v>
      </c>
      <c r="K525" s="29"/>
      <c r="P525" s="22"/>
      <c r="X525" s="22"/>
    </row>
    <row r="526" spans="10:24">
      <c r="J526" s="20" t="e">
        <f>VLOOKUP(G526,MD!M$2:O$93,3,FALSE)</f>
        <v>#N/A</v>
      </c>
      <c r="K526" s="29"/>
      <c r="P526" s="22"/>
      <c r="X526" s="22"/>
    </row>
    <row r="527" spans="10:24">
      <c r="J527" s="20" t="e">
        <f>VLOOKUP(G527,MD!M$2:O$93,3,FALSE)</f>
        <v>#N/A</v>
      </c>
      <c r="K527" s="29"/>
      <c r="P527" s="22"/>
      <c r="X527" s="22"/>
    </row>
    <row r="528" spans="10:24">
      <c r="J528" s="20" t="e">
        <f>VLOOKUP(G528,MD!M$2:O$93,3,FALSE)</f>
        <v>#N/A</v>
      </c>
      <c r="K528" s="29"/>
      <c r="P528" s="22"/>
      <c r="X528" s="22"/>
    </row>
    <row r="529" spans="10:24">
      <c r="J529" s="20" t="e">
        <f>VLOOKUP(G529,MD!M$2:O$93,3,FALSE)</f>
        <v>#N/A</v>
      </c>
      <c r="K529" s="29"/>
      <c r="P529" s="22"/>
      <c r="X529" s="22"/>
    </row>
    <row r="530" spans="10:24">
      <c r="J530" s="20" t="e">
        <f>VLOOKUP(G530,MD!M$2:O$93,3,FALSE)</f>
        <v>#N/A</v>
      </c>
      <c r="K530" s="29"/>
      <c r="P530" s="22"/>
      <c r="X530" s="22"/>
    </row>
    <row r="531" spans="10:24">
      <c r="J531" s="20" t="e">
        <f>VLOOKUP(G531,MD!M$2:O$93,3,FALSE)</f>
        <v>#N/A</v>
      </c>
      <c r="K531" s="29"/>
      <c r="P531" s="22"/>
      <c r="X531" s="22"/>
    </row>
    <row r="532" spans="10:24">
      <c r="J532" s="20" t="e">
        <f>VLOOKUP(G532,MD!M$2:O$93,3,FALSE)</f>
        <v>#N/A</v>
      </c>
      <c r="K532" s="29"/>
      <c r="P532" s="22"/>
      <c r="X532" s="22"/>
    </row>
    <row r="533" spans="10:24">
      <c r="J533" s="20" t="e">
        <f>VLOOKUP(G533,MD!M$2:O$93,3,FALSE)</f>
        <v>#N/A</v>
      </c>
      <c r="K533" s="29"/>
      <c r="P533" s="22"/>
      <c r="X533" s="22"/>
    </row>
    <row r="534" spans="10:24">
      <c r="J534" s="20" t="e">
        <f>VLOOKUP(G534,MD!M$2:O$93,3,FALSE)</f>
        <v>#N/A</v>
      </c>
      <c r="K534" s="29"/>
      <c r="P534" s="22"/>
      <c r="X534" s="22"/>
    </row>
    <row r="535" spans="10:24">
      <c r="J535" s="20" t="e">
        <f>VLOOKUP(G535,MD!M$2:O$93,3,FALSE)</f>
        <v>#N/A</v>
      </c>
      <c r="K535" s="29"/>
      <c r="P535" s="22"/>
      <c r="X535" s="22"/>
    </row>
    <row r="536" spans="10:24">
      <c r="J536" s="20" t="e">
        <f>VLOOKUP(G536,MD!M$2:O$93,3,FALSE)</f>
        <v>#N/A</v>
      </c>
      <c r="K536" s="29"/>
      <c r="P536" s="22"/>
      <c r="X536" s="22"/>
    </row>
    <row r="537" spans="10:24">
      <c r="J537" s="20" t="e">
        <f>VLOOKUP(G537,MD!M$2:O$93,3,FALSE)</f>
        <v>#N/A</v>
      </c>
      <c r="K537" s="29"/>
      <c r="P537" s="22"/>
      <c r="X537" s="22"/>
    </row>
    <row r="538" spans="10:24">
      <c r="J538" s="20" t="e">
        <f>VLOOKUP(G538,MD!M$2:O$93,3,FALSE)</f>
        <v>#N/A</v>
      </c>
      <c r="K538" s="29"/>
      <c r="P538" s="22"/>
      <c r="X538" s="22"/>
    </row>
    <row r="539" spans="10:24">
      <c r="J539" s="20" t="e">
        <f>VLOOKUP(G539,MD!M$2:O$93,3,FALSE)</f>
        <v>#N/A</v>
      </c>
      <c r="K539" s="29"/>
      <c r="P539" s="22"/>
      <c r="X539" s="22"/>
    </row>
    <row r="540" spans="10:24">
      <c r="J540" s="20" t="e">
        <f>VLOOKUP(G540,MD!M$2:O$93,3,FALSE)</f>
        <v>#N/A</v>
      </c>
      <c r="K540" s="29"/>
      <c r="P540" s="22"/>
      <c r="X540" s="22"/>
    </row>
    <row r="541" spans="10:24">
      <c r="J541" s="20" t="e">
        <f>VLOOKUP(G541,MD!M$2:O$93,3,FALSE)</f>
        <v>#N/A</v>
      </c>
      <c r="K541" s="29"/>
      <c r="P541" s="22"/>
      <c r="X541" s="22"/>
    </row>
    <row r="542" spans="10:24">
      <c r="J542" s="20" t="e">
        <f>VLOOKUP(G542,MD!M$2:O$93,3,FALSE)</f>
        <v>#N/A</v>
      </c>
      <c r="K542" s="29"/>
      <c r="P542" s="22"/>
      <c r="X542" s="22"/>
    </row>
    <row r="543" spans="10:24">
      <c r="J543" s="20" t="e">
        <f>VLOOKUP(G543,MD!M$2:O$93,3,FALSE)</f>
        <v>#N/A</v>
      </c>
      <c r="K543" s="29"/>
      <c r="P543" s="22"/>
      <c r="X543" s="22"/>
    </row>
    <row r="544" spans="10:24">
      <c r="J544" s="20" t="e">
        <f>VLOOKUP(G544,MD!M$2:O$93,3,FALSE)</f>
        <v>#N/A</v>
      </c>
      <c r="K544" s="29"/>
      <c r="P544" s="22"/>
      <c r="X544" s="22"/>
    </row>
    <row r="545" spans="10:24">
      <c r="J545" s="20" t="e">
        <f>VLOOKUP(G545,MD!M$2:O$93,3,FALSE)</f>
        <v>#N/A</v>
      </c>
      <c r="K545" s="29"/>
      <c r="P545" s="22"/>
      <c r="X545" s="22"/>
    </row>
    <row r="546" spans="10:24">
      <c r="J546" s="20" t="e">
        <f>VLOOKUP(G546,MD!M$2:O$93,3,FALSE)</f>
        <v>#N/A</v>
      </c>
      <c r="K546" s="29"/>
      <c r="P546" s="22"/>
      <c r="X546" s="22"/>
    </row>
    <row r="547" spans="10:24">
      <c r="J547" s="20" t="e">
        <f>VLOOKUP(G547,MD!M$2:O$93,3,FALSE)</f>
        <v>#N/A</v>
      </c>
      <c r="K547" s="29"/>
      <c r="P547" s="22"/>
      <c r="X547" s="22"/>
    </row>
    <row r="548" spans="10:24">
      <c r="J548" s="20" t="e">
        <f>VLOOKUP(G548,MD!M$2:O$93,3,FALSE)</f>
        <v>#N/A</v>
      </c>
      <c r="K548" s="29"/>
      <c r="P548" s="22"/>
      <c r="X548" s="22"/>
    </row>
    <row r="549" spans="10:24">
      <c r="J549" s="20" t="e">
        <f>VLOOKUP(G549,MD!M$2:O$93,3,FALSE)</f>
        <v>#N/A</v>
      </c>
      <c r="K549" s="29"/>
      <c r="P549" s="22"/>
      <c r="X549" s="22"/>
    </row>
    <row r="550" spans="10:24">
      <c r="J550" s="20" t="e">
        <f>VLOOKUP(G550,MD!M$2:O$93,3,FALSE)</f>
        <v>#N/A</v>
      </c>
      <c r="K550" s="29"/>
      <c r="P550" s="22"/>
      <c r="X550" s="22"/>
    </row>
    <row r="551" spans="10:24">
      <c r="J551" s="20" t="e">
        <f>VLOOKUP(G551,MD!M$2:O$93,3,FALSE)</f>
        <v>#N/A</v>
      </c>
      <c r="K551" s="29"/>
      <c r="P551" s="22"/>
      <c r="X551" s="22"/>
    </row>
    <row r="552" spans="10:24">
      <c r="J552" s="20" t="e">
        <f>VLOOKUP(G552,MD!M$2:O$93,3,FALSE)</f>
        <v>#N/A</v>
      </c>
      <c r="K552" s="29"/>
      <c r="P552" s="22"/>
      <c r="X552" s="22"/>
    </row>
    <row r="553" spans="10:24">
      <c r="J553" s="20" t="e">
        <f>VLOOKUP(G553,MD!M$2:O$93,3,FALSE)</f>
        <v>#N/A</v>
      </c>
      <c r="K553" s="29"/>
      <c r="P553" s="22"/>
      <c r="X553" s="22"/>
    </row>
    <row r="554" spans="10:24">
      <c r="J554" s="20" t="e">
        <f>VLOOKUP(G554,MD!M$2:O$93,3,FALSE)</f>
        <v>#N/A</v>
      </c>
      <c r="K554" s="29"/>
      <c r="P554" s="22"/>
      <c r="X554" s="22"/>
    </row>
    <row r="555" spans="10:24">
      <c r="J555" s="20" t="e">
        <f>VLOOKUP(G555,MD!M$2:O$93,3,FALSE)</f>
        <v>#N/A</v>
      </c>
      <c r="K555" s="29"/>
      <c r="P555" s="22"/>
      <c r="X555" s="22"/>
    </row>
    <row r="556" spans="10:24">
      <c r="J556" s="20" t="e">
        <f>VLOOKUP(G556,MD!M$2:O$93,3,FALSE)</f>
        <v>#N/A</v>
      </c>
      <c r="K556" s="29"/>
      <c r="P556" s="22"/>
      <c r="X556" s="22"/>
    </row>
    <row r="557" spans="10:24">
      <c r="J557" s="20" t="e">
        <f>VLOOKUP(G557,MD!M$2:O$93,3,FALSE)</f>
        <v>#N/A</v>
      </c>
      <c r="K557" s="29"/>
      <c r="P557" s="22"/>
      <c r="X557" s="22"/>
    </row>
    <row r="558" spans="10:24">
      <c r="J558" s="20" t="e">
        <f>VLOOKUP(G558,MD!M$2:O$93,3,FALSE)</f>
        <v>#N/A</v>
      </c>
      <c r="K558" s="29"/>
      <c r="P558" s="22"/>
      <c r="X558" s="22"/>
    </row>
    <row r="559" spans="10:24">
      <c r="J559" s="20" t="e">
        <f>VLOOKUP(G559,MD!M$2:O$93,3,FALSE)</f>
        <v>#N/A</v>
      </c>
      <c r="K559" s="29"/>
      <c r="P559" s="22"/>
      <c r="X559" s="22"/>
    </row>
    <row r="560" spans="10:24">
      <c r="J560" s="20" t="e">
        <f>VLOOKUP(G560,MD!M$2:O$93,3,FALSE)</f>
        <v>#N/A</v>
      </c>
      <c r="K560" s="29"/>
      <c r="P560" s="22"/>
      <c r="X560" s="22"/>
    </row>
    <row r="561" spans="10:24">
      <c r="J561" s="20" t="e">
        <f>VLOOKUP(G561,MD!M$2:O$93,3,FALSE)</f>
        <v>#N/A</v>
      </c>
      <c r="K561" s="29"/>
      <c r="P561" s="22"/>
      <c r="X561" s="22"/>
    </row>
    <row r="562" spans="10:24">
      <c r="J562" s="20" t="e">
        <f>VLOOKUP(G562,MD!M$2:O$93,3,FALSE)</f>
        <v>#N/A</v>
      </c>
      <c r="K562" s="29"/>
      <c r="P562" s="22"/>
      <c r="X562" s="22"/>
    </row>
    <row r="563" spans="10:24">
      <c r="J563" s="20" t="e">
        <f>VLOOKUP(G563,MD!M$2:O$93,3,FALSE)</f>
        <v>#N/A</v>
      </c>
      <c r="K563" s="29"/>
      <c r="P563" s="22"/>
      <c r="X563" s="22"/>
    </row>
    <row r="564" spans="10:24">
      <c r="J564" s="20" t="e">
        <f>VLOOKUP(G564,MD!M$2:O$93,3,FALSE)</f>
        <v>#N/A</v>
      </c>
      <c r="K564" s="29"/>
      <c r="P564" s="22"/>
      <c r="X564" s="22"/>
    </row>
    <row r="565" spans="10:24">
      <c r="J565" s="20" t="e">
        <f>VLOOKUP(G565,MD!M$2:O$93,3,FALSE)</f>
        <v>#N/A</v>
      </c>
      <c r="K565" s="29"/>
      <c r="P565" s="22"/>
      <c r="X565" s="22"/>
    </row>
    <row r="566" spans="10:24">
      <c r="J566" s="20" t="e">
        <f>VLOOKUP(G566,MD!M$2:O$93,3,FALSE)</f>
        <v>#N/A</v>
      </c>
      <c r="K566" s="29"/>
      <c r="P566" s="22"/>
      <c r="X566" s="22"/>
    </row>
    <row r="567" spans="10:24">
      <c r="J567" s="20" t="e">
        <f>VLOOKUP(G567,MD!M$2:O$93,3,FALSE)</f>
        <v>#N/A</v>
      </c>
      <c r="K567" s="29"/>
      <c r="P567" s="22"/>
      <c r="X567" s="22"/>
    </row>
    <row r="568" spans="10:24">
      <c r="J568" s="20" t="e">
        <f>VLOOKUP(G568,MD!M$2:O$93,3,FALSE)</f>
        <v>#N/A</v>
      </c>
      <c r="K568" s="29"/>
      <c r="P568" s="22"/>
      <c r="X568" s="22"/>
    </row>
    <row r="569" spans="10:24">
      <c r="J569" s="20" t="e">
        <f>VLOOKUP(G569,MD!M$2:O$93,3,FALSE)</f>
        <v>#N/A</v>
      </c>
      <c r="K569" s="29"/>
      <c r="P569" s="22"/>
      <c r="X569" s="22"/>
    </row>
    <row r="570" spans="10:24">
      <c r="J570" s="20" t="e">
        <f>VLOOKUP(G570,MD!M$2:O$93,3,FALSE)</f>
        <v>#N/A</v>
      </c>
      <c r="K570" s="29"/>
      <c r="P570" s="22"/>
      <c r="X570" s="22"/>
    </row>
    <row r="571" spans="10:24">
      <c r="J571" s="20" t="e">
        <f>VLOOKUP(G571,MD!M$2:O$93,3,FALSE)</f>
        <v>#N/A</v>
      </c>
      <c r="K571" s="29"/>
      <c r="P571" s="22"/>
      <c r="X571" s="22"/>
    </row>
    <row r="572" spans="10:24">
      <c r="J572" s="20" t="e">
        <f>VLOOKUP(G572,MD!M$2:O$93,3,FALSE)</f>
        <v>#N/A</v>
      </c>
      <c r="K572" s="29"/>
      <c r="P572" s="22"/>
      <c r="X572" s="22"/>
    </row>
    <row r="573" spans="10:24">
      <c r="J573" s="20" t="e">
        <f>VLOOKUP(G573,MD!M$2:O$93,3,FALSE)</f>
        <v>#N/A</v>
      </c>
      <c r="K573" s="29"/>
      <c r="P573" s="22"/>
      <c r="X573" s="22"/>
    </row>
    <row r="574" spans="10:24">
      <c r="J574" s="20" t="e">
        <f>VLOOKUP(G574,MD!M$2:O$93,3,FALSE)</f>
        <v>#N/A</v>
      </c>
      <c r="K574" s="29"/>
      <c r="P574" s="22"/>
      <c r="X574" s="22"/>
    </row>
    <row r="575" spans="10:24">
      <c r="J575" s="20" t="e">
        <f>VLOOKUP(G575,MD!M$2:O$93,3,FALSE)</f>
        <v>#N/A</v>
      </c>
      <c r="K575" s="29"/>
      <c r="P575" s="22"/>
      <c r="X575" s="22"/>
    </row>
    <row r="576" spans="10:24">
      <c r="J576" s="20" t="e">
        <f>VLOOKUP(G576,MD!M$2:O$93,3,FALSE)</f>
        <v>#N/A</v>
      </c>
      <c r="K576" s="29"/>
      <c r="P576" s="22"/>
      <c r="X576" s="22"/>
    </row>
    <row r="577" spans="10:24">
      <c r="J577" s="20" t="e">
        <f>VLOOKUP(G577,MD!M$2:O$93,3,FALSE)</f>
        <v>#N/A</v>
      </c>
      <c r="K577" s="29"/>
      <c r="P577" s="22"/>
      <c r="X577" s="22"/>
    </row>
    <row r="578" spans="10:24">
      <c r="J578" s="20" t="e">
        <f>VLOOKUP(G578,MD!M$2:O$93,3,FALSE)</f>
        <v>#N/A</v>
      </c>
      <c r="K578" s="29"/>
      <c r="P578" s="22"/>
      <c r="X578" s="22"/>
    </row>
    <row r="579" spans="10:24">
      <c r="J579" s="20" t="e">
        <f>VLOOKUP(G579,MD!M$2:O$93,3,FALSE)</f>
        <v>#N/A</v>
      </c>
      <c r="K579" s="29"/>
      <c r="P579" s="22"/>
      <c r="X579" s="22"/>
    </row>
    <row r="580" spans="10:24">
      <c r="J580" s="20" t="e">
        <f>VLOOKUP(G580,MD!M$2:O$93,3,FALSE)</f>
        <v>#N/A</v>
      </c>
      <c r="K580" s="29"/>
      <c r="P580" s="22"/>
      <c r="X580" s="22"/>
    </row>
    <row r="581" spans="10:24">
      <c r="J581" s="20" t="e">
        <f>VLOOKUP(G581,MD!M$2:O$93,3,FALSE)</f>
        <v>#N/A</v>
      </c>
      <c r="K581" s="29"/>
      <c r="P581" s="22"/>
      <c r="X581" s="22"/>
    </row>
    <row r="582" spans="10:24">
      <c r="J582" s="20" t="e">
        <f>VLOOKUP(G582,MD!M$2:O$93,3,FALSE)</f>
        <v>#N/A</v>
      </c>
      <c r="K582" s="29"/>
      <c r="P582" s="22"/>
      <c r="X582" s="22"/>
    </row>
    <row r="583" spans="10:24">
      <c r="J583" s="20" t="e">
        <f>VLOOKUP(G583,MD!M$2:O$93,3,FALSE)</f>
        <v>#N/A</v>
      </c>
      <c r="K583" s="29"/>
      <c r="P583" s="22"/>
      <c r="X583" s="22"/>
    </row>
    <row r="584" spans="10:24">
      <c r="J584" s="20" t="e">
        <f>VLOOKUP(G584,MD!M$2:O$93,3,FALSE)</f>
        <v>#N/A</v>
      </c>
      <c r="K584" s="29"/>
      <c r="P584" s="22"/>
      <c r="X584" s="22"/>
    </row>
    <row r="585" spans="10:24">
      <c r="J585" s="20" t="e">
        <f>VLOOKUP(G585,MD!M$2:O$93,3,FALSE)</f>
        <v>#N/A</v>
      </c>
      <c r="K585" s="29"/>
      <c r="P585" s="22"/>
      <c r="X585" s="22"/>
    </row>
    <row r="586" spans="10:24">
      <c r="J586" s="20" t="e">
        <f>VLOOKUP(G586,MD!M$2:O$93,3,FALSE)</f>
        <v>#N/A</v>
      </c>
      <c r="K586" s="29"/>
      <c r="P586" s="22"/>
      <c r="X586" s="22"/>
    </row>
    <row r="587" spans="10:24">
      <c r="J587" s="20" t="e">
        <f>VLOOKUP(G587,MD!M$2:O$93,3,FALSE)</f>
        <v>#N/A</v>
      </c>
      <c r="K587" s="29"/>
      <c r="P587" s="22"/>
      <c r="X587" s="22"/>
    </row>
    <row r="588" spans="10:24">
      <c r="J588" s="20" t="e">
        <f>VLOOKUP(G588,MD!M$2:O$93,3,FALSE)</f>
        <v>#N/A</v>
      </c>
      <c r="K588" s="29"/>
      <c r="P588" s="22"/>
      <c r="X588" s="22"/>
    </row>
    <row r="589" spans="10:24">
      <c r="J589" s="20" t="e">
        <f>VLOOKUP(G589,MD!M$2:O$93,3,FALSE)</f>
        <v>#N/A</v>
      </c>
      <c r="K589" s="29"/>
      <c r="P589" s="22"/>
      <c r="X589" s="22"/>
    </row>
    <row r="590" spans="10:24">
      <c r="J590" s="20" t="e">
        <f>VLOOKUP(G590,MD!M$2:O$93,3,FALSE)</f>
        <v>#N/A</v>
      </c>
      <c r="K590" s="29"/>
      <c r="P590" s="22"/>
      <c r="X590" s="22"/>
    </row>
    <row r="591" spans="10:24">
      <c r="J591" s="20" t="e">
        <f>VLOOKUP(G591,MD!M$2:O$93,3,FALSE)</f>
        <v>#N/A</v>
      </c>
      <c r="K591" s="29"/>
      <c r="P591" s="22"/>
      <c r="X591" s="22"/>
    </row>
    <row r="592" spans="10:24">
      <c r="J592" s="20" t="e">
        <f>VLOOKUP(G592,MD!M$2:O$93,3,FALSE)</f>
        <v>#N/A</v>
      </c>
      <c r="K592" s="29"/>
      <c r="P592" s="22"/>
      <c r="X592" s="22"/>
    </row>
    <row r="593" spans="10:24">
      <c r="J593" s="20" t="e">
        <f>VLOOKUP(G593,MD!M$2:O$93,3,FALSE)</f>
        <v>#N/A</v>
      </c>
      <c r="K593" s="29"/>
      <c r="P593" s="22"/>
      <c r="X593" s="22"/>
    </row>
    <row r="594" spans="10:24">
      <c r="J594" s="20" t="e">
        <f>VLOOKUP(G594,MD!M$2:O$93,3,FALSE)</f>
        <v>#N/A</v>
      </c>
      <c r="K594" s="29"/>
      <c r="P594" s="22"/>
      <c r="X594" s="22"/>
    </row>
    <row r="595" spans="10:24">
      <c r="J595" s="20" t="e">
        <f>VLOOKUP(G595,MD!M$2:O$93,3,FALSE)</f>
        <v>#N/A</v>
      </c>
      <c r="K595" s="29"/>
      <c r="P595" s="22"/>
      <c r="X595" s="22"/>
    </row>
    <row r="596" spans="10:24">
      <c r="J596" s="20" t="e">
        <f>VLOOKUP(G596,MD!M$2:O$93,3,FALSE)</f>
        <v>#N/A</v>
      </c>
      <c r="K596" s="29"/>
      <c r="P596" s="22"/>
      <c r="X596" s="22"/>
    </row>
    <row r="597" spans="10:24">
      <c r="J597" s="20" t="e">
        <f>VLOOKUP(G597,MD!M$2:O$93,3,FALSE)</f>
        <v>#N/A</v>
      </c>
      <c r="K597" s="29"/>
      <c r="P597" s="22"/>
      <c r="X597" s="22"/>
    </row>
    <row r="598" spans="10:24">
      <c r="J598" s="20" t="e">
        <f>VLOOKUP(G598,MD!M$2:O$93,3,FALSE)</f>
        <v>#N/A</v>
      </c>
      <c r="K598" s="29"/>
      <c r="P598" s="22"/>
      <c r="X598" s="22"/>
    </row>
    <row r="599" spans="10:24">
      <c r="J599" s="20" t="e">
        <f>VLOOKUP(G599,MD!M$2:O$93,3,FALSE)</f>
        <v>#N/A</v>
      </c>
      <c r="K599" s="29"/>
      <c r="P599" s="22"/>
      <c r="X599" s="22"/>
    </row>
    <row r="600" spans="10:24">
      <c r="J600" s="20" t="e">
        <f>VLOOKUP(G600,MD!M$2:O$93,3,FALSE)</f>
        <v>#N/A</v>
      </c>
      <c r="K600" s="29"/>
      <c r="P600" s="22"/>
      <c r="X600" s="22"/>
    </row>
    <row r="601" spans="10:24">
      <c r="J601" s="20" t="e">
        <f>VLOOKUP(G601,MD!M$2:O$93,3,FALSE)</f>
        <v>#N/A</v>
      </c>
      <c r="K601" s="29"/>
      <c r="P601" s="22"/>
      <c r="X601" s="22"/>
    </row>
    <row r="602" spans="10:24">
      <c r="J602" s="20" t="e">
        <f>VLOOKUP(G602,MD!M$2:O$93,3,FALSE)</f>
        <v>#N/A</v>
      </c>
      <c r="K602" s="29"/>
      <c r="P602" s="22"/>
      <c r="X602" s="22"/>
    </row>
    <row r="603" spans="10:24">
      <c r="J603" s="20" t="e">
        <f>VLOOKUP(G603,MD!M$2:O$93,3,FALSE)</f>
        <v>#N/A</v>
      </c>
      <c r="K603" s="29"/>
      <c r="P603" s="22"/>
      <c r="X603" s="22"/>
    </row>
    <row r="604" spans="10:24">
      <c r="J604" s="20" t="e">
        <f>VLOOKUP(G604,MD!M$2:O$93,3,FALSE)</f>
        <v>#N/A</v>
      </c>
      <c r="K604" s="29"/>
      <c r="P604" s="22"/>
      <c r="X604" s="22"/>
    </row>
    <row r="605" spans="10:24">
      <c r="J605" s="20" t="e">
        <f>VLOOKUP(G605,MD!M$2:O$93,3,FALSE)</f>
        <v>#N/A</v>
      </c>
      <c r="K605" s="29"/>
      <c r="P605" s="22"/>
      <c r="X605" s="22"/>
    </row>
    <row r="606" spans="10:24">
      <c r="J606" s="20" t="e">
        <f>VLOOKUP(G606,MD!M$2:O$93,3,FALSE)</f>
        <v>#N/A</v>
      </c>
      <c r="K606" s="29"/>
      <c r="P606" s="22"/>
      <c r="X606" s="22"/>
    </row>
    <row r="607" spans="10:24">
      <c r="J607" s="20" t="e">
        <f>VLOOKUP(G607,MD!M$2:O$93,3,FALSE)</f>
        <v>#N/A</v>
      </c>
      <c r="K607" s="29"/>
      <c r="P607" s="22"/>
      <c r="X607" s="22"/>
    </row>
    <row r="608" spans="10:24">
      <c r="J608" s="20" t="e">
        <f>VLOOKUP(G608,MD!M$2:O$93,3,FALSE)</f>
        <v>#N/A</v>
      </c>
      <c r="K608" s="29"/>
      <c r="P608" s="22"/>
      <c r="X608" s="22"/>
    </row>
    <row r="609" spans="10:24">
      <c r="J609" s="20" t="e">
        <f>VLOOKUP(G609,MD!M$2:O$93,3,FALSE)</f>
        <v>#N/A</v>
      </c>
      <c r="K609" s="29"/>
      <c r="P609" s="22"/>
      <c r="X609" s="22"/>
    </row>
    <row r="610" spans="10:24">
      <c r="J610" s="20" t="e">
        <f>VLOOKUP(G610,MD!M$2:O$93,3,FALSE)</f>
        <v>#N/A</v>
      </c>
      <c r="K610" s="29"/>
      <c r="P610" s="22"/>
      <c r="X610" s="22"/>
    </row>
    <row r="611" spans="10:24">
      <c r="J611" s="20" t="e">
        <f>VLOOKUP(G611,MD!M$2:O$93,3,FALSE)</f>
        <v>#N/A</v>
      </c>
      <c r="K611" s="29"/>
      <c r="P611" s="22"/>
      <c r="X611" s="22"/>
    </row>
    <row r="612" spans="10:24">
      <c r="J612" s="20" t="e">
        <f>VLOOKUP(G612,MD!M$2:O$93,3,FALSE)</f>
        <v>#N/A</v>
      </c>
      <c r="K612" s="29"/>
      <c r="P612" s="22"/>
      <c r="X612" s="22"/>
    </row>
    <row r="613" spans="10:24">
      <c r="J613" s="20" t="e">
        <f>VLOOKUP(G613,MD!M$2:O$93,3,FALSE)</f>
        <v>#N/A</v>
      </c>
      <c r="K613" s="29"/>
      <c r="P613" s="22"/>
      <c r="X613" s="22"/>
    </row>
    <row r="614" spans="10:24">
      <c r="J614" s="20" t="e">
        <f>VLOOKUP(G614,MD!M$2:O$93,3,FALSE)</f>
        <v>#N/A</v>
      </c>
      <c r="K614" s="29"/>
      <c r="P614" s="22"/>
      <c r="X614" s="22"/>
    </row>
    <row r="615" spans="10:24">
      <c r="J615" s="20" t="e">
        <f>VLOOKUP(G615,MD!M$2:O$93,3,FALSE)</f>
        <v>#N/A</v>
      </c>
      <c r="K615" s="29"/>
      <c r="P615" s="22"/>
      <c r="X615" s="22"/>
    </row>
    <row r="616" spans="10:24">
      <c r="J616" s="20" t="e">
        <f>VLOOKUP(G616,MD!M$2:O$93,3,FALSE)</f>
        <v>#N/A</v>
      </c>
      <c r="K616" s="29"/>
      <c r="P616" s="22"/>
      <c r="X616" s="22"/>
    </row>
    <row r="617" spans="10:24">
      <c r="J617" s="20" t="e">
        <f>VLOOKUP(G617,MD!M$2:O$93,3,FALSE)</f>
        <v>#N/A</v>
      </c>
      <c r="K617" s="29"/>
      <c r="P617" s="22"/>
      <c r="X617" s="22"/>
    </row>
    <row r="618" spans="10:24">
      <c r="J618" s="20" t="e">
        <f>VLOOKUP(G618,MD!M$2:O$93,3,FALSE)</f>
        <v>#N/A</v>
      </c>
      <c r="K618" s="29"/>
      <c r="P618" s="22"/>
      <c r="X618" s="22"/>
    </row>
    <row r="619" spans="10:24">
      <c r="J619" s="20" t="e">
        <f>VLOOKUP(G619,MD!M$2:O$93,3,FALSE)</f>
        <v>#N/A</v>
      </c>
      <c r="K619" s="29"/>
      <c r="P619" s="22"/>
      <c r="X619" s="22"/>
    </row>
    <row r="620" spans="10:24">
      <c r="J620" s="20" t="e">
        <f>VLOOKUP(G620,MD!M$2:O$93,3,FALSE)</f>
        <v>#N/A</v>
      </c>
      <c r="K620" s="29"/>
      <c r="P620" s="22"/>
      <c r="X620" s="22"/>
    </row>
    <row r="621" spans="10:24">
      <c r="J621" s="20" t="e">
        <f>VLOOKUP(G621,MD!M$2:O$93,3,FALSE)</f>
        <v>#N/A</v>
      </c>
      <c r="K621" s="29"/>
      <c r="P621" s="22"/>
      <c r="X621" s="22"/>
    </row>
    <row r="622" spans="10:24">
      <c r="J622" s="20" t="e">
        <f>VLOOKUP(G622,MD!M$2:O$93,3,FALSE)</f>
        <v>#N/A</v>
      </c>
      <c r="K622" s="29"/>
      <c r="P622" s="22"/>
      <c r="X622" s="22"/>
    </row>
    <row r="623" spans="10:24">
      <c r="J623" s="20" t="e">
        <f>VLOOKUP(G623,MD!M$2:O$93,3,FALSE)</f>
        <v>#N/A</v>
      </c>
      <c r="K623" s="29"/>
      <c r="P623" s="22"/>
      <c r="X623" s="22"/>
    </row>
    <row r="624" spans="10:24">
      <c r="J624" s="20" t="e">
        <f>VLOOKUP(G624,MD!M$2:O$93,3,FALSE)</f>
        <v>#N/A</v>
      </c>
      <c r="K624" s="29"/>
      <c r="P624" s="22"/>
      <c r="X624" s="22"/>
    </row>
    <row r="625" spans="10:24">
      <c r="J625" s="20" t="e">
        <f>VLOOKUP(G625,MD!M$2:O$93,3,FALSE)</f>
        <v>#N/A</v>
      </c>
      <c r="K625" s="29"/>
      <c r="P625" s="22"/>
      <c r="X625" s="22"/>
    </row>
    <row r="626" spans="10:24">
      <c r="J626" s="20" t="e">
        <f>VLOOKUP(G626,MD!M$2:O$93,3,FALSE)</f>
        <v>#N/A</v>
      </c>
      <c r="K626" s="29"/>
      <c r="P626" s="22"/>
      <c r="X626" s="22"/>
    </row>
    <row r="627" spans="10:24">
      <c r="J627" s="20" t="e">
        <f>VLOOKUP(G627,MD!M$2:O$93,3,FALSE)</f>
        <v>#N/A</v>
      </c>
      <c r="K627" s="29"/>
      <c r="P627" s="22"/>
      <c r="X627" s="22"/>
    </row>
    <row r="628" spans="10:24">
      <c r="J628" s="20" t="e">
        <f>VLOOKUP(G628,MD!M$2:O$93,3,FALSE)</f>
        <v>#N/A</v>
      </c>
      <c r="K628" s="29"/>
      <c r="P628" s="22"/>
      <c r="X628" s="22"/>
    </row>
    <row r="629" spans="10:24">
      <c r="J629" s="20" t="e">
        <f>VLOOKUP(G629,MD!M$2:O$93,3,FALSE)</f>
        <v>#N/A</v>
      </c>
      <c r="K629" s="29"/>
      <c r="P629" s="22"/>
      <c r="X629" s="22"/>
    </row>
    <row r="630" spans="10:24">
      <c r="J630" s="20" t="e">
        <f>VLOOKUP(G630,MD!M$2:O$93,3,FALSE)</f>
        <v>#N/A</v>
      </c>
      <c r="K630" s="29"/>
      <c r="P630" s="22"/>
      <c r="X630" s="22"/>
    </row>
    <row r="631" spans="10:24">
      <c r="J631" s="20" t="e">
        <f>VLOOKUP(G631,MD!M$2:O$93,3,FALSE)</f>
        <v>#N/A</v>
      </c>
      <c r="K631" s="29"/>
      <c r="P631" s="22"/>
      <c r="X631" s="22"/>
    </row>
    <row r="632" spans="10:24">
      <c r="J632" s="20" t="e">
        <f>VLOOKUP(G632,MD!M$2:O$93,3,FALSE)</f>
        <v>#N/A</v>
      </c>
      <c r="K632" s="29"/>
      <c r="P632" s="22"/>
      <c r="X632" s="22"/>
    </row>
    <row r="633" spans="10:24">
      <c r="J633" s="20" t="e">
        <f>VLOOKUP(G633,MD!M$2:O$93,3,FALSE)</f>
        <v>#N/A</v>
      </c>
      <c r="K633" s="29"/>
      <c r="P633" s="22"/>
      <c r="X633" s="22"/>
    </row>
    <row r="634" spans="10:24">
      <c r="J634" s="20" t="e">
        <f>VLOOKUP(G634,MD!M$2:O$93,3,FALSE)</f>
        <v>#N/A</v>
      </c>
      <c r="K634" s="29"/>
      <c r="P634" s="22"/>
      <c r="X634" s="22"/>
    </row>
    <row r="635" spans="10:24">
      <c r="J635" s="20" t="e">
        <f>VLOOKUP(G635,MD!M$2:O$93,3,FALSE)</f>
        <v>#N/A</v>
      </c>
      <c r="K635" s="29"/>
      <c r="P635" s="22"/>
      <c r="X635" s="22"/>
    </row>
    <row r="636" spans="10:24">
      <c r="J636" s="20" t="e">
        <f>VLOOKUP(G636,MD!M$2:O$93,3,FALSE)</f>
        <v>#N/A</v>
      </c>
      <c r="K636" s="29"/>
      <c r="P636" s="22"/>
      <c r="X636" s="22"/>
    </row>
    <row r="637" spans="10:24">
      <c r="J637" s="20" t="e">
        <f>VLOOKUP(G637,MD!M$2:O$93,3,FALSE)</f>
        <v>#N/A</v>
      </c>
      <c r="K637" s="29"/>
      <c r="P637" s="22"/>
      <c r="X637" s="22"/>
    </row>
    <row r="638" spans="10:24">
      <c r="J638" s="20" t="e">
        <f>VLOOKUP(G638,MD!M$2:O$93,3,FALSE)</f>
        <v>#N/A</v>
      </c>
      <c r="K638" s="29"/>
      <c r="P638" s="22"/>
      <c r="X638" s="22"/>
    </row>
    <row r="639" spans="10:24">
      <c r="J639" s="20" t="e">
        <f>VLOOKUP(G639,MD!M$2:O$93,3,FALSE)</f>
        <v>#N/A</v>
      </c>
      <c r="K639" s="29"/>
      <c r="P639" s="22"/>
      <c r="X639" s="22"/>
    </row>
    <row r="640" spans="10:24">
      <c r="J640" s="20" t="e">
        <f>VLOOKUP(G640,MD!M$2:O$93,3,FALSE)</f>
        <v>#N/A</v>
      </c>
      <c r="K640" s="29"/>
      <c r="P640" s="22"/>
      <c r="X640" s="22"/>
    </row>
    <row r="641" spans="10:24">
      <c r="J641" s="20" t="e">
        <f>VLOOKUP(G641,MD!M$2:O$93,3,FALSE)</f>
        <v>#N/A</v>
      </c>
      <c r="K641" s="29"/>
      <c r="P641" s="22"/>
      <c r="X641" s="22"/>
    </row>
    <row r="642" spans="10:24">
      <c r="J642" s="20" t="e">
        <f>VLOOKUP(G642,MD!M$2:O$93,3,FALSE)</f>
        <v>#N/A</v>
      </c>
      <c r="K642" s="29"/>
      <c r="P642" s="22"/>
      <c r="X642" s="22"/>
    </row>
    <row r="643" spans="10:24">
      <c r="J643" s="20" t="e">
        <f>VLOOKUP(G643,MD!M$2:O$93,3,FALSE)</f>
        <v>#N/A</v>
      </c>
      <c r="K643" s="29"/>
      <c r="P643" s="22"/>
      <c r="X643" s="22"/>
    </row>
    <row r="644" spans="10:24">
      <c r="J644" s="20" t="e">
        <f>VLOOKUP(G644,MD!M$2:O$93,3,FALSE)</f>
        <v>#N/A</v>
      </c>
      <c r="K644" s="29"/>
      <c r="P644" s="22"/>
      <c r="X644" s="22"/>
    </row>
    <row r="645" spans="10:24">
      <c r="J645" s="20" t="e">
        <f>VLOOKUP(G645,MD!M$2:O$93,3,FALSE)</f>
        <v>#N/A</v>
      </c>
      <c r="K645" s="29"/>
      <c r="P645" s="22"/>
      <c r="X645" s="22"/>
    </row>
    <row r="646" spans="10:24">
      <c r="J646" s="20" t="e">
        <f>VLOOKUP(G646,MD!M$2:O$93,3,FALSE)</f>
        <v>#N/A</v>
      </c>
      <c r="K646" s="29"/>
      <c r="P646" s="22"/>
      <c r="X646" s="22"/>
    </row>
    <row r="647" spans="10:24">
      <c r="J647" s="20" t="e">
        <f>VLOOKUP(G647,MD!M$2:O$93,3,FALSE)</f>
        <v>#N/A</v>
      </c>
      <c r="K647" s="29"/>
      <c r="P647" s="22"/>
      <c r="X647" s="22"/>
    </row>
    <row r="648" spans="10:24">
      <c r="J648" s="20" t="e">
        <f>VLOOKUP(G648,MD!M$2:O$93,3,FALSE)</f>
        <v>#N/A</v>
      </c>
      <c r="K648" s="29"/>
      <c r="P648" s="22"/>
      <c r="X648" s="22"/>
    </row>
    <row r="649" spans="10:24">
      <c r="J649" s="20" t="e">
        <f>VLOOKUP(G649,MD!M$2:O$93,3,FALSE)</f>
        <v>#N/A</v>
      </c>
      <c r="K649" s="29"/>
      <c r="P649" s="22"/>
      <c r="X649" s="22"/>
    </row>
    <row r="650" spans="10:24">
      <c r="J650" s="20" t="e">
        <f>VLOOKUP(G650,MD!M$2:O$93,3,FALSE)</f>
        <v>#N/A</v>
      </c>
      <c r="K650" s="29"/>
      <c r="P650" s="22"/>
      <c r="X650" s="22"/>
    </row>
    <row r="651" spans="10:24">
      <c r="J651" s="20" t="e">
        <f>VLOOKUP(G651,MD!M$2:O$93,3,FALSE)</f>
        <v>#N/A</v>
      </c>
      <c r="K651" s="29"/>
      <c r="P651" s="22"/>
      <c r="X651" s="22"/>
    </row>
    <row r="652" spans="10:24">
      <c r="J652" s="20" t="e">
        <f>VLOOKUP(G652,MD!M$2:O$93,3,FALSE)</f>
        <v>#N/A</v>
      </c>
      <c r="K652" s="29"/>
      <c r="P652" s="22"/>
      <c r="X652" s="22"/>
    </row>
    <row r="653" spans="10:24">
      <c r="J653" s="20" t="e">
        <f>VLOOKUP(G653,MD!M$2:O$93,3,FALSE)</f>
        <v>#N/A</v>
      </c>
      <c r="K653" s="29"/>
      <c r="P653" s="22"/>
      <c r="X653" s="22"/>
    </row>
    <row r="654" spans="10:24">
      <c r="J654" s="20" t="e">
        <f>VLOOKUP(G654,MD!M$2:O$93,3,FALSE)</f>
        <v>#N/A</v>
      </c>
      <c r="K654" s="29"/>
      <c r="P654" s="22"/>
      <c r="X654" s="22"/>
    </row>
    <row r="655" spans="10:24">
      <c r="J655" s="20" t="e">
        <f>VLOOKUP(G655,MD!M$2:O$93,3,FALSE)</f>
        <v>#N/A</v>
      </c>
      <c r="K655" s="29"/>
      <c r="P655" s="22"/>
      <c r="X655" s="22"/>
    </row>
    <row r="656" spans="10:24">
      <c r="J656" s="20" t="e">
        <f>VLOOKUP(G656,MD!M$2:O$93,3,FALSE)</f>
        <v>#N/A</v>
      </c>
      <c r="K656" s="29"/>
      <c r="P656" s="22"/>
      <c r="X656" s="22"/>
    </row>
    <row r="657" spans="10:24">
      <c r="J657" s="20" t="e">
        <f>VLOOKUP(G657,MD!M$2:O$93,3,FALSE)</f>
        <v>#N/A</v>
      </c>
      <c r="K657" s="29"/>
      <c r="P657" s="22"/>
      <c r="X657" s="22"/>
    </row>
    <row r="658" spans="10:24">
      <c r="J658" s="20" t="e">
        <f>VLOOKUP(G658,MD!M$2:O$93,3,FALSE)</f>
        <v>#N/A</v>
      </c>
      <c r="K658" s="29"/>
      <c r="P658" s="22"/>
      <c r="X658" s="22"/>
    </row>
    <row r="659" spans="10:24">
      <c r="J659" s="20" t="e">
        <f>VLOOKUP(G659,MD!M$2:O$93,3,FALSE)</f>
        <v>#N/A</v>
      </c>
      <c r="K659" s="29"/>
      <c r="P659" s="22"/>
      <c r="X659" s="22"/>
    </row>
    <row r="660" spans="10:24">
      <c r="J660" s="20" t="e">
        <f>VLOOKUP(G660,MD!M$2:O$93,3,FALSE)</f>
        <v>#N/A</v>
      </c>
      <c r="K660" s="29"/>
      <c r="P660" s="22"/>
      <c r="X660" s="22"/>
    </row>
    <row r="661" spans="10:24">
      <c r="J661" s="20" t="e">
        <f>VLOOKUP(G661,MD!M$2:O$93,3,FALSE)</f>
        <v>#N/A</v>
      </c>
      <c r="K661" s="29"/>
      <c r="P661" s="22"/>
      <c r="X661" s="22"/>
    </row>
    <row r="662" spans="10:24">
      <c r="J662" s="20" t="e">
        <f>VLOOKUP(G662,MD!M$2:O$93,3,FALSE)</f>
        <v>#N/A</v>
      </c>
      <c r="K662" s="29"/>
      <c r="P662" s="22"/>
      <c r="X662" s="22"/>
    </row>
    <row r="663" spans="10:24">
      <c r="J663" s="20" t="e">
        <f>VLOOKUP(G663,MD!M$2:O$93,3,FALSE)</f>
        <v>#N/A</v>
      </c>
      <c r="K663" s="29"/>
      <c r="P663" s="22"/>
      <c r="X663" s="22"/>
    </row>
    <row r="664" spans="10:24">
      <c r="J664" s="20" t="e">
        <f>VLOOKUP(G664,MD!M$2:O$93,3,FALSE)</f>
        <v>#N/A</v>
      </c>
      <c r="K664" s="29"/>
      <c r="P664" s="22"/>
      <c r="X664" s="22"/>
    </row>
    <row r="665" spans="10:24">
      <c r="J665" s="20" t="e">
        <f>VLOOKUP(G665,MD!M$2:O$93,3,FALSE)</f>
        <v>#N/A</v>
      </c>
      <c r="K665" s="29"/>
      <c r="P665" s="22"/>
      <c r="X665" s="22"/>
    </row>
    <row r="666" spans="10:24">
      <c r="J666" s="20" t="e">
        <f>VLOOKUP(G666,MD!M$2:O$93,3,FALSE)</f>
        <v>#N/A</v>
      </c>
      <c r="K666" s="29"/>
      <c r="P666" s="22"/>
      <c r="X666" s="22"/>
    </row>
    <row r="667" spans="10:24">
      <c r="J667" s="20" t="e">
        <f>VLOOKUP(G667,MD!M$2:O$93,3,FALSE)</f>
        <v>#N/A</v>
      </c>
      <c r="K667" s="29"/>
      <c r="P667" s="22"/>
      <c r="X667" s="22"/>
    </row>
    <row r="668" spans="10:24">
      <c r="J668" s="20" t="e">
        <f>VLOOKUP(G668,MD!M$2:O$93,3,FALSE)</f>
        <v>#N/A</v>
      </c>
      <c r="K668" s="29"/>
      <c r="P668" s="22"/>
      <c r="X668" s="22"/>
    </row>
    <row r="669" spans="10:24">
      <c r="J669" s="20" t="e">
        <f>VLOOKUP(G669,MD!M$2:O$93,3,FALSE)</f>
        <v>#N/A</v>
      </c>
      <c r="K669" s="29"/>
      <c r="P669" s="22"/>
      <c r="X669" s="22"/>
    </row>
    <row r="670" spans="10:24">
      <c r="J670" s="20" t="e">
        <f>VLOOKUP(G670,MD!M$2:O$93,3,FALSE)</f>
        <v>#N/A</v>
      </c>
      <c r="K670" s="29"/>
      <c r="P670" s="22"/>
      <c r="X670" s="22"/>
    </row>
    <row r="671" spans="10:24">
      <c r="J671" s="20" t="e">
        <f>VLOOKUP(G671,MD!M$2:O$93,3,FALSE)</f>
        <v>#N/A</v>
      </c>
      <c r="K671" s="29"/>
      <c r="P671" s="22"/>
      <c r="X671" s="22"/>
    </row>
    <row r="672" spans="10:24">
      <c r="J672" s="20" t="e">
        <f>VLOOKUP(G672,MD!M$2:O$93,3,FALSE)</f>
        <v>#N/A</v>
      </c>
      <c r="K672" s="29"/>
      <c r="P672" s="22"/>
      <c r="X672" s="22"/>
    </row>
    <row r="673" spans="10:24">
      <c r="J673" s="20" t="e">
        <f>VLOOKUP(G673,MD!M$2:O$93,3,FALSE)</f>
        <v>#N/A</v>
      </c>
      <c r="K673" s="29"/>
      <c r="P673" s="22"/>
      <c r="X673" s="22"/>
    </row>
    <row r="674" spans="10:24">
      <c r="J674" s="20" t="e">
        <f>VLOOKUP(G674,MD!M$2:O$93,3,FALSE)</f>
        <v>#N/A</v>
      </c>
      <c r="K674" s="29"/>
      <c r="P674" s="22"/>
      <c r="X674" s="22"/>
    </row>
    <row r="675" spans="10:24">
      <c r="J675" s="20" t="e">
        <f>VLOOKUP(G675,MD!M$2:O$93,3,FALSE)</f>
        <v>#N/A</v>
      </c>
      <c r="K675" s="29"/>
      <c r="P675" s="22"/>
      <c r="X675" s="22"/>
    </row>
    <row r="676" spans="10:24">
      <c r="J676" s="20" t="e">
        <f>VLOOKUP(G676,MD!M$2:O$93,3,FALSE)</f>
        <v>#N/A</v>
      </c>
      <c r="K676" s="29"/>
      <c r="P676" s="22"/>
      <c r="X676" s="22"/>
    </row>
    <row r="677" spans="10:24">
      <c r="J677" s="20" t="e">
        <f>VLOOKUP(G677,MD!M$2:O$93,3,FALSE)</f>
        <v>#N/A</v>
      </c>
      <c r="K677" s="29"/>
      <c r="P677" s="22"/>
      <c r="X677" s="22"/>
    </row>
    <row r="678" spans="10:24">
      <c r="J678" s="20" t="e">
        <f>VLOOKUP(G678,MD!M$2:O$93,3,FALSE)</f>
        <v>#N/A</v>
      </c>
      <c r="K678" s="29"/>
      <c r="P678" s="22"/>
      <c r="X678" s="22"/>
    </row>
    <row r="679" spans="10:24">
      <c r="J679" s="20" t="e">
        <f>VLOOKUP(G679,MD!M$2:O$93,3,FALSE)</f>
        <v>#N/A</v>
      </c>
      <c r="K679" s="29"/>
      <c r="P679" s="22"/>
      <c r="X679" s="22"/>
    </row>
    <row r="680" spans="10:24">
      <c r="J680" s="20" t="e">
        <f>VLOOKUP(G680,MD!M$2:O$93,3,FALSE)</f>
        <v>#N/A</v>
      </c>
      <c r="K680" s="29"/>
      <c r="P680" s="22"/>
      <c r="X680" s="22"/>
    </row>
    <row r="681" spans="10:24">
      <c r="J681" s="20" t="e">
        <f>VLOOKUP(G681,MD!M$2:O$93,3,FALSE)</f>
        <v>#N/A</v>
      </c>
      <c r="K681" s="29"/>
      <c r="P681" s="22"/>
      <c r="X681" s="22"/>
    </row>
    <row r="682" spans="10:24">
      <c r="J682" s="20" t="e">
        <f>VLOOKUP(G682,MD!M$2:O$93,3,FALSE)</f>
        <v>#N/A</v>
      </c>
      <c r="K682" s="29"/>
      <c r="P682" s="22"/>
      <c r="X682" s="22"/>
    </row>
    <row r="683" spans="10:24">
      <c r="J683" s="20" t="e">
        <f>VLOOKUP(G683,MD!M$2:O$93,3,FALSE)</f>
        <v>#N/A</v>
      </c>
      <c r="K683" s="29"/>
      <c r="P683" s="22"/>
      <c r="X683" s="22"/>
    </row>
    <row r="684" spans="10:24">
      <c r="J684" s="20" t="e">
        <f>VLOOKUP(G684,MD!M$2:O$93,3,FALSE)</f>
        <v>#N/A</v>
      </c>
      <c r="K684" s="29"/>
      <c r="P684" s="22"/>
      <c r="X684" s="22"/>
    </row>
    <row r="685" spans="10:24">
      <c r="J685" s="20" t="e">
        <f>VLOOKUP(G685,MD!M$2:O$93,3,FALSE)</f>
        <v>#N/A</v>
      </c>
      <c r="K685" s="29"/>
      <c r="P685" s="22"/>
      <c r="X685" s="22"/>
    </row>
    <row r="686" spans="10:24">
      <c r="J686" s="20" t="e">
        <f>VLOOKUP(G686,MD!M$2:O$93,3,FALSE)</f>
        <v>#N/A</v>
      </c>
      <c r="K686" s="29"/>
      <c r="P686" s="22"/>
      <c r="X686" s="22"/>
    </row>
    <row r="687" spans="10:24">
      <c r="J687" s="20" t="e">
        <f>VLOOKUP(G687,MD!M$2:O$93,3,FALSE)</f>
        <v>#N/A</v>
      </c>
      <c r="K687" s="29"/>
      <c r="P687" s="22"/>
      <c r="X687" s="22"/>
    </row>
    <row r="688" spans="10:24">
      <c r="J688" s="20" t="e">
        <f>VLOOKUP(G688,MD!M$2:O$93,3,FALSE)</f>
        <v>#N/A</v>
      </c>
      <c r="K688" s="29"/>
      <c r="P688" s="22"/>
      <c r="X688" s="22"/>
    </row>
    <row r="689" spans="10:24">
      <c r="J689" s="20" t="e">
        <f>VLOOKUP(G689,MD!M$2:O$93,3,FALSE)</f>
        <v>#N/A</v>
      </c>
      <c r="K689" s="29"/>
      <c r="P689" s="22"/>
      <c r="X689" s="22"/>
    </row>
    <row r="690" spans="10:24">
      <c r="J690" s="20" t="e">
        <f>VLOOKUP(G690,MD!M$2:O$93,3,FALSE)</f>
        <v>#N/A</v>
      </c>
      <c r="K690" s="29"/>
      <c r="P690" s="22"/>
      <c r="X690" s="22"/>
    </row>
    <row r="691" spans="10:24">
      <c r="J691" s="20" t="e">
        <f>VLOOKUP(G691,MD!M$2:O$93,3,FALSE)</f>
        <v>#N/A</v>
      </c>
      <c r="K691" s="29"/>
      <c r="P691" s="22"/>
      <c r="X691" s="22"/>
    </row>
    <row r="692" spans="10:24">
      <c r="J692" s="20" t="e">
        <f>VLOOKUP(G692,MD!M$2:O$93,3,FALSE)</f>
        <v>#N/A</v>
      </c>
      <c r="K692" s="29"/>
      <c r="P692" s="22"/>
      <c r="X692" s="22"/>
    </row>
    <row r="693" spans="10:24">
      <c r="J693" s="20" t="e">
        <f>VLOOKUP(G693,MD!M$2:O$93,3,FALSE)</f>
        <v>#N/A</v>
      </c>
      <c r="K693" s="29"/>
      <c r="P693" s="22"/>
      <c r="X693" s="22"/>
    </row>
    <row r="694" spans="10:24">
      <c r="J694" s="20" t="e">
        <f>VLOOKUP(G694,MD!M$2:O$93,3,FALSE)</f>
        <v>#N/A</v>
      </c>
      <c r="K694" s="29"/>
      <c r="P694" s="22"/>
      <c r="X694" s="22"/>
    </row>
    <row r="695" spans="10:24">
      <c r="J695" s="20" t="e">
        <f>VLOOKUP(G695,MD!M$2:O$93,3,FALSE)</f>
        <v>#N/A</v>
      </c>
      <c r="K695" s="29"/>
      <c r="P695" s="22"/>
      <c r="X695" s="22"/>
    </row>
    <row r="696" spans="10:24">
      <c r="J696" s="20" t="e">
        <f>VLOOKUP(G696,MD!M$2:O$93,3,FALSE)</f>
        <v>#N/A</v>
      </c>
      <c r="K696" s="29"/>
      <c r="P696" s="22"/>
      <c r="X696" s="22"/>
    </row>
    <row r="697" spans="10:24">
      <c r="J697" s="20" t="e">
        <f>VLOOKUP(G697,MD!M$2:O$93,3,FALSE)</f>
        <v>#N/A</v>
      </c>
      <c r="K697" s="29"/>
      <c r="P697" s="22"/>
      <c r="X697" s="22"/>
    </row>
    <row r="698" spans="10:24">
      <c r="J698" s="20" t="e">
        <f>VLOOKUP(G698,MD!M$2:O$93,3,FALSE)</f>
        <v>#N/A</v>
      </c>
      <c r="K698" s="29"/>
      <c r="P698" s="22"/>
      <c r="X698" s="22"/>
    </row>
    <row r="699" spans="10:24">
      <c r="J699" s="20" t="e">
        <f>VLOOKUP(G699,MD!M$2:O$93,3,FALSE)</f>
        <v>#N/A</v>
      </c>
      <c r="K699" s="29"/>
      <c r="P699" s="22"/>
      <c r="X699" s="22"/>
    </row>
    <row r="700" spans="10:24">
      <c r="J700" s="20" t="e">
        <f>VLOOKUP(G700,MD!M$2:O$93,3,FALSE)</f>
        <v>#N/A</v>
      </c>
      <c r="K700" s="29"/>
      <c r="P700" s="22"/>
      <c r="X700" s="22"/>
    </row>
    <row r="701" spans="10:24">
      <c r="J701" s="20" t="e">
        <f>VLOOKUP(G701,MD!M$2:O$93,3,FALSE)</f>
        <v>#N/A</v>
      </c>
      <c r="K701" s="29"/>
      <c r="P701" s="22"/>
      <c r="X701" s="22"/>
    </row>
    <row r="702" spans="10:24">
      <c r="J702" s="20" t="e">
        <f>VLOOKUP(G702,MD!M$2:O$93,3,FALSE)</f>
        <v>#N/A</v>
      </c>
      <c r="K702" s="29"/>
      <c r="P702" s="22"/>
      <c r="X702" s="22"/>
    </row>
    <row r="703" spans="10:24">
      <c r="J703" s="20" t="e">
        <f>VLOOKUP(G703,MD!M$2:O$93,3,FALSE)</f>
        <v>#N/A</v>
      </c>
      <c r="K703" s="29"/>
      <c r="P703" s="22"/>
      <c r="X703" s="22"/>
    </row>
    <row r="704" spans="10:24">
      <c r="J704" s="20" t="e">
        <f>VLOOKUP(G704,MD!M$2:O$93,3,FALSE)</f>
        <v>#N/A</v>
      </c>
      <c r="K704" s="29"/>
      <c r="P704" s="22"/>
      <c r="X704" s="22"/>
    </row>
    <row r="705" spans="10:24">
      <c r="J705" s="20" t="e">
        <f>VLOOKUP(G705,MD!M$2:O$93,3,FALSE)</f>
        <v>#N/A</v>
      </c>
      <c r="K705" s="29"/>
      <c r="P705" s="22"/>
      <c r="X705" s="22"/>
    </row>
    <row r="706" spans="10:24">
      <c r="J706" s="20" t="e">
        <f>VLOOKUP(G706,MD!M$2:O$93,3,FALSE)</f>
        <v>#N/A</v>
      </c>
      <c r="K706" s="29"/>
      <c r="P706" s="22"/>
      <c r="X706" s="22"/>
    </row>
    <row r="707" spans="10:24">
      <c r="J707" s="20" t="e">
        <f>VLOOKUP(G707,MD!M$2:O$93,3,FALSE)</f>
        <v>#N/A</v>
      </c>
      <c r="K707" s="29"/>
      <c r="P707" s="22"/>
      <c r="X707" s="22"/>
    </row>
    <row r="708" spans="10:24">
      <c r="J708" s="20" t="e">
        <f>VLOOKUP(G708,MD!M$2:O$93,3,FALSE)</f>
        <v>#N/A</v>
      </c>
      <c r="K708" s="29"/>
      <c r="P708" s="22"/>
      <c r="X708" s="22"/>
    </row>
    <row r="709" spans="10:24">
      <c r="J709" s="20" t="e">
        <f>VLOOKUP(G709,MD!M$2:O$93,3,FALSE)</f>
        <v>#N/A</v>
      </c>
      <c r="K709" s="29"/>
      <c r="P709" s="22"/>
      <c r="X709" s="22"/>
    </row>
    <row r="710" spans="10:24">
      <c r="J710" s="20" t="e">
        <f>VLOOKUP(G710,MD!M$2:O$93,3,FALSE)</f>
        <v>#N/A</v>
      </c>
      <c r="K710" s="29"/>
      <c r="P710" s="22"/>
      <c r="X710" s="22"/>
    </row>
    <row r="711" spans="10:24">
      <c r="J711" s="20" t="e">
        <f>VLOOKUP(G711,MD!M$2:O$93,3,FALSE)</f>
        <v>#N/A</v>
      </c>
      <c r="K711" s="29"/>
      <c r="P711" s="22"/>
      <c r="X711" s="22"/>
    </row>
    <row r="712" spans="10:24">
      <c r="J712" s="20" t="e">
        <f>VLOOKUP(G712,MD!M$2:O$93,3,FALSE)</f>
        <v>#N/A</v>
      </c>
      <c r="K712" s="29"/>
      <c r="P712" s="22"/>
      <c r="X712" s="22"/>
    </row>
    <row r="713" spans="10:24">
      <c r="J713" s="20" t="e">
        <f>VLOOKUP(G713,MD!M$2:O$93,3,FALSE)</f>
        <v>#N/A</v>
      </c>
      <c r="K713" s="29"/>
      <c r="P713" s="22"/>
      <c r="X713" s="22"/>
    </row>
    <row r="714" spans="10:24">
      <c r="J714" s="20" t="e">
        <f>VLOOKUP(G714,MD!M$2:O$93,3,FALSE)</f>
        <v>#N/A</v>
      </c>
      <c r="K714" s="29"/>
      <c r="P714" s="22"/>
      <c r="X714" s="22"/>
    </row>
    <row r="715" spans="10:24">
      <c r="J715" s="20" t="e">
        <f>VLOOKUP(G715,MD!M$2:O$93,3,FALSE)</f>
        <v>#N/A</v>
      </c>
      <c r="K715" s="29"/>
      <c r="P715" s="22"/>
      <c r="X715" s="22"/>
    </row>
    <row r="716" spans="10:24">
      <c r="J716" s="20" t="e">
        <f>VLOOKUP(G716,MD!M$2:O$93,3,FALSE)</f>
        <v>#N/A</v>
      </c>
      <c r="K716" s="29"/>
      <c r="P716" s="22"/>
      <c r="X716" s="22"/>
    </row>
    <row r="717" spans="10:24">
      <c r="J717" s="20" t="e">
        <f>VLOOKUP(G717,MD!M$2:O$93,3,FALSE)</f>
        <v>#N/A</v>
      </c>
      <c r="K717" s="29"/>
      <c r="P717" s="22"/>
      <c r="X717" s="22"/>
    </row>
    <row r="718" spans="10:24">
      <c r="J718" s="20" t="e">
        <f>VLOOKUP(G718,MD!M$2:O$93,3,FALSE)</f>
        <v>#N/A</v>
      </c>
      <c r="K718" s="29"/>
      <c r="P718" s="22"/>
      <c r="X718" s="22"/>
    </row>
    <row r="719" spans="10:24">
      <c r="J719" s="20" t="e">
        <f>VLOOKUP(G719,MD!M$2:O$93,3,FALSE)</f>
        <v>#N/A</v>
      </c>
      <c r="K719" s="29"/>
      <c r="P719" s="22"/>
      <c r="X719" s="22"/>
    </row>
    <row r="720" spans="10:24">
      <c r="J720" s="20" t="e">
        <f>VLOOKUP(G720,MD!M$2:O$93,3,FALSE)</f>
        <v>#N/A</v>
      </c>
      <c r="K720" s="29"/>
      <c r="P720" s="22"/>
      <c r="X720" s="22"/>
    </row>
    <row r="721" spans="10:24">
      <c r="J721" s="20" t="e">
        <f>VLOOKUP(G721,MD!M$2:O$93,3,FALSE)</f>
        <v>#N/A</v>
      </c>
      <c r="K721" s="29"/>
      <c r="P721" s="22"/>
      <c r="X721" s="22"/>
    </row>
    <row r="722" spans="10:24">
      <c r="J722" s="20" t="e">
        <f>VLOOKUP(G722,MD!M$2:O$93,3,FALSE)</f>
        <v>#N/A</v>
      </c>
      <c r="K722" s="29"/>
      <c r="P722" s="22"/>
      <c r="X722" s="22"/>
    </row>
    <row r="723" spans="10:24">
      <c r="J723" s="20" t="e">
        <f>VLOOKUP(G723,MD!M$2:O$93,3,FALSE)</f>
        <v>#N/A</v>
      </c>
      <c r="K723" s="29"/>
      <c r="P723" s="22"/>
      <c r="X723" s="22"/>
    </row>
    <row r="724" spans="10:24">
      <c r="J724" s="20" t="e">
        <f>VLOOKUP(G724,MD!M$2:O$93,3,FALSE)</f>
        <v>#N/A</v>
      </c>
      <c r="K724" s="29"/>
      <c r="P724" s="22"/>
      <c r="X724" s="22"/>
    </row>
    <row r="725" spans="10:24">
      <c r="J725" s="20" t="e">
        <f>VLOOKUP(G725,MD!M$2:O$93,3,FALSE)</f>
        <v>#N/A</v>
      </c>
      <c r="K725" s="29"/>
      <c r="P725" s="22"/>
      <c r="X725" s="22"/>
    </row>
    <row r="726" spans="10:24">
      <c r="J726" s="20" t="e">
        <f>VLOOKUP(G726,MD!M$2:O$93,3,FALSE)</f>
        <v>#N/A</v>
      </c>
      <c r="K726" s="29"/>
      <c r="P726" s="22"/>
      <c r="X726" s="22"/>
    </row>
    <row r="727" spans="10:24">
      <c r="J727" s="20" t="e">
        <f>VLOOKUP(G727,MD!M$2:O$93,3,FALSE)</f>
        <v>#N/A</v>
      </c>
      <c r="K727" s="29"/>
      <c r="P727" s="22"/>
      <c r="X727" s="22"/>
    </row>
    <row r="728" spans="10:24">
      <c r="J728" s="20" t="e">
        <f>VLOOKUP(G728,MD!M$2:O$93,3,FALSE)</f>
        <v>#N/A</v>
      </c>
      <c r="K728" s="29"/>
      <c r="P728" s="22"/>
      <c r="X728" s="22"/>
    </row>
    <row r="729" spans="10:24">
      <c r="J729" s="20" t="e">
        <f>VLOOKUP(G729,MD!M$2:O$93,3,FALSE)</f>
        <v>#N/A</v>
      </c>
      <c r="K729" s="29"/>
      <c r="P729" s="22"/>
      <c r="X729" s="22"/>
    </row>
    <row r="730" spans="10:24">
      <c r="J730" s="20" t="e">
        <f>VLOOKUP(G730,MD!M$2:O$93,3,FALSE)</f>
        <v>#N/A</v>
      </c>
      <c r="K730" s="29"/>
      <c r="P730" s="22"/>
      <c r="X730" s="22"/>
    </row>
    <row r="731" spans="10:24">
      <c r="J731" s="20" t="e">
        <f>VLOOKUP(G731,MD!M$2:O$93,3,FALSE)</f>
        <v>#N/A</v>
      </c>
      <c r="K731" s="29"/>
      <c r="P731" s="22"/>
      <c r="X731" s="22"/>
    </row>
    <row r="732" spans="10:24">
      <c r="J732" s="20" t="e">
        <f>VLOOKUP(G732,MD!M$2:O$93,3,FALSE)</f>
        <v>#N/A</v>
      </c>
      <c r="K732" s="29"/>
      <c r="P732" s="22"/>
      <c r="X732" s="22"/>
    </row>
    <row r="733" spans="10:24">
      <c r="J733" s="20" t="e">
        <f>VLOOKUP(G733,MD!M$2:O$93,3,FALSE)</f>
        <v>#N/A</v>
      </c>
      <c r="K733" s="29"/>
      <c r="P733" s="22"/>
      <c r="X733" s="22"/>
    </row>
    <row r="734" spans="10:24">
      <c r="J734" s="20" t="e">
        <f>VLOOKUP(G734,MD!M$2:O$93,3,FALSE)</f>
        <v>#N/A</v>
      </c>
      <c r="K734" s="29"/>
      <c r="P734" s="22"/>
      <c r="X734" s="22"/>
    </row>
    <row r="735" spans="10:24">
      <c r="J735" s="20" t="e">
        <f>VLOOKUP(G735,MD!M$2:O$93,3,FALSE)</f>
        <v>#N/A</v>
      </c>
      <c r="K735" s="29"/>
      <c r="P735" s="22"/>
      <c r="X735" s="22"/>
    </row>
    <row r="736" spans="10:24">
      <c r="J736" s="20" t="e">
        <f>VLOOKUP(G736,MD!M$2:O$93,3,FALSE)</f>
        <v>#N/A</v>
      </c>
      <c r="K736" s="29"/>
      <c r="P736" s="22"/>
      <c r="X736" s="22"/>
    </row>
    <row r="737" spans="10:24">
      <c r="J737" s="20" t="e">
        <f>VLOOKUP(G737,MD!M$2:O$93,3,FALSE)</f>
        <v>#N/A</v>
      </c>
      <c r="K737" s="29"/>
      <c r="P737" s="22"/>
      <c r="X737" s="22"/>
    </row>
    <row r="738" spans="10:24">
      <c r="J738" s="20" t="e">
        <f>VLOOKUP(G738,MD!M$2:O$93,3,FALSE)</f>
        <v>#N/A</v>
      </c>
      <c r="K738" s="29"/>
      <c r="P738" s="22"/>
      <c r="X738" s="22"/>
    </row>
    <row r="739" spans="10:24">
      <c r="J739" s="20" t="e">
        <f>VLOOKUP(G739,MD!M$2:O$93,3,FALSE)</f>
        <v>#N/A</v>
      </c>
      <c r="K739" s="29"/>
      <c r="P739" s="22"/>
      <c r="X739" s="22"/>
    </row>
    <row r="740" spans="10:24">
      <c r="J740" s="20" t="e">
        <f>VLOOKUP(G740,MD!M$2:O$93,3,FALSE)</f>
        <v>#N/A</v>
      </c>
      <c r="K740" s="29"/>
      <c r="P740" s="22"/>
      <c r="X740" s="22"/>
    </row>
    <row r="741" spans="10:24">
      <c r="J741" s="20" t="e">
        <f>VLOOKUP(G741,MD!M$2:O$93,3,FALSE)</f>
        <v>#N/A</v>
      </c>
      <c r="K741" s="29"/>
      <c r="P741" s="22"/>
      <c r="X741" s="22"/>
    </row>
    <row r="742" spans="10:24">
      <c r="J742" s="20" t="e">
        <f>VLOOKUP(G742,MD!M$2:O$93,3,FALSE)</f>
        <v>#N/A</v>
      </c>
      <c r="K742" s="29"/>
      <c r="P742" s="22"/>
      <c r="X742" s="22"/>
    </row>
    <row r="743" spans="10:24">
      <c r="J743" s="20" t="e">
        <f>VLOOKUP(G743,MD!M$2:O$93,3,FALSE)</f>
        <v>#N/A</v>
      </c>
      <c r="K743" s="29"/>
      <c r="P743" s="22"/>
      <c r="X743" s="22"/>
    </row>
    <row r="744" spans="10:24">
      <c r="J744" s="20" t="e">
        <f>VLOOKUP(G744,MD!M$2:O$93,3,FALSE)</f>
        <v>#N/A</v>
      </c>
      <c r="K744" s="29"/>
      <c r="P744" s="22"/>
      <c r="X744" s="22"/>
    </row>
    <row r="745" spans="10:24">
      <c r="J745" s="20" t="e">
        <f>VLOOKUP(G745,MD!M$2:O$93,3,FALSE)</f>
        <v>#N/A</v>
      </c>
      <c r="K745" s="29"/>
      <c r="P745" s="22"/>
      <c r="X745" s="22"/>
    </row>
    <row r="746" spans="10:24">
      <c r="J746" s="20" t="e">
        <f>VLOOKUP(G746,MD!M$2:O$93,3,FALSE)</f>
        <v>#N/A</v>
      </c>
      <c r="K746" s="29"/>
      <c r="P746" s="22"/>
      <c r="X746" s="22"/>
    </row>
    <row r="747" spans="10:24">
      <c r="J747" s="20" t="e">
        <f>VLOOKUP(G747,MD!M$2:O$93,3,FALSE)</f>
        <v>#N/A</v>
      </c>
      <c r="K747" s="29"/>
      <c r="P747" s="22"/>
      <c r="X747" s="22"/>
    </row>
    <row r="748" spans="10:24">
      <c r="J748" s="20" t="e">
        <f>VLOOKUP(G748,MD!M$2:O$93,3,FALSE)</f>
        <v>#N/A</v>
      </c>
      <c r="K748" s="29"/>
      <c r="P748" s="22"/>
      <c r="X748" s="22"/>
    </row>
    <row r="749" spans="10:24">
      <c r="J749" s="20" t="e">
        <f>VLOOKUP(G749,MD!M$2:O$93,3,FALSE)</f>
        <v>#N/A</v>
      </c>
      <c r="K749" s="29"/>
      <c r="P749" s="22"/>
      <c r="X749" s="22"/>
    </row>
    <row r="750" spans="10:24">
      <c r="J750" s="20" t="e">
        <f>VLOOKUP(G750,MD!M$2:O$93,3,FALSE)</f>
        <v>#N/A</v>
      </c>
      <c r="K750" s="29"/>
      <c r="P750" s="22"/>
      <c r="X750" s="22"/>
    </row>
    <row r="751" spans="10:24">
      <c r="J751" s="20" t="e">
        <f>VLOOKUP(G751,MD!M$2:O$93,3,FALSE)</f>
        <v>#N/A</v>
      </c>
      <c r="K751" s="29"/>
      <c r="P751" s="22"/>
      <c r="X751" s="22"/>
    </row>
    <row r="752" spans="10:24">
      <c r="J752" s="20" t="e">
        <f>VLOOKUP(G752,MD!M$2:O$93,3,FALSE)</f>
        <v>#N/A</v>
      </c>
      <c r="K752" s="29"/>
      <c r="P752" s="22"/>
      <c r="X752" s="22"/>
    </row>
    <row r="753" spans="10:24">
      <c r="J753" s="20" t="e">
        <f>VLOOKUP(G753,MD!M$2:O$93,3,FALSE)</f>
        <v>#N/A</v>
      </c>
      <c r="K753" s="29"/>
      <c r="P753" s="22"/>
      <c r="X753" s="22"/>
    </row>
    <row r="754" spans="10:24">
      <c r="J754" s="20" t="e">
        <f>VLOOKUP(G754,MD!M$2:O$93,3,FALSE)</f>
        <v>#N/A</v>
      </c>
      <c r="K754" s="29"/>
      <c r="P754" s="22"/>
      <c r="X754" s="22"/>
    </row>
    <row r="755" spans="10:24">
      <c r="J755" s="20" t="e">
        <f>VLOOKUP(G755,MD!M$2:O$93,3,FALSE)</f>
        <v>#N/A</v>
      </c>
      <c r="K755" s="29"/>
      <c r="P755" s="22"/>
      <c r="X755" s="22"/>
    </row>
    <row r="756" spans="10:24">
      <c r="J756" s="20" t="e">
        <f>VLOOKUP(G756,MD!M$2:O$93,3,FALSE)</f>
        <v>#N/A</v>
      </c>
      <c r="K756" s="29"/>
      <c r="P756" s="22"/>
      <c r="X756" s="22"/>
    </row>
    <row r="757" spans="10:24">
      <c r="J757" s="20" t="e">
        <f>VLOOKUP(G757,MD!M$2:O$93,3,FALSE)</f>
        <v>#N/A</v>
      </c>
      <c r="K757" s="29"/>
      <c r="P757" s="22"/>
      <c r="X757" s="22"/>
    </row>
    <row r="758" spans="10:24">
      <c r="J758" s="20" t="e">
        <f>VLOOKUP(G758,MD!M$2:O$93,3,FALSE)</f>
        <v>#N/A</v>
      </c>
      <c r="K758" s="29"/>
      <c r="P758" s="22"/>
      <c r="X758" s="22"/>
    </row>
    <row r="759" spans="10:24">
      <c r="J759" s="20" t="e">
        <f>VLOOKUP(G759,MD!M$2:O$93,3,FALSE)</f>
        <v>#N/A</v>
      </c>
      <c r="K759" s="29"/>
      <c r="P759" s="22"/>
      <c r="X759" s="22"/>
    </row>
    <row r="760" spans="10:24">
      <c r="J760" s="20" t="e">
        <f>VLOOKUP(G760,MD!M$2:O$93,3,FALSE)</f>
        <v>#N/A</v>
      </c>
      <c r="K760" s="29"/>
      <c r="P760" s="22"/>
      <c r="X760" s="22"/>
    </row>
    <row r="761" spans="10:24">
      <c r="J761" s="20" t="e">
        <f>VLOOKUP(G761,MD!M$2:O$93,3,FALSE)</f>
        <v>#N/A</v>
      </c>
      <c r="K761" s="29"/>
      <c r="P761" s="22"/>
      <c r="X761" s="22"/>
    </row>
    <row r="762" spans="10:24">
      <c r="J762" s="20" t="e">
        <f>VLOOKUP(G762,MD!M$2:O$93,3,FALSE)</f>
        <v>#N/A</v>
      </c>
      <c r="K762" s="29"/>
      <c r="P762" s="22"/>
      <c r="X762" s="22"/>
    </row>
    <row r="763" spans="10:24">
      <c r="J763" s="20" t="e">
        <f>VLOOKUP(G763,MD!M$2:O$93,3,FALSE)</f>
        <v>#N/A</v>
      </c>
      <c r="K763" s="29"/>
      <c r="P763" s="22"/>
      <c r="X763" s="22"/>
    </row>
    <row r="764" spans="10:24">
      <c r="J764" s="20" t="e">
        <f>VLOOKUP(G764,MD!M$2:O$93,3,FALSE)</f>
        <v>#N/A</v>
      </c>
      <c r="K764" s="29"/>
      <c r="P764" s="22"/>
      <c r="X764" s="22"/>
    </row>
    <row r="765" spans="10:24">
      <c r="J765" s="20" t="e">
        <f>VLOOKUP(G765,MD!M$2:O$93,3,FALSE)</f>
        <v>#N/A</v>
      </c>
      <c r="K765" s="29"/>
      <c r="P765" s="22"/>
      <c r="X765" s="22"/>
    </row>
    <row r="766" spans="10:24">
      <c r="J766" s="20" t="e">
        <f>VLOOKUP(G766,MD!M$2:O$93,3,FALSE)</f>
        <v>#N/A</v>
      </c>
      <c r="K766" s="29"/>
      <c r="P766" s="22"/>
      <c r="X766" s="22"/>
    </row>
    <row r="767" spans="10:24">
      <c r="J767" s="20" t="e">
        <f>VLOOKUP(G767,MD!M$2:O$93,3,FALSE)</f>
        <v>#N/A</v>
      </c>
      <c r="K767" s="29"/>
      <c r="P767" s="22"/>
      <c r="X767" s="22"/>
    </row>
    <row r="768" spans="10:24">
      <c r="J768" s="20" t="e">
        <f>VLOOKUP(G768,MD!M$2:O$93,3,FALSE)</f>
        <v>#N/A</v>
      </c>
      <c r="K768" s="29"/>
      <c r="P768" s="22"/>
      <c r="X768" s="22"/>
    </row>
    <row r="769" spans="10:24">
      <c r="J769" s="20" t="e">
        <f>VLOOKUP(G769,MD!M$2:O$93,3,FALSE)</f>
        <v>#N/A</v>
      </c>
      <c r="K769" s="29"/>
      <c r="P769" s="22"/>
      <c r="X769" s="22"/>
    </row>
    <row r="770" spans="10:24">
      <c r="J770" s="20" t="e">
        <f>VLOOKUP(G770,MD!M$2:O$93,3,FALSE)</f>
        <v>#N/A</v>
      </c>
      <c r="K770" s="29"/>
      <c r="P770" s="22"/>
      <c r="X770" s="22"/>
    </row>
    <row r="771" spans="10:24">
      <c r="J771" s="20" t="e">
        <f>VLOOKUP(G771,MD!M$2:O$93,3,FALSE)</f>
        <v>#N/A</v>
      </c>
      <c r="K771" s="29"/>
      <c r="P771" s="22"/>
      <c r="X771" s="22"/>
    </row>
    <row r="772" spans="10:24">
      <c r="J772" s="20" t="e">
        <f>VLOOKUP(G772,MD!M$2:O$93,3,FALSE)</f>
        <v>#N/A</v>
      </c>
      <c r="K772" s="29"/>
      <c r="P772" s="22"/>
      <c r="X772" s="22"/>
    </row>
    <row r="773" spans="10:24">
      <c r="J773" s="20" t="e">
        <f>VLOOKUP(G773,MD!M$2:O$93,3,FALSE)</f>
        <v>#N/A</v>
      </c>
      <c r="K773" s="29"/>
      <c r="P773" s="22"/>
      <c r="X773" s="22"/>
    </row>
    <row r="774" spans="10:24">
      <c r="J774" s="20" t="e">
        <f>VLOOKUP(G774,MD!M$2:O$93,3,FALSE)</f>
        <v>#N/A</v>
      </c>
      <c r="K774" s="29"/>
      <c r="P774" s="22"/>
      <c r="X774" s="22"/>
    </row>
    <row r="775" spans="10:24">
      <c r="J775" s="20" t="e">
        <f>VLOOKUP(G775,MD!M$2:O$93,3,FALSE)</f>
        <v>#N/A</v>
      </c>
      <c r="K775" s="29"/>
      <c r="P775" s="22"/>
      <c r="X775" s="22"/>
    </row>
    <row r="776" spans="10:24">
      <c r="J776" s="20" t="e">
        <f>VLOOKUP(G776,MD!M$2:O$93,3,FALSE)</f>
        <v>#N/A</v>
      </c>
      <c r="K776" s="29"/>
      <c r="P776" s="22"/>
      <c r="X776" s="22"/>
    </row>
    <row r="777" spans="10:24">
      <c r="J777" s="20" t="e">
        <f>VLOOKUP(G777,MD!M$2:O$93,3,FALSE)</f>
        <v>#N/A</v>
      </c>
      <c r="K777" s="29"/>
      <c r="P777" s="22"/>
      <c r="X777" s="22"/>
    </row>
    <row r="778" spans="10:24">
      <c r="J778" s="20" t="e">
        <f>VLOOKUP(G778,MD!M$2:O$93,3,FALSE)</f>
        <v>#N/A</v>
      </c>
      <c r="K778" s="29"/>
      <c r="P778" s="22"/>
      <c r="X778" s="22"/>
    </row>
    <row r="779" spans="10:24">
      <c r="J779" s="20" t="e">
        <f>VLOOKUP(G779,MD!M$2:O$93,3,FALSE)</f>
        <v>#N/A</v>
      </c>
      <c r="K779" s="29"/>
      <c r="P779" s="22"/>
      <c r="X779" s="22"/>
    </row>
    <row r="780" spans="10:24">
      <c r="J780" s="20" t="e">
        <f>VLOOKUP(G780,MD!M$2:O$93,3,FALSE)</f>
        <v>#N/A</v>
      </c>
      <c r="K780" s="29"/>
      <c r="P780" s="22"/>
      <c r="X780" s="22"/>
    </row>
    <row r="781" spans="10:24">
      <c r="J781" s="20" t="e">
        <f>VLOOKUP(G781,MD!M$2:O$93,3,FALSE)</f>
        <v>#N/A</v>
      </c>
      <c r="K781" s="29"/>
      <c r="P781" s="22"/>
      <c r="X781" s="22"/>
    </row>
    <row r="782" spans="10:24">
      <c r="J782" s="20" t="e">
        <f>VLOOKUP(G782,MD!M$2:O$93,3,FALSE)</f>
        <v>#N/A</v>
      </c>
      <c r="K782" s="29"/>
      <c r="P782" s="22"/>
      <c r="X782" s="22"/>
    </row>
    <row r="783" spans="10:24">
      <c r="J783" s="20" t="e">
        <f>VLOOKUP(G783,MD!M$2:O$93,3,FALSE)</f>
        <v>#N/A</v>
      </c>
      <c r="K783" s="29"/>
      <c r="P783" s="22"/>
      <c r="X783" s="22"/>
    </row>
    <row r="784" spans="10:24">
      <c r="J784" s="20" t="e">
        <f>VLOOKUP(G784,MD!M$2:O$93,3,FALSE)</f>
        <v>#N/A</v>
      </c>
      <c r="K784" s="29"/>
      <c r="P784" s="22"/>
      <c r="X784" s="22"/>
    </row>
    <row r="785" spans="10:24">
      <c r="J785" s="20" t="e">
        <f>VLOOKUP(G785,MD!M$2:O$93,3,FALSE)</f>
        <v>#N/A</v>
      </c>
      <c r="K785" s="29"/>
      <c r="P785" s="22"/>
      <c r="X785" s="22"/>
    </row>
    <row r="786" spans="10:24">
      <c r="J786" s="20" t="e">
        <f>VLOOKUP(G786,MD!M$2:O$93,3,FALSE)</f>
        <v>#N/A</v>
      </c>
      <c r="K786" s="29"/>
      <c r="P786" s="22"/>
      <c r="X786" s="22"/>
    </row>
    <row r="787" spans="10:24">
      <c r="J787" s="20" t="e">
        <f>VLOOKUP(G787,MD!M$2:O$93,3,FALSE)</f>
        <v>#N/A</v>
      </c>
      <c r="K787" s="29"/>
      <c r="P787" s="22"/>
      <c r="X787" s="22"/>
    </row>
    <row r="788" spans="10:24">
      <c r="J788" s="20" t="e">
        <f>VLOOKUP(G788,MD!M$2:O$93,3,FALSE)</f>
        <v>#N/A</v>
      </c>
      <c r="K788" s="29"/>
      <c r="P788" s="22"/>
      <c r="X788" s="22"/>
    </row>
    <row r="789" spans="10:24">
      <c r="J789" s="20" t="e">
        <f>VLOOKUP(G789,MD!M$2:O$93,3,FALSE)</f>
        <v>#N/A</v>
      </c>
      <c r="K789" s="29"/>
      <c r="P789" s="22"/>
      <c r="X789" s="22"/>
    </row>
    <row r="790" spans="10:24">
      <c r="J790" s="20" t="e">
        <f>VLOOKUP(G790,MD!M$2:O$93,3,FALSE)</f>
        <v>#N/A</v>
      </c>
      <c r="K790" s="29"/>
      <c r="P790" s="22"/>
      <c r="X790" s="22"/>
    </row>
    <row r="791" spans="10:24">
      <c r="J791" s="20" t="e">
        <f>VLOOKUP(G791,MD!M$2:O$93,3,FALSE)</f>
        <v>#N/A</v>
      </c>
      <c r="K791" s="29"/>
      <c r="P791" s="22"/>
      <c r="X791" s="22"/>
    </row>
    <row r="792" spans="10:24">
      <c r="J792" s="20" t="e">
        <f>VLOOKUP(G792,MD!M$2:O$93,3,FALSE)</f>
        <v>#N/A</v>
      </c>
      <c r="K792" s="29"/>
      <c r="P792" s="22"/>
      <c r="X792" s="22"/>
    </row>
    <row r="793" spans="10:24">
      <c r="J793" s="20" t="e">
        <f>VLOOKUP(G793,MD!M$2:O$93,3,FALSE)</f>
        <v>#N/A</v>
      </c>
      <c r="K793" s="29"/>
      <c r="P793" s="22"/>
      <c r="X793" s="22"/>
    </row>
    <row r="794" spans="10:24">
      <c r="J794" s="20" t="e">
        <f>VLOOKUP(G794,MD!M$2:O$93,3,FALSE)</f>
        <v>#N/A</v>
      </c>
      <c r="K794" s="29"/>
      <c r="P794" s="22"/>
      <c r="X794" s="22"/>
    </row>
    <row r="795" spans="10:24">
      <c r="J795" s="20" t="e">
        <f>VLOOKUP(G795,MD!M$2:O$93,3,FALSE)</f>
        <v>#N/A</v>
      </c>
      <c r="K795" s="29"/>
      <c r="P795" s="22"/>
      <c r="X795" s="22"/>
    </row>
    <row r="796" spans="10:24">
      <c r="J796" s="20" t="e">
        <f>VLOOKUP(G796,MD!M$2:O$93,3,FALSE)</f>
        <v>#N/A</v>
      </c>
      <c r="K796" s="29"/>
      <c r="P796" s="22"/>
      <c r="X796" s="22"/>
    </row>
    <row r="797" spans="10:24">
      <c r="J797" s="20" t="e">
        <f>VLOOKUP(G797,MD!M$2:O$93,3,FALSE)</f>
        <v>#N/A</v>
      </c>
      <c r="K797" s="29"/>
      <c r="P797" s="22"/>
      <c r="X797" s="22"/>
    </row>
    <row r="798" spans="10:24">
      <c r="J798" s="20" t="e">
        <f>VLOOKUP(G798,MD!M$2:O$93,3,FALSE)</f>
        <v>#N/A</v>
      </c>
      <c r="K798" s="29"/>
      <c r="P798" s="22"/>
      <c r="X798" s="22"/>
    </row>
    <row r="799" spans="10:24">
      <c r="J799" s="20" t="e">
        <f>VLOOKUP(G799,MD!M$2:O$93,3,FALSE)</f>
        <v>#N/A</v>
      </c>
      <c r="K799" s="29"/>
      <c r="P799" s="22"/>
      <c r="X799" s="22"/>
    </row>
    <row r="800" spans="10:24">
      <c r="J800" s="20" t="e">
        <f>VLOOKUP(G800,MD!M$2:O$93,3,FALSE)</f>
        <v>#N/A</v>
      </c>
      <c r="K800" s="29"/>
      <c r="P800" s="22"/>
      <c r="X800" s="22"/>
    </row>
    <row r="801" spans="10:24">
      <c r="J801" s="20" t="e">
        <f>VLOOKUP(G801,MD!M$2:O$93,3,FALSE)</f>
        <v>#N/A</v>
      </c>
      <c r="K801" s="29"/>
      <c r="P801" s="22"/>
      <c r="X801" s="22"/>
    </row>
    <row r="802" spans="10:24">
      <c r="J802" s="20" t="e">
        <f>VLOOKUP(G802,MD!M$2:O$93,3,FALSE)</f>
        <v>#N/A</v>
      </c>
      <c r="K802" s="29"/>
      <c r="P802" s="22"/>
      <c r="X802" s="22"/>
    </row>
    <row r="803" spans="10:24">
      <c r="J803" s="20" t="e">
        <f>VLOOKUP(G803,MD!M$2:O$93,3,FALSE)</f>
        <v>#N/A</v>
      </c>
      <c r="K803" s="29"/>
      <c r="P803" s="22"/>
      <c r="X803" s="22"/>
    </row>
    <row r="804" spans="10:24">
      <c r="J804" s="20" t="e">
        <f>VLOOKUP(G804,MD!M$2:O$93,3,FALSE)</f>
        <v>#N/A</v>
      </c>
      <c r="K804" s="29"/>
      <c r="P804" s="22"/>
      <c r="X804" s="22"/>
    </row>
    <row r="805" spans="10:24">
      <c r="J805" s="20" t="e">
        <f>VLOOKUP(G805,MD!M$2:O$93,3,FALSE)</f>
        <v>#N/A</v>
      </c>
      <c r="K805" s="29"/>
      <c r="P805" s="22"/>
      <c r="X805" s="22"/>
    </row>
    <row r="806" spans="10:24">
      <c r="J806" s="20" t="e">
        <f>VLOOKUP(G806,MD!M$2:O$93,3,FALSE)</f>
        <v>#N/A</v>
      </c>
      <c r="K806" s="29"/>
      <c r="P806" s="22"/>
      <c r="X806" s="22"/>
    </row>
    <row r="807" spans="10:24">
      <c r="J807" s="20" t="e">
        <f>VLOOKUP(G807,MD!M$2:O$93,3,FALSE)</f>
        <v>#N/A</v>
      </c>
      <c r="K807" s="29"/>
      <c r="P807" s="22"/>
      <c r="X807" s="22"/>
    </row>
    <row r="808" spans="10:24">
      <c r="J808" s="20" t="e">
        <f>VLOOKUP(G808,MD!M$2:O$93,3,FALSE)</f>
        <v>#N/A</v>
      </c>
      <c r="K808" s="29"/>
      <c r="P808" s="22"/>
      <c r="X808" s="22"/>
    </row>
    <row r="809" spans="10:24">
      <c r="J809" s="20" t="e">
        <f>VLOOKUP(G809,MD!M$2:O$93,3,FALSE)</f>
        <v>#N/A</v>
      </c>
      <c r="K809" s="29"/>
      <c r="P809" s="22"/>
      <c r="X809" s="22"/>
    </row>
    <row r="810" spans="10:24">
      <c r="J810" s="20" t="e">
        <f>VLOOKUP(G810,MD!M$2:O$93,3,FALSE)</f>
        <v>#N/A</v>
      </c>
      <c r="K810" s="29"/>
      <c r="P810" s="22"/>
      <c r="X810" s="22"/>
    </row>
    <row r="811" spans="10:24">
      <c r="J811" s="20" t="e">
        <f>VLOOKUP(G811,MD!M$2:O$93,3,FALSE)</f>
        <v>#N/A</v>
      </c>
      <c r="K811" s="29"/>
      <c r="P811" s="22"/>
      <c r="X811" s="22"/>
    </row>
    <row r="812" spans="10:24">
      <c r="J812" s="20" t="e">
        <f>VLOOKUP(G812,MD!M$2:O$93,3,FALSE)</f>
        <v>#N/A</v>
      </c>
      <c r="K812" s="29"/>
      <c r="P812" s="22"/>
      <c r="X812" s="22"/>
    </row>
    <row r="813" spans="10:24">
      <c r="J813" s="20" t="e">
        <f>VLOOKUP(G813,MD!M$2:O$93,3,FALSE)</f>
        <v>#N/A</v>
      </c>
      <c r="K813" s="29"/>
      <c r="P813" s="22"/>
      <c r="X813" s="22"/>
    </row>
    <row r="814" spans="10:24">
      <c r="J814" s="20" t="e">
        <f>VLOOKUP(G814,MD!M$2:O$93,3,FALSE)</f>
        <v>#N/A</v>
      </c>
      <c r="K814" s="29"/>
      <c r="P814" s="22"/>
      <c r="X814" s="22"/>
    </row>
    <row r="815" spans="10:24">
      <c r="J815" s="20" t="e">
        <f>VLOOKUP(G815,MD!M$2:O$93,3,FALSE)</f>
        <v>#N/A</v>
      </c>
      <c r="K815" s="29"/>
      <c r="P815" s="22"/>
      <c r="X815" s="22"/>
    </row>
    <row r="816" spans="10:24">
      <c r="J816" s="20" t="e">
        <f>VLOOKUP(G816,MD!M$2:O$93,3,FALSE)</f>
        <v>#N/A</v>
      </c>
      <c r="K816" s="29"/>
      <c r="P816" s="22"/>
      <c r="X816" s="22"/>
    </row>
    <row r="817" spans="10:24">
      <c r="J817" s="20" t="e">
        <f>VLOOKUP(G817,MD!M$2:O$93,3,FALSE)</f>
        <v>#N/A</v>
      </c>
      <c r="K817" s="29"/>
      <c r="P817" s="22"/>
      <c r="X817" s="22"/>
    </row>
    <row r="818" spans="10:24">
      <c r="J818" s="20" t="e">
        <f>VLOOKUP(G818,MD!M$2:O$93,3,FALSE)</f>
        <v>#N/A</v>
      </c>
      <c r="K818" s="29"/>
      <c r="P818" s="22"/>
      <c r="X818" s="22"/>
    </row>
    <row r="819" spans="10:24">
      <c r="J819" s="20" t="e">
        <f>VLOOKUP(G819,MD!M$2:O$93,3,FALSE)</f>
        <v>#N/A</v>
      </c>
      <c r="K819" s="29"/>
      <c r="P819" s="22"/>
      <c r="X819" s="22"/>
    </row>
    <row r="820" spans="10:24">
      <c r="J820" s="20" t="e">
        <f>VLOOKUP(G820,MD!M$2:O$93,3,FALSE)</f>
        <v>#N/A</v>
      </c>
      <c r="K820" s="29"/>
      <c r="P820" s="22"/>
      <c r="X820" s="22"/>
    </row>
    <row r="821" spans="10:24">
      <c r="J821" s="20" t="e">
        <f>VLOOKUP(G821,MD!M$2:O$93,3,FALSE)</f>
        <v>#N/A</v>
      </c>
      <c r="K821" s="29"/>
      <c r="P821" s="22"/>
      <c r="X821" s="22"/>
    </row>
    <row r="822" spans="10:24">
      <c r="J822" s="20" t="e">
        <f>VLOOKUP(G822,MD!M$2:O$93,3,FALSE)</f>
        <v>#N/A</v>
      </c>
      <c r="K822" s="29"/>
      <c r="P822" s="22"/>
      <c r="X822" s="22"/>
    </row>
    <row r="823" spans="10:24">
      <c r="J823" s="20" t="e">
        <f>VLOOKUP(G823,MD!M$2:O$93,3,FALSE)</f>
        <v>#N/A</v>
      </c>
      <c r="K823" s="29"/>
      <c r="P823" s="22"/>
      <c r="X823" s="22"/>
    </row>
    <row r="824" spans="10:24">
      <c r="J824" s="20" t="e">
        <f>VLOOKUP(G824,MD!M$2:O$93,3,FALSE)</f>
        <v>#N/A</v>
      </c>
      <c r="K824" s="29"/>
      <c r="P824" s="22"/>
      <c r="X824" s="22"/>
    </row>
    <row r="825" spans="10:24">
      <c r="J825" s="20" t="e">
        <f>VLOOKUP(G825,MD!M$2:O$93,3,FALSE)</f>
        <v>#N/A</v>
      </c>
      <c r="K825" s="29"/>
      <c r="P825" s="22"/>
      <c r="X825" s="22"/>
    </row>
    <row r="826" spans="10:24">
      <c r="J826" s="20" t="e">
        <f>VLOOKUP(G826,MD!M$2:O$93,3,FALSE)</f>
        <v>#N/A</v>
      </c>
      <c r="K826" s="29"/>
      <c r="P826" s="22"/>
      <c r="X826" s="22"/>
    </row>
    <row r="827" spans="10:24">
      <c r="J827" s="20" t="e">
        <f>VLOOKUP(G827,MD!M$2:O$93,3,FALSE)</f>
        <v>#N/A</v>
      </c>
      <c r="K827" s="29"/>
      <c r="P827" s="22"/>
      <c r="X827" s="22"/>
    </row>
    <row r="828" spans="10:24">
      <c r="J828" s="20" t="e">
        <f>VLOOKUP(G828,MD!M$2:O$93,3,FALSE)</f>
        <v>#N/A</v>
      </c>
      <c r="K828" s="29"/>
      <c r="P828" s="22"/>
      <c r="X828" s="22"/>
    </row>
    <row r="829" spans="10:24">
      <c r="J829" s="20" t="e">
        <f>VLOOKUP(G829,MD!M$2:O$93,3,FALSE)</f>
        <v>#N/A</v>
      </c>
      <c r="K829" s="29"/>
      <c r="P829" s="22"/>
      <c r="X829" s="22"/>
    </row>
    <row r="830" spans="10:24">
      <c r="J830" s="20" t="e">
        <f>VLOOKUP(G830,MD!M$2:O$93,3,FALSE)</f>
        <v>#N/A</v>
      </c>
      <c r="K830" s="29"/>
      <c r="P830" s="22"/>
      <c r="X830" s="22"/>
    </row>
    <row r="831" spans="10:24">
      <c r="J831" s="20" t="e">
        <f>VLOOKUP(G831,MD!M$2:O$93,3,FALSE)</f>
        <v>#N/A</v>
      </c>
      <c r="K831" s="29"/>
      <c r="P831" s="22"/>
      <c r="X831" s="22"/>
    </row>
    <row r="832" spans="10:24">
      <c r="J832" s="20" t="e">
        <f>VLOOKUP(G832,MD!M$2:O$93,3,FALSE)</f>
        <v>#N/A</v>
      </c>
      <c r="K832" s="29"/>
      <c r="P832" s="22"/>
      <c r="X832" s="22"/>
    </row>
    <row r="833" spans="10:24">
      <c r="J833" s="20" t="e">
        <f>VLOOKUP(G833,MD!M$2:O$93,3,FALSE)</f>
        <v>#N/A</v>
      </c>
      <c r="K833" s="29"/>
      <c r="P833" s="22"/>
      <c r="X833" s="22"/>
    </row>
    <row r="834" spans="10:24">
      <c r="J834" s="20" t="e">
        <f>VLOOKUP(G834,MD!M$2:O$93,3,FALSE)</f>
        <v>#N/A</v>
      </c>
      <c r="K834" s="29"/>
      <c r="P834" s="22"/>
      <c r="X834" s="22"/>
    </row>
    <row r="835" spans="10:24">
      <c r="J835" s="20" t="e">
        <f>VLOOKUP(G835,MD!M$2:O$93,3,FALSE)</f>
        <v>#N/A</v>
      </c>
      <c r="K835" s="29"/>
      <c r="P835" s="22"/>
      <c r="X835" s="22"/>
    </row>
    <row r="836" spans="10:24">
      <c r="J836" s="20" t="e">
        <f>VLOOKUP(G836,MD!M$2:O$93,3,FALSE)</f>
        <v>#N/A</v>
      </c>
      <c r="K836" s="29"/>
      <c r="P836" s="22"/>
      <c r="X836" s="22"/>
    </row>
    <row r="837" spans="10:24">
      <c r="J837" s="20" t="e">
        <f>VLOOKUP(G837,MD!M$2:O$93,3,FALSE)</f>
        <v>#N/A</v>
      </c>
      <c r="K837" s="29"/>
      <c r="P837" s="22"/>
      <c r="X837" s="22"/>
    </row>
    <row r="838" spans="10:24">
      <c r="J838" s="20" t="e">
        <f>VLOOKUP(G838,MD!M$2:O$93,3,FALSE)</f>
        <v>#N/A</v>
      </c>
      <c r="K838" s="29"/>
      <c r="P838" s="22"/>
      <c r="X838" s="22"/>
    </row>
    <row r="839" spans="10:24">
      <c r="J839" s="20" t="e">
        <f>VLOOKUP(G839,MD!M$2:O$93,3,FALSE)</f>
        <v>#N/A</v>
      </c>
      <c r="K839" s="29"/>
      <c r="P839" s="22"/>
      <c r="X839" s="22"/>
    </row>
    <row r="840" spans="10:24">
      <c r="J840" s="20" t="e">
        <f>VLOOKUP(G840,MD!M$2:O$93,3,FALSE)</f>
        <v>#N/A</v>
      </c>
      <c r="K840" s="29"/>
      <c r="P840" s="22"/>
      <c r="X840" s="22"/>
    </row>
    <row r="841" spans="10:24">
      <c r="J841" s="20" t="e">
        <f>VLOOKUP(G841,MD!M$2:O$93,3,FALSE)</f>
        <v>#N/A</v>
      </c>
      <c r="K841" s="29"/>
      <c r="P841" s="22"/>
      <c r="X841" s="22"/>
    </row>
    <row r="842" spans="10:24">
      <c r="J842" s="20" t="e">
        <f>VLOOKUP(G842,MD!M$2:O$93,3,FALSE)</f>
        <v>#N/A</v>
      </c>
      <c r="K842" s="29"/>
      <c r="P842" s="22"/>
      <c r="X842" s="22"/>
    </row>
    <row r="843" spans="10:24">
      <c r="J843" s="20" t="e">
        <f>VLOOKUP(G843,MD!M$2:O$93,3,FALSE)</f>
        <v>#N/A</v>
      </c>
      <c r="K843" s="29"/>
      <c r="P843" s="22"/>
      <c r="X843" s="22"/>
    </row>
    <row r="844" spans="10:24">
      <c r="J844" s="20" t="e">
        <f>VLOOKUP(G844,MD!M$2:O$93,3,FALSE)</f>
        <v>#N/A</v>
      </c>
      <c r="K844" s="29"/>
      <c r="P844" s="22"/>
      <c r="X844" s="22"/>
    </row>
    <row r="845" spans="10:24">
      <c r="J845" s="20" t="e">
        <f>VLOOKUP(G845,MD!M$2:O$93,3,FALSE)</f>
        <v>#N/A</v>
      </c>
      <c r="K845" s="29"/>
      <c r="P845" s="22"/>
      <c r="X845" s="22"/>
    </row>
    <row r="846" spans="10:24">
      <c r="J846" s="20" t="e">
        <f>VLOOKUP(G846,MD!M$2:O$93,3,FALSE)</f>
        <v>#N/A</v>
      </c>
      <c r="K846" s="29"/>
      <c r="P846" s="22"/>
      <c r="X846" s="22"/>
    </row>
    <row r="847" spans="10:24">
      <c r="J847" s="20" t="e">
        <f>VLOOKUP(G847,MD!M$2:O$93,3,FALSE)</f>
        <v>#N/A</v>
      </c>
      <c r="K847" s="29"/>
      <c r="P847" s="22"/>
      <c r="X847" s="22"/>
    </row>
    <row r="848" spans="10:24">
      <c r="J848" s="20" t="e">
        <f>VLOOKUP(G848,MD!M$2:O$93,3,FALSE)</f>
        <v>#N/A</v>
      </c>
      <c r="K848" s="29"/>
      <c r="P848" s="22"/>
      <c r="X848" s="22"/>
    </row>
    <row r="849" spans="10:24">
      <c r="J849" s="20" t="e">
        <f>VLOOKUP(G849,MD!M$2:O$93,3,FALSE)</f>
        <v>#N/A</v>
      </c>
      <c r="K849" s="29"/>
      <c r="P849" s="22"/>
      <c r="X849" s="22"/>
    </row>
    <row r="850" spans="10:24">
      <c r="J850" s="20" t="e">
        <f>VLOOKUP(G850,MD!M$2:O$93,3,FALSE)</f>
        <v>#N/A</v>
      </c>
      <c r="K850" s="29"/>
      <c r="P850" s="22"/>
      <c r="X850" s="22"/>
    </row>
    <row r="851" spans="10:24">
      <c r="J851" s="20" t="e">
        <f>VLOOKUP(G851,MD!M$2:O$93,3,FALSE)</f>
        <v>#N/A</v>
      </c>
      <c r="K851" s="29"/>
      <c r="P851" s="22"/>
      <c r="X851" s="22"/>
    </row>
    <row r="852" spans="10:24">
      <c r="J852" s="20" t="e">
        <f>VLOOKUP(G852,MD!M$2:O$93,3,FALSE)</f>
        <v>#N/A</v>
      </c>
      <c r="K852" s="29"/>
      <c r="P852" s="22"/>
      <c r="X852" s="22"/>
    </row>
    <row r="853" spans="10:24">
      <c r="J853" s="20" t="e">
        <f>VLOOKUP(G853,MD!M$2:O$93,3,FALSE)</f>
        <v>#N/A</v>
      </c>
      <c r="K853" s="29"/>
      <c r="P853" s="22"/>
      <c r="X853" s="22"/>
    </row>
    <row r="854" spans="10:24">
      <c r="J854" s="20" t="e">
        <f>VLOOKUP(G854,MD!M$2:O$93,3,FALSE)</f>
        <v>#N/A</v>
      </c>
      <c r="K854" s="29"/>
      <c r="P854" s="22"/>
      <c r="X854" s="22"/>
    </row>
    <row r="855" spans="10:24">
      <c r="J855" s="20" t="e">
        <f>VLOOKUP(G855,MD!M$2:O$93,3,FALSE)</f>
        <v>#N/A</v>
      </c>
      <c r="K855" s="29"/>
      <c r="P855" s="22"/>
      <c r="X855" s="22"/>
    </row>
    <row r="856" spans="10:24">
      <c r="J856" s="20" t="e">
        <f>VLOOKUP(G856,MD!M$2:O$93,3,FALSE)</f>
        <v>#N/A</v>
      </c>
      <c r="K856" s="29"/>
      <c r="P856" s="22"/>
      <c r="X856" s="22"/>
    </row>
    <row r="857" spans="10:24">
      <c r="J857" s="20" t="e">
        <f>VLOOKUP(G857,MD!M$2:O$93,3,FALSE)</f>
        <v>#N/A</v>
      </c>
      <c r="K857" s="29"/>
      <c r="P857" s="22"/>
      <c r="X857" s="22"/>
    </row>
    <row r="858" spans="10:24">
      <c r="J858" s="20" t="e">
        <f>VLOOKUP(G858,MD!M$2:O$93,3,FALSE)</f>
        <v>#N/A</v>
      </c>
      <c r="K858" s="29"/>
      <c r="P858" s="22"/>
      <c r="X858" s="22"/>
    </row>
    <row r="859" spans="10:24">
      <c r="J859" s="20" t="e">
        <f>VLOOKUP(G859,MD!M$2:O$93,3,FALSE)</f>
        <v>#N/A</v>
      </c>
      <c r="K859" s="29"/>
      <c r="P859" s="22"/>
      <c r="X859" s="22"/>
    </row>
    <row r="860" spans="10:24">
      <c r="J860" s="20" t="e">
        <f>VLOOKUP(G860,MD!M$2:O$93,3,FALSE)</f>
        <v>#N/A</v>
      </c>
      <c r="K860" s="29"/>
      <c r="P860" s="22"/>
      <c r="X860" s="22"/>
    </row>
    <row r="861" spans="10:24">
      <c r="J861" s="20" t="e">
        <f>VLOOKUP(G861,MD!M$2:O$93,3,FALSE)</f>
        <v>#N/A</v>
      </c>
      <c r="K861" s="29"/>
      <c r="P861" s="22"/>
      <c r="X861" s="22"/>
    </row>
    <row r="862" spans="10:24">
      <c r="J862" s="20" t="e">
        <f>VLOOKUP(G862,MD!M$2:O$93,3,FALSE)</f>
        <v>#N/A</v>
      </c>
      <c r="K862" s="29"/>
      <c r="P862" s="22"/>
      <c r="X862" s="22"/>
    </row>
    <row r="863" spans="10:24">
      <c r="J863" s="20" t="e">
        <f>VLOOKUP(G863,MD!M$2:O$93,3,FALSE)</f>
        <v>#N/A</v>
      </c>
      <c r="K863" s="29"/>
      <c r="P863" s="22"/>
      <c r="X863" s="22"/>
    </row>
    <row r="864" spans="10:24">
      <c r="J864" s="20" t="e">
        <f>VLOOKUP(G864,MD!M$2:O$93,3,FALSE)</f>
        <v>#N/A</v>
      </c>
      <c r="K864" s="29"/>
      <c r="P864" s="22"/>
      <c r="X864" s="22"/>
    </row>
    <row r="865" spans="10:24">
      <c r="J865" s="20" t="e">
        <f>VLOOKUP(G865,MD!M$2:O$93,3,FALSE)</f>
        <v>#N/A</v>
      </c>
      <c r="K865" s="29"/>
      <c r="P865" s="22"/>
      <c r="X865" s="22"/>
    </row>
    <row r="866" spans="10:24">
      <c r="J866" s="20" t="e">
        <f>VLOOKUP(G866,MD!M$2:O$93,3,FALSE)</f>
        <v>#N/A</v>
      </c>
      <c r="K866" s="29"/>
      <c r="P866" s="22"/>
      <c r="X866" s="22"/>
    </row>
    <row r="867" spans="10:24">
      <c r="J867" s="20" t="e">
        <f>VLOOKUP(G867,MD!M$2:O$93,3,FALSE)</f>
        <v>#N/A</v>
      </c>
      <c r="K867" s="29"/>
      <c r="P867" s="22"/>
      <c r="X867" s="22"/>
    </row>
    <row r="868" spans="10:24">
      <c r="J868" s="20" t="e">
        <f>VLOOKUP(G868,MD!M$2:O$93,3,FALSE)</f>
        <v>#N/A</v>
      </c>
      <c r="K868" s="29"/>
      <c r="P868" s="22"/>
      <c r="X868" s="22"/>
    </row>
    <row r="869" spans="10:24">
      <c r="J869" s="20" t="e">
        <f>VLOOKUP(G869,MD!M$2:O$93,3,FALSE)</f>
        <v>#N/A</v>
      </c>
      <c r="K869" s="29"/>
      <c r="P869" s="22"/>
      <c r="X869" s="22"/>
    </row>
    <row r="870" spans="10:24">
      <c r="J870" s="20" t="e">
        <f>VLOOKUP(G870,MD!M$2:O$93,3,FALSE)</f>
        <v>#N/A</v>
      </c>
      <c r="K870" s="29"/>
      <c r="P870" s="22"/>
      <c r="X870" s="22"/>
    </row>
    <row r="871" spans="10:24">
      <c r="J871" s="20" t="e">
        <f>VLOOKUP(G871,MD!M$2:O$93,3,FALSE)</f>
        <v>#N/A</v>
      </c>
      <c r="K871" s="29"/>
      <c r="P871" s="22"/>
      <c r="X871" s="22"/>
    </row>
    <row r="872" spans="10:24">
      <c r="J872" s="20" t="e">
        <f>VLOOKUP(G872,MD!M$2:O$93,3,FALSE)</f>
        <v>#N/A</v>
      </c>
      <c r="K872" s="29"/>
      <c r="P872" s="22"/>
      <c r="X872" s="22"/>
    </row>
    <row r="873" spans="10:24">
      <c r="J873" s="20" t="e">
        <f>VLOOKUP(G873,MD!M$2:O$93,3,FALSE)</f>
        <v>#N/A</v>
      </c>
      <c r="K873" s="29"/>
      <c r="P873" s="22"/>
      <c r="X873" s="22"/>
    </row>
    <row r="874" spans="10:24">
      <c r="J874" s="20" t="e">
        <f>VLOOKUP(G874,MD!M$2:O$93,3,FALSE)</f>
        <v>#N/A</v>
      </c>
      <c r="K874" s="29"/>
      <c r="P874" s="22"/>
      <c r="X874" s="22"/>
    </row>
    <row r="875" spans="10:24">
      <c r="J875" s="20" t="e">
        <f>VLOOKUP(G875,MD!M$2:O$93,3,FALSE)</f>
        <v>#N/A</v>
      </c>
      <c r="K875" s="29"/>
      <c r="P875" s="22"/>
      <c r="X875" s="22"/>
    </row>
    <row r="876" spans="10:24">
      <c r="J876" s="20" t="e">
        <f>VLOOKUP(G876,MD!M$2:O$93,3,FALSE)</f>
        <v>#N/A</v>
      </c>
      <c r="K876" s="29"/>
      <c r="P876" s="22"/>
      <c r="X876" s="22"/>
    </row>
    <row r="877" spans="10:24">
      <c r="J877" s="20" t="e">
        <f>VLOOKUP(G877,MD!M$2:O$93,3,FALSE)</f>
        <v>#N/A</v>
      </c>
      <c r="K877" s="29"/>
      <c r="P877" s="22"/>
      <c r="X877" s="22"/>
    </row>
    <row r="878" spans="10:24">
      <c r="J878" s="20" t="e">
        <f>VLOOKUP(G878,MD!M$2:O$93,3,FALSE)</f>
        <v>#N/A</v>
      </c>
      <c r="K878" s="29"/>
      <c r="P878" s="22"/>
      <c r="X878" s="22"/>
    </row>
    <row r="879" spans="10:24">
      <c r="J879" s="20" t="e">
        <f>VLOOKUP(G879,MD!M$2:O$93,3,FALSE)</f>
        <v>#N/A</v>
      </c>
      <c r="K879" s="29"/>
      <c r="P879" s="22"/>
      <c r="X879" s="22"/>
    </row>
    <row r="880" spans="10:24">
      <c r="J880" s="20" t="e">
        <f>VLOOKUP(G880,MD!M$2:O$93,3,FALSE)</f>
        <v>#N/A</v>
      </c>
      <c r="K880" s="29"/>
      <c r="P880" s="22"/>
      <c r="X880" s="22"/>
    </row>
    <row r="881" spans="10:24">
      <c r="J881" s="20" t="e">
        <f>VLOOKUP(G881,MD!M$2:O$93,3,FALSE)</f>
        <v>#N/A</v>
      </c>
      <c r="K881" s="29"/>
      <c r="P881" s="22"/>
      <c r="X881" s="22"/>
    </row>
    <row r="882" spans="10:24">
      <c r="J882" s="20" t="e">
        <f>VLOOKUP(G882,MD!M$2:O$93,3,FALSE)</f>
        <v>#N/A</v>
      </c>
      <c r="K882" s="29"/>
      <c r="P882" s="22"/>
      <c r="X882" s="22"/>
    </row>
    <row r="883" spans="10:24">
      <c r="J883" s="20" t="e">
        <f>VLOOKUP(G883,MD!M$2:O$93,3,FALSE)</f>
        <v>#N/A</v>
      </c>
      <c r="K883" s="29"/>
      <c r="P883" s="22"/>
      <c r="X883" s="22"/>
    </row>
    <row r="884" spans="10:24">
      <c r="J884" s="20" t="e">
        <f>VLOOKUP(G884,MD!M$2:O$93,3,FALSE)</f>
        <v>#N/A</v>
      </c>
      <c r="K884" s="29"/>
      <c r="P884" s="22"/>
      <c r="X884" s="22"/>
    </row>
    <row r="885" spans="10:24">
      <c r="J885" s="20" t="e">
        <f>VLOOKUP(G885,MD!M$2:O$93,3,FALSE)</f>
        <v>#N/A</v>
      </c>
      <c r="K885" s="29"/>
      <c r="P885" s="22"/>
      <c r="X885" s="22"/>
    </row>
    <row r="886" spans="10:24">
      <c r="J886" s="20" t="e">
        <f>VLOOKUP(G886,MD!M$2:O$93,3,FALSE)</f>
        <v>#N/A</v>
      </c>
      <c r="K886" s="29"/>
      <c r="P886" s="22"/>
      <c r="X886" s="22"/>
    </row>
    <row r="887" spans="10:24">
      <c r="J887" s="20" t="e">
        <f>VLOOKUP(G887,MD!M$2:O$93,3,FALSE)</f>
        <v>#N/A</v>
      </c>
      <c r="K887" s="29"/>
      <c r="P887" s="22"/>
      <c r="X887" s="22"/>
    </row>
    <row r="888" spans="10:24">
      <c r="J888" s="20" t="e">
        <f>VLOOKUP(G888,MD!M$2:O$93,3,FALSE)</f>
        <v>#N/A</v>
      </c>
      <c r="K888" s="29"/>
      <c r="P888" s="22"/>
      <c r="X888" s="22"/>
    </row>
    <row r="889" spans="10:24">
      <c r="J889" s="20" t="e">
        <f>VLOOKUP(G889,MD!M$2:O$93,3,FALSE)</f>
        <v>#N/A</v>
      </c>
      <c r="K889" s="29"/>
      <c r="P889" s="22"/>
      <c r="X889" s="22"/>
    </row>
    <row r="890" spans="10:24">
      <c r="J890" s="20" t="e">
        <f>VLOOKUP(G890,MD!M$2:O$93,3,FALSE)</f>
        <v>#N/A</v>
      </c>
      <c r="K890" s="29"/>
      <c r="P890" s="22"/>
      <c r="X890" s="22"/>
    </row>
    <row r="891" spans="10:24">
      <c r="J891" s="20" t="e">
        <f>VLOOKUP(G891,MD!M$2:O$93,3,FALSE)</f>
        <v>#N/A</v>
      </c>
      <c r="K891" s="29"/>
      <c r="P891" s="22"/>
      <c r="X891" s="22"/>
    </row>
    <row r="892" spans="10:24">
      <c r="J892" s="20" t="e">
        <f>VLOOKUP(G892,MD!M$2:O$93,3,FALSE)</f>
        <v>#N/A</v>
      </c>
      <c r="K892" s="29"/>
      <c r="P892" s="22"/>
      <c r="X892" s="22"/>
    </row>
    <row r="893" spans="10:24">
      <c r="J893" s="20" t="e">
        <f>VLOOKUP(G893,MD!M$2:O$93,3,FALSE)</f>
        <v>#N/A</v>
      </c>
      <c r="K893" s="29"/>
      <c r="P893" s="22"/>
      <c r="X893" s="22"/>
    </row>
    <row r="894" spans="10:24">
      <c r="J894" s="20" t="e">
        <f>VLOOKUP(G894,MD!M$2:O$93,3,FALSE)</f>
        <v>#N/A</v>
      </c>
      <c r="K894" s="29"/>
      <c r="P894" s="22"/>
      <c r="X894" s="22"/>
    </row>
    <row r="895" spans="10:24">
      <c r="J895" s="20" t="e">
        <f>VLOOKUP(G895,MD!M$2:O$93,3,FALSE)</f>
        <v>#N/A</v>
      </c>
      <c r="K895" s="29"/>
      <c r="P895" s="22"/>
      <c r="X895" s="22"/>
    </row>
    <row r="896" spans="10:24">
      <c r="J896" s="20" t="e">
        <f>VLOOKUP(G896,MD!M$2:O$93,3,FALSE)</f>
        <v>#N/A</v>
      </c>
      <c r="K896" s="29"/>
      <c r="P896" s="22"/>
      <c r="X896" s="22"/>
    </row>
    <row r="897" spans="10:24">
      <c r="J897" s="20" t="e">
        <f>VLOOKUP(G897,MD!M$2:O$93,3,FALSE)</f>
        <v>#N/A</v>
      </c>
      <c r="K897" s="29"/>
      <c r="P897" s="22"/>
      <c r="X897" s="22"/>
    </row>
    <row r="898" spans="10:24">
      <c r="J898" s="20" t="e">
        <f>VLOOKUP(G898,MD!M$2:O$93,3,FALSE)</f>
        <v>#N/A</v>
      </c>
      <c r="K898" s="29"/>
      <c r="P898" s="22"/>
      <c r="X898" s="22"/>
    </row>
    <row r="899" spans="10:24">
      <c r="J899" s="20" t="e">
        <f>VLOOKUP(G899,MD!M$2:O$93,3,FALSE)</f>
        <v>#N/A</v>
      </c>
      <c r="K899" s="29"/>
      <c r="P899" s="22"/>
      <c r="X899" s="22"/>
    </row>
    <row r="900" spans="10:24">
      <c r="J900" s="20" t="e">
        <f>VLOOKUP(G900,MD!M$2:O$93,3,FALSE)</f>
        <v>#N/A</v>
      </c>
      <c r="K900" s="29"/>
      <c r="P900" s="22"/>
      <c r="X900" s="22"/>
    </row>
    <row r="901" spans="10:24">
      <c r="J901" s="20" t="e">
        <f>VLOOKUP(G901,MD!M$2:O$93,3,FALSE)</f>
        <v>#N/A</v>
      </c>
      <c r="K901" s="29"/>
      <c r="P901" s="22"/>
      <c r="X901" s="22"/>
    </row>
    <row r="902" spans="10:24">
      <c r="J902" s="20" t="e">
        <f>VLOOKUP(G902,MD!M$2:O$93,3,FALSE)</f>
        <v>#N/A</v>
      </c>
      <c r="K902" s="29"/>
      <c r="P902" s="22"/>
      <c r="X902" s="22"/>
    </row>
    <row r="903" spans="10:24">
      <c r="J903" s="20" t="e">
        <f>VLOOKUP(G903,MD!M$2:O$93,3,FALSE)</f>
        <v>#N/A</v>
      </c>
      <c r="K903" s="29"/>
      <c r="P903" s="22"/>
      <c r="X903" s="22"/>
    </row>
    <row r="904" spans="10:24">
      <c r="J904" s="20" t="e">
        <f>VLOOKUP(G904,MD!M$2:O$93,3,FALSE)</f>
        <v>#N/A</v>
      </c>
      <c r="K904" s="29"/>
      <c r="P904" s="22"/>
      <c r="X904" s="22"/>
    </row>
    <row r="905" spans="10:24">
      <c r="J905" s="20" t="e">
        <f>VLOOKUP(G905,MD!M$2:O$93,3,FALSE)</f>
        <v>#N/A</v>
      </c>
      <c r="K905" s="29"/>
      <c r="P905" s="22"/>
      <c r="X905" s="22"/>
    </row>
    <row r="906" spans="10:24">
      <c r="J906" s="20" t="e">
        <f>VLOOKUP(G906,MD!M$2:O$93,3,FALSE)</f>
        <v>#N/A</v>
      </c>
      <c r="K906" s="29"/>
      <c r="P906" s="22"/>
      <c r="X906" s="22"/>
    </row>
    <row r="907" spans="10:24">
      <c r="J907" s="20" t="e">
        <f>VLOOKUP(G907,MD!M$2:O$93,3,FALSE)</f>
        <v>#N/A</v>
      </c>
      <c r="K907" s="29"/>
      <c r="P907" s="22"/>
      <c r="X907" s="22"/>
    </row>
    <row r="908" spans="10:24">
      <c r="J908" s="20" t="e">
        <f>VLOOKUP(G908,MD!M$2:O$93,3,FALSE)</f>
        <v>#N/A</v>
      </c>
      <c r="K908" s="29"/>
      <c r="P908" s="22"/>
      <c r="X908" s="22"/>
    </row>
    <row r="909" spans="10:24">
      <c r="J909" s="20" t="e">
        <f>VLOOKUP(G909,MD!M$2:O$93,3,FALSE)</f>
        <v>#N/A</v>
      </c>
      <c r="K909" s="29"/>
      <c r="P909" s="22"/>
      <c r="X909" s="22"/>
    </row>
    <row r="910" spans="10:24">
      <c r="J910" s="20" t="e">
        <f>VLOOKUP(G910,MD!M$2:O$93,3,FALSE)</f>
        <v>#N/A</v>
      </c>
      <c r="K910" s="29"/>
      <c r="P910" s="22"/>
      <c r="X910" s="22"/>
    </row>
    <row r="911" spans="10:24">
      <c r="J911" s="20" t="e">
        <f>VLOOKUP(G911,MD!M$2:O$93,3,FALSE)</f>
        <v>#N/A</v>
      </c>
      <c r="K911" s="29"/>
      <c r="P911" s="22"/>
      <c r="X911" s="22"/>
    </row>
    <row r="912" spans="10:24">
      <c r="J912" s="20" t="e">
        <f>VLOOKUP(G912,MD!M$2:O$93,3,FALSE)</f>
        <v>#N/A</v>
      </c>
      <c r="K912" s="29"/>
      <c r="P912" s="22"/>
      <c r="X912" s="22"/>
    </row>
    <row r="913" spans="10:24">
      <c r="J913" s="20" t="e">
        <f>VLOOKUP(G913,MD!M$2:O$93,3,FALSE)</f>
        <v>#N/A</v>
      </c>
      <c r="K913" s="29"/>
      <c r="P913" s="22"/>
      <c r="X913" s="22"/>
    </row>
    <row r="914" spans="10:24">
      <c r="J914" s="20" t="e">
        <f>VLOOKUP(G914,MD!M$2:O$93,3,FALSE)</f>
        <v>#N/A</v>
      </c>
      <c r="K914" s="29"/>
      <c r="P914" s="22"/>
      <c r="X914" s="22"/>
    </row>
    <row r="915" spans="10:24">
      <c r="J915" s="20" t="e">
        <f>VLOOKUP(G915,MD!M$2:O$93,3,FALSE)</f>
        <v>#N/A</v>
      </c>
      <c r="K915" s="29"/>
      <c r="P915" s="22"/>
      <c r="X915" s="22"/>
    </row>
    <row r="916" spans="10:24">
      <c r="J916" s="20" t="e">
        <f>VLOOKUP(G916,MD!M$2:O$93,3,FALSE)</f>
        <v>#N/A</v>
      </c>
      <c r="K916" s="29"/>
      <c r="P916" s="22"/>
      <c r="X916" s="22"/>
    </row>
    <row r="917" spans="10:24">
      <c r="J917" s="20" t="e">
        <f>VLOOKUP(G917,MD!M$2:O$93,3,FALSE)</f>
        <v>#N/A</v>
      </c>
      <c r="K917" s="29"/>
      <c r="P917" s="22"/>
      <c r="X917" s="22"/>
    </row>
    <row r="918" spans="10:24">
      <c r="J918" s="20" t="e">
        <f>VLOOKUP(G918,MD!M$2:O$93,3,FALSE)</f>
        <v>#N/A</v>
      </c>
      <c r="K918" s="29"/>
      <c r="P918" s="22"/>
      <c r="X918" s="22"/>
    </row>
    <row r="919" spans="10:24">
      <c r="J919" s="20" t="e">
        <f>VLOOKUP(G919,MD!M$2:O$93,3,FALSE)</f>
        <v>#N/A</v>
      </c>
      <c r="K919" s="29"/>
      <c r="P919" s="22"/>
      <c r="X919" s="22"/>
    </row>
    <row r="920" spans="10:24">
      <c r="J920" s="20" t="e">
        <f>VLOOKUP(G920,MD!M$2:O$93,3,FALSE)</f>
        <v>#N/A</v>
      </c>
      <c r="K920" s="29"/>
      <c r="P920" s="22"/>
      <c r="X920" s="22"/>
    </row>
    <row r="921" spans="10:24">
      <c r="J921" s="20" t="e">
        <f>VLOOKUP(G921,MD!M$2:O$93,3,FALSE)</f>
        <v>#N/A</v>
      </c>
      <c r="K921" s="29"/>
      <c r="P921" s="22"/>
      <c r="X921" s="22"/>
    </row>
    <row r="922" spans="10:24">
      <c r="J922" s="20" t="e">
        <f>VLOOKUP(G922,MD!M$2:O$93,3,FALSE)</f>
        <v>#N/A</v>
      </c>
      <c r="K922" s="29"/>
      <c r="P922" s="22"/>
      <c r="X922" s="22"/>
    </row>
    <row r="923" spans="10:24">
      <c r="J923" s="20" t="e">
        <f>VLOOKUP(G923,MD!M$2:O$93,3,FALSE)</f>
        <v>#N/A</v>
      </c>
      <c r="K923" s="29"/>
      <c r="P923" s="22"/>
      <c r="X923" s="22"/>
    </row>
    <row r="924" spans="10:24">
      <c r="J924" s="20" t="e">
        <f>VLOOKUP(G924,MD!M$2:O$93,3,FALSE)</f>
        <v>#N/A</v>
      </c>
      <c r="K924" s="29"/>
      <c r="P924" s="22"/>
      <c r="X924" s="22"/>
    </row>
    <row r="925" spans="10:24">
      <c r="J925" s="20" t="e">
        <f>VLOOKUP(G925,MD!M$2:O$93,3,FALSE)</f>
        <v>#N/A</v>
      </c>
      <c r="K925" s="29"/>
      <c r="P925" s="22"/>
      <c r="X925" s="22"/>
    </row>
    <row r="926" spans="10:24">
      <c r="J926" s="20" t="e">
        <f>VLOOKUP(G926,MD!M$2:O$93,3,FALSE)</f>
        <v>#N/A</v>
      </c>
      <c r="K926" s="29"/>
      <c r="P926" s="22"/>
      <c r="X926" s="22"/>
    </row>
    <row r="927" spans="10:24">
      <c r="J927" s="20" t="e">
        <f>VLOOKUP(G927,MD!M$2:O$93,3,FALSE)</f>
        <v>#N/A</v>
      </c>
      <c r="K927" s="29"/>
      <c r="P927" s="22"/>
      <c r="X927" s="22"/>
    </row>
    <row r="928" spans="10:24">
      <c r="J928" s="20" t="e">
        <f>VLOOKUP(G928,MD!M$2:O$93,3,FALSE)</f>
        <v>#N/A</v>
      </c>
      <c r="K928" s="29"/>
      <c r="P928" s="22"/>
      <c r="X928" s="22"/>
    </row>
    <row r="929" spans="10:24">
      <c r="J929" s="20" t="e">
        <f>VLOOKUP(G929,MD!M$2:O$93,3,FALSE)</f>
        <v>#N/A</v>
      </c>
      <c r="K929" s="29"/>
      <c r="P929" s="22"/>
      <c r="X929" s="22"/>
    </row>
    <row r="930" spans="10:24">
      <c r="J930" s="20" t="e">
        <f>VLOOKUP(G930,MD!M$2:O$93,3,FALSE)</f>
        <v>#N/A</v>
      </c>
      <c r="K930" s="29"/>
      <c r="P930" s="22"/>
      <c r="X930" s="22"/>
    </row>
    <row r="931" spans="10:24">
      <c r="J931" s="20" t="e">
        <f>VLOOKUP(G931,MD!M$2:O$93,3,FALSE)</f>
        <v>#N/A</v>
      </c>
      <c r="K931" s="29"/>
      <c r="P931" s="22"/>
      <c r="X931" s="22"/>
    </row>
    <row r="932" spans="10:24">
      <c r="J932" s="20" t="e">
        <f>VLOOKUP(G932,MD!M$2:O$93,3,FALSE)</f>
        <v>#N/A</v>
      </c>
      <c r="K932" s="29"/>
      <c r="P932" s="22"/>
      <c r="X932" s="22"/>
    </row>
    <row r="933" spans="10:24">
      <c r="J933" s="20" t="e">
        <f>VLOOKUP(G933,MD!M$2:O$93,3,FALSE)</f>
        <v>#N/A</v>
      </c>
      <c r="K933" s="29"/>
      <c r="P933" s="22"/>
      <c r="X933" s="22"/>
    </row>
    <row r="934" spans="10:24">
      <c r="J934" s="20" t="e">
        <f>VLOOKUP(G934,MD!M$2:O$93,3,FALSE)</f>
        <v>#N/A</v>
      </c>
      <c r="K934" s="29"/>
      <c r="P934" s="22"/>
      <c r="X934" s="22"/>
    </row>
    <row r="935" spans="10:24">
      <c r="J935" s="20" t="e">
        <f>VLOOKUP(G935,MD!M$2:O$93,3,FALSE)</f>
        <v>#N/A</v>
      </c>
      <c r="K935" s="29"/>
      <c r="P935" s="22"/>
      <c r="X935" s="22"/>
    </row>
    <row r="936" spans="10:24">
      <c r="J936" s="20" t="e">
        <f>VLOOKUP(G936,MD!M$2:O$93,3,FALSE)</f>
        <v>#N/A</v>
      </c>
      <c r="K936" s="29"/>
      <c r="P936" s="22"/>
      <c r="X936" s="22"/>
    </row>
    <row r="937" spans="10:24">
      <c r="J937" s="20" t="e">
        <f>VLOOKUP(G937,MD!M$2:O$93,3,FALSE)</f>
        <v>#N/A</v>
      </c>
      <c r="K937" s="29"/>
      <c r="P937" s="22"/>
      <c r="X937" s="22"/>
    </row>
    <row r="938" spans="10:24">
      <c r="J938" s="20" t="e">
        <f>VLOOKUP(G938,MD!M$2:O$93,3,FALSE)</f>
        <v>#N/A</v>
      </c>
      <c r="K938" s="29"/>
      <c r="P938" s="22"/>
      <c r="X938" s="22"/>
    </row>
    <row r="939" spans="10:24">
      <c r="J939" s="20" t="e">
        <f>VLOOKUP(G939,MD!M$2:O$93,3,FALSE)</f>
        <v>#N/A</v>
      </c>
      <c r="K939" s="29"/>
      <c r="P939" s="22"/>
      <c r="X939" s="22"/>
    </row>
    <row r="940" spans="10:24">
      <c r="J940" s="20" t="e">
        <f>VLOOKUP(G940,MD!M$2:O$93,3,FALSE)</f>
        <v>#N/A</v>
      </c>
      <c r="K940" s="29"/>
      <c r="P940" s="22"/>
      <c r="X940" s="22"/>
    </row>
    <row r="941" spans="10:24">
      <c r="J941" s="20" t="e">
        <f>VLOOKUP(G941,MD!M$2:O$93,3,FALSE)</f>
        <v>#N/A</v>
      </c>
      <c r="K941" s="29"/>
      <c r="P941" s="22"/>
      <c r="X941" s="22"/>
    </row>
    <row r="942" spans="10:24">
      <c r="J942" s="20" t="e">
        <f>VLOOKUP(G942,MD!M$2:O$93,3,FALSE)</f>
        <v>#N/A</v>
      </c>
      <c r="K942" s="29"/>
      <c r="P942" s="22"/>
      <c r="X942" s="22"/>
    </row>
    <row r="943" spans="10:24">
      <c r="J943" s="20" t="e">
        <f>VLOOKUP(G943,MD!M$2:O$93,3,FALSE)</f>
        <v>#N/A</v>
      </c>
      <c r="K943" s="29"/>
      <c r="P943" s="22"/>
      <c r="X943" s="22"/>
    </row>
    <row r="944" spans="10:24">
      <c r="J944" s="20" t="e">
        <f>VLOOKUP(G944,MD!M$2:O$93,3,FALSE)</f>
        <v>#N/A</v>
      </c>
      <c r="K944" s="29"/>
      <c r="P944" s="22"/>
      <c r="X944" s="22"/>
    </row>
    <row r="945" spans="10:24">
      <c r="J945" s="20" t="e">
        <f>VLOOKUP(G945,MD!M$2:O$93,3,FALSE)</f>
        <v>#N/A</v>
      </c>
      <c r="K945" s="29"/>
      <c r="P945" s="22"/>
      <c r="X945" s="22"/>
    </row>
    <row r="946" spans="10:24">
      <c r="J946" s="20" t="e">
        <f>VLOOKUP(G946,MD!M$2:O$93,3,FALSE)</f>
        <v>#N/A</v>
      </c>
      <c r="K946" s="29"/>
      <c r="P946" s="22"/>
      <c r="X946" s="22"/>
    </row>
    <row r="947" spans="10:24">
      <c r="J947" s="20" t="e">
        <f>VLOOKUP(G947,MD!M$2:O$93,3,FALSE)</f>
        <v>#N/A</v>
      </c>
      <c r="K947" s="29"/>
      <c r="P947" s="22"/>
      <c r="X947" s="22"/>
    </row>
    <row r="948" spans="10:24">
      <c r="J948" s="20" t="e">
        <f>VLOOKUP(G948,MD!M$2:O$93,3,FALSE)</f>
        <v>#N/A</v>
      </c>
      <c r="K948" s="29"/>
      <c r="P948" s="22"/>
      <c r="X948" s="22"/>
    </row>
    <row r="949" spans="10:24">
      <c r="J949" s="20" t="e">
        <f>VLOOKUP(G949,MD!M$2:O$93,3,FALSE)</f>
        <v>#N/A</v>
      </c>
      <c r="K949" s="29"/>
      <c r="P949" s="22"/>
      <c r="X949" s="22"/>
    </row>
    <row r="950" spans="10:24">
      <c r="J950" s="20" t="e">
        <f>VLOOKUP(G950,MD!M$2:O$93,3,FALSE)</f>
        <v>#N/A</v>
      </c>
      <c r="K950" s="29"/>
      <c r="P950" s="22"/>
      <c r="X950" s="22"/>
    </row>
    <row r="951" spans="10:24">
      <c r="J951" s="20" t="e">
        <f>VLOOKUP(G951,MD!M$2:O$93,3,FALSE)</f>
        <v>#N/A</v>
      </c>
      <c r="K951" s="29"/>
      <c r="P951" s="22"/>
      <c r="X951" s="22"/>
    </row>
    <row r="952" spans="10:24">
      <c r="J952" s="20" t="e">
        <f>VLOOKUP(G952,MD!M$2:O$93,3,FALSE)</f>
        <v>#N/A</v>
      </c>
      <c r="K952" s="29"/>
      <c r="P952" s="22"/>
      <c r="X952" s="22"/>
    </row>
    <row r="953" spans="10:24">
      <c r="J953" s="20" t="e">
        <f>VLOOKUP(G953,MD!M$2:O$93,3,FALSE)</f>
        <v>#N/A</v>
      </c>
      <c r="K953" s="29"/>
      <c r="P953" s="22"/>
      <c r="X953" s="22"/>
    </row>
    <row r="954" spans="10:24">
      <c r="J954" s="20" t="e">
        <f>VLOOKUP(G954,MD!M$2:O$93,3,FALSE)</f>
        <v>#N/A</v>
      </c>
      <c r="K954" s="29"/>
      <c r="P954" s="22"/>
      <c r="X954" s="22"/>
    </row>
    <row r="955" spans="10:24">
      <c r="J955" s="20" t="e">
        <f>VLOOKUP(G955,MD!M$2:O$93,3,FALSE)</f>
        <v>#N/A</v>
      </c>
      <c r="K955" s="29"/>
      <c r="P955" s="22"/>
      <c r="X955" s="22"/>
    </row>
    <row r="956" spans="10:24">
      <c r="J956" s="20" t="e">
        <f>VLOOKUP(G956,MD!M$2:O$93,3,FALSE)</f>
        <v>#N/A</v>
      </c>
      <c r="K956" s="29"/>
      <c r="P956" s="22"/>
      <c r="X956" s="22"/>
    </row>
    <row r="957" spans="10:24">
      <c r="J957" s="20" t="e">
        <f>VLOOKUP(G957,MD!M$2:O$93,3,FALSE)</f>
        <v>#N/A</v>
      </c>
      <c r="K957" s="29"/>
      <c r="P957" s="22"/>
      <c r="X957" s="22"/>
    </row>
    <row r="958" spans="10:24">
      <c r="J958" s="20" t="e">
        <f>VLOOKUP(G958,MD!M$2:O$93,3,FALSE)</f>
        <v>#N/A</v>
      </c>
      <c r="K958" s="29"/>
      <c r="P958" s="22"/>
      <c r="X958" s="22"/>
    </row>
    <row r="959" spans="10:24">
      <c r="J959" s="20" t="e">
        <f>VLOOKUP(G959,MD!M$2:O$93,3,FALSE)</f>
        <v>#N/A</v>
      </c>
      <c r="K959" s="29"/>
      <c r="P959" s="22"/>
      <c r="X959" s="22"/>
    </row>
    <row r="960" spans="10:24">
      <c r="J960" s="20" t="e">
        <f>VLOOKUP(G960,MD!M$2:O$93,3,FALSE)</f>
        <v>#N/A</v>
      </c>
      <c r="K960" s="29"/>
      <c r="P960" s="22"/>
      <c r="X960" s="22"/>
    </row>
    <row r="961" spans="10:24">
      <c r="J961" s="20" t="e">
        <f>VLOOKUP(G961,MD!M$2:O$93,3,FALSE)</f>
        <v>#N/A</v>
      </c>
      <c r="K961" s="29"/>
      <c r="P961" s="22"/>
      <c r="X961" s="22"/>
    </row>
    <row r="962" spans="10:24">
      <c r="J962" s="20" t="e">
        <f>VLOOKUP(G962,MD!M$2:O$93,3,FALSE)</f>
        <v>#N/A</v>
      </c>
      <c r="K962" s="29"/>
      <c r="P962" s="22"/>
      <c r="X962" s="22"/>
    </row>
    <row r="963" spans="10:24">
      <c r="J963" s="20" t="e">
        <f>VLOOKUP(G963,MD!M$2:O$93,3,FALSE)</f>
        <v>#N/A</v>
      </c>
      <c r="K963" s="29"/>
      <c r="P963" s="22"/>
      <c r="X963" s="22"/>
    </row>
    <row r="964" spans="10:24">
      <c r="J964" s="20" t="e">
        <f>VLOOKUP(G964,MD!M$2:O$93,3,FALSE)</f>
        <v>#N/A</v>
      </c>
      <c r="K964" s="29"/>
      <c r="P964" s="22"/>
      <c r="X964" s="22"/>
    </row>
    <row r="965" spans="10:24">
      <c r="J965" s="20" t="e">
        <f>VLOOKUP(G965,MD!M$2:O$93,3,FALSE)</f>
        <v>#N/A</v>
      </c>
      <c r="K965" s="29"/>
      <c r="P965" s="22"/>
      <c r="X965" s="22"/>
    </row>
    <row r="966" spans="10:24">
      <c r="J966" s="20" t="e">
        <f>VLOOKUP(G966,MD!M$2:O$93,3,FALSE)</f>
        <v>#N/A</v>
      </c>
      <c r="K966" s="29"/>
      <c r="P966" s="22"/>
      <c r="X966" s="22"/>
    </row>
    <row r="967" spans="10:24">
      <c r="J967" s="20" t="e">
        <f>VLOOKUP(G967,MD!M$2:O$93,3,FALSE)</f>
        <v>#N/A</v>
      </c>
      <c r="K967" s="29"/>
      <c r="P967" s="22"/>
      <c r="X967" s="22"/>
    </row>
    <row r="968" spans="10:24">
      <c r="J968" s="20" t="e">
        <f>VLOOKUP(G968,MD!M$2:O$93,3,FALSE)</f>
        <v>#N/A</v>
      </c>
      <c r="K968" s="29"/>
      <c r="P968" s="22"/>
      <c r="X968" s="22"/>
    </row>
    <row r="969" spans="10:24">
      <c r="J969" s="20" t="e">
        <f>VLOOKUP(G969,MD!M$2:O$93,3,FALSE)</f>
        <v>#N/A</v>
      </c>
      <c r="K969" s="29"/>
      <c r="P969" s="22"/>
      <c r="X969" s="22"/>
    </row>
    <row r="970" spans="10:24">
      <c r="J970" s="20" t="e">
        <f>VLOOKUP(G970,MD!M$2:O$93,3,FALSE)</f>
        <v>#N/A</v>
      </c>
      <c r="K970" s="29"/>
      <c r="P970" s="22"/>
      <c r="X970" s="22"/>
    </row>
    <row r="971" spans="10:24">
      <c r="J971" s="20" t="e">
        <f>VLOOKUP(G971,MD!M$2:O$93,3,FALSE)</f>
        <v>#N/A</v>
      </c>
      <c r="K971" s="29"/>
      <c r="P971" s="22"/>
      <c r="X971" s="22"/>
    </row>
    <row r="972" spans="10:24">
      <c r="J972" s="20" t="e">
        <f>VLOOKUP(G972,MD!M$2:O$93,3,FALSE)</f>
        <v>#N/A</v>
      </c>
      <c r="K972" s="29"/>
      <c r="P972" s="22"/>
      <c r="X972" s="22"/>
    </row>
    <row r="973" spans="10:24">
      <c r="J973" s="20" t="e">
        <f>VLOOKUP(G973,MD!M$2:O$93,3,FALSE)</f>
        <v>#N/A</v>
      </c>
      <c r="K973" s="29"/>
      <c r="P973" s="22"/>
      <c r="X973" s="22"/>
    </row>
    <row r="974" spans="10:24">
      <c r="J974" s="20" t="e">
        <f>VLOOKUP(G974,MD!M$2:O$93,3,FALSE)</f>
        <v>#N/A</v>
      </c>
      <c r="K974" s="29"/>
      <c r="P974" s="22"/>
      <c r="X974" s="22"/>
    </row>
    <row r="975" spans="10:24">
      <c r="J975" s="20" t="e">
        <f>VLOOKUP(G975,MD!M$2:O$93,3,FALSE)</f>
        <v>#N/A</v>
      </c>
      <c r="K975" s="29"/>
      <c r="P975" s="22"/>
      <c r="X975" s="22"/>
    </row>
    <row r="976" spans="10:24">
      <c r="J976" s="20" t="e">
        <f>VLOOKUP(G976,MD!M$2:O$93,3,FALSE)</f>
        <v>#N/A</v>
      </c>
      <c r="K976" s="29"/>
      <c r="P976" s="22"/>
      <c r="X976" s="22"/>
    </row>
    <row r="977" spans="10:24">
      <c r="J977" s="20" t="e">
        <f>VLOOKUP(G977,MD!M$2:O$93,3,FALSE)</f>
        <v>#N/A</v>
      </c>
      <c r="K977" s="29"/>
      <c r="P977" s="22"/>
      <c r="X977" s="22"/>
    </row>
    <row r="978" spans="10:24">
      <c r="J978" s="20" t="e">
        <f>VLOOKUP(G978,MD!M$2:O$93,3,FALSE)</f>
        <v>#N/A</v>
      </c>
      <c r="K978" s="29"/>
      <c r="P978" s="22"/>
      <c r="X978" s="22"/>
    </row>
    <row r="979" spans="10:24">
      <c r="J979" s="20" t="e">
        <f>VLOOKUP(G979,MD!M$2:O$93,3,FALSE)</f>
        <v>#N/A</v>
      </c>
      <c r="K979" s="29"/>
      <c r="P979" s="22"/>
      <c r="X979" s="22"/>
    </row>
    <row r="980" spans="10:24">
      <c r="J980" s="20" t="e">
        <f>VLOOKUP(G980,MD!M$2:O$93,3,FALSE)</f>
        <v>#N/A</v>
      </c>
      <c r="K980" s="29"/>
      <c r="P980" s="22"/>
      <c r="X980" s="22"/>
    </row>
    <row r="981" spans="10:24">
      <c r="J981" s="20" t="e">
        <f>VLOOKUP(G981,MD!M$2:O$93,3,FALSE)</f>
        <v>#N/A</v>
      </c>
      <c r="K981" s="29"/>
      <c r="P981" s="22"/>
      <c r="X981" s="22"/>
    </row>
    <row r="982" spans="10:24">
      <c r="J982" s="20" t="e">
        <f>VLOOKUP(G982,MD!M$2:O$93,3,FALSE)</f>
        <v>#N/A</v>
      </c>
      <c r="K982" s="29"/>
      <c r="P982" s="22"/>
      <c r="X982" s="22"/>
    </row>
    <row r="983" spans="10:24">
      <c r="J983" s="20" t="e">
        <f>VLOOKUP(G983,MD!M$2:O$93,3,FALSE)</f>
        <v>#N/A</v>
      </c>
      <c r="K983" s="29"/>
      <c r="P983" s="22"/>
      <c r="X983" s="22"/>
    </row>
    <row r="984" spans="10:24">
      <c r="J984" s="20" t="e">
        <f>VLOOKUP(G984,MD!M$2:O$93,3,FALSE)</f>
        <v>#N/A</v>
      </c>
      <c r="K984" s="29"/>
      <c r="P984" s="22"/>
      <c r="X984" s="22"/>
    </row>
    <row r="985" spans="10:24">
      <c r="J985" s="20" t="e">
        <f>VLOOKUP(G985,MD!M$2:O$93,3,FALSE)</f>
        <v>#N/A</v>
      </c>
      <c r="K985" s="29"/>
      <c r="P985" s="22"/>
      <c r="X985" s="22"/>
    </row>
    <row r="986" spans="10:24">
      <c r="J986" s="20" t="e">
        <f>VLOOKUP(G986,MD!M$2:O$93,3,FALSE)</f>
        <v>#N/A</v>
      </c>
      <c r="K986" s="29"/>
      <c r="P986" s="22"/>
      <c r="X986" s="22"/>
    </row>
    <row r="987" spans="10:24">
      <c r="J987" s="20" t="e">
        <f>VLOOKUP(G987,MD!M$2:O$93,3,FALSE)</f>
        <v>#N/A</v>
      </c>
      <c r="K987" s="29"/>
      <c r="P987" s="22"/>
      <c r="X987" s="22"/>
    </row>
    <row r="988" spans="10:24">
      <c r="J988" s="20" t="e">
        <f>VLOOKUP(G988,MD!M$2:O$93,3,FALSE)</f>
        <v>#N/A</v>
      </c>
      <c r="K988" s="29"/>
      <c r="P988" s="22"/>
      <c r="X988" s="22"/>
    </row>
    <row r="989" spans="10:24">
      <c r="J989" s="20" t="e">
        <f>VLOOKUP(G989,MD!M$2:O$93,3,FALSE)</f>
        <v>#N/A</v>
      </c>
      <c r="K989" s="29"/>
      <c r="P989" s="22"/>
      <c r="X989" s="22"/>
    </row>
    <row r="990" spans="10:24">
      <c r="J990" s="20" t="e">
        <f>VLOOKUP(G990,MD!M$2:O$93,3,FALSE)</f>
        <v>#N/A</v>
      </c>
      <c r="K990" s="29"/>
      <c r="P990" s="22"/>
      <c r="X990" s="22"/>
    </row>
    <row r="991" spans="10:24">
      <c r="J991" s="20" t="e">
        <f>VLOOKUP(G991,MD!M$2:O$93,3,FALSE)</f>
        <v>#N/A</v>
      </c>
      <c r="K991" s="29"/>
      <c r="P991" s="22"/>
      <c r="X991" s="22"/>
    </row>
    <row r="992" spans="10:24">
      <c r="J992" s="20" t="e">
        <f>VLOOKUP(G992,MD!M$2:O$93,3,FALSE)</f>
        <v>#N/A</v>
      </c>
      <c r="K992" s="29"/>
      <c r="P992" s="22"/>
      <c r="X992" s="22"/>
    </row>
    <row r="993" spans="10:24">
      <c r="J993" s="20" t="e">
        <f>VLOOKUP(G993,MD!M$2:O$93,3,FALSE)</f>
        <v>#N/A</v>
      </c>
      <c r="K993" s="29"/>
      <c r="P993" s="22"/>
      <c r="X993" s="22"/>
    </row>
    <row r="994" spans="10:24">
      <c r="J994" s="20" t="e">
        <f>VLOOKUP(G994,MD!M$2:O$93,3,FALSE)</f>
        <v>#N/A</v>
      </c>
      <c r="K994" s="29"/>
      <c r="P994" s="22"/>
      <c r="X994" s="22"/>
    </row>
    <row r="995" spans="10:24">
      <c r="J995" s="20" t="e">
        <f>VLOOKUP(G995,MD!M$2:O$93,3,FALSE)</f>
        <v>#N/A</v>
      </c>
      <c r="K995" s="29"/>
      <c r="P995" s="22"/>
      <c r="X995" s="22"/>
    </row>
    <row r="996" spans="10:24">
      <c r="J996" s="20" t="e">
        <f>VLOOKUP(G996,MD!M$2:O$93,3,FALSE)</f>
        <v>#N/A</v>
      </c>
      <c r="K996" s="29"/>
      <c r="P996" s="22"/>
      <c r="X996" s="22"/>
    </row>
    <row r="997" spans="10:24">
      <c r="J997" s="20" t="e">
        <f>VLOOKUP(G997,MD!M$2:O$93,3,FALSE)</f>
        <v>#N/A</v>
      </c>
      <c r="K997" s="29"/>
      <c r="P997" s="22"/>
      <c r="X997" s="22"/>
    </row>
    <row r="998" spans="10:24">
      <c r="J998" s="20" t="e">
        <f>VLOOKUP(G998,MD!M$2:O$93,3,FALSE)</f>
        <v>#N/A</v>
      </c>
      <c r="K998" s="29"/>
      <c r="P998" s="22"/>
      <c r="X998" s="22"/>
    </row>
    <row r="999" spans="10:24">
      <c r="J999" s="20" t="e">
        <f>VLOOKUP(G999,MD!M$2:O$93,3,FALSE)</f>
        <v>#N/A</v>
      </c>
      <c r="K999" s="29"/>
      <c r="P999" s="22"/>
      <c r="X999" s="22"/>
    </row>
    <row r="1000" spans="10:24">
      <c r="J1000" s="20" t="e">
        <f>VLOOKUP(G1000,MD!M$2:O$93,3,FALSE)</f>
        <v>#N/A</v>
      </c>
      <c r="K1000" s="29"/>
      <c r="P1000" s="22"/>
      <c r="X1000" s="22"/>
    </row>
    <row r="1001" spans="10:24">
      <c r="J1001" s="20" t="e">
        <f>VLOOKUP(G1001,MD!M$2:O$93,3,FALSE)</f>
        <v>#N/A</v>
      </c>
      <c r="K1001" s="29"/>
      <c r="P1001" s="22"/>
      <c r="X1001" s="22"/>
    </row>
    <row r="1002" spans="10:24">
      <c r="J1002" s="20" t="e">
        <f>VLOOKUP(G1002,MD!M$2:O$93,3,FALSE)</f>
        <v>#N/A</v>
      </c>
      <c r="K1002" s="29"/>
      <c r="P1002" s="22"/>
      <c r="X1002" s="22"/>
    </row>
    <row r="1003" spans="10:24">
      <c r="J1003" s="20" t="e">
        <f>VLOOKUP(G1003,MD!M$2:O$93,3,FALSE)</f>
        <v>#N/A</v>
      </c>
      <c r="K1003" s="29"/>
      <c r="P1003" s="22"/>
      <c r="X1003" s="22"/>
    </row>
    <row r="1004" spans="10:24">
      <c r="J1004" s="20" t="e">
        <f>VLOOKUP(G1004,MD!M$2:O$93,3,FALSE)</f>
        <v>#N/A</v>
      </c>
      <c r="K1004" s="29"/>
      <c r="P1004" s="22"/>
      <c r="X1004" s="22"/>
    </row>
    <row r="1005" spans="10:24">
      <c r="J1005" s="20" t="e">
        <f>VLOOKUP(G1005,MD!M$2:O$93,3,FALSE)</f>
        <v>#N/A</v>
      </c>
      <c r="K1005" s="29"/>
      <c r="P1005" s="22"/>
      <c r="X1005" s="22"/>
    </row>
    <row r="1006" spans="10:24">
      <c r="J1006" s="20" t="e">
        <f>VLOOKUP(G1006,MD!M$2:O$93,3,FALSE)</f>
        <v>#N/A</v>
      </c>
      <c r="K1006" s="29"/>
      <c r="P1006" s="22"/>
      <c r="X1006" s="22"/>
    </row>
    <row r="1007" spans="10:24">
      <c r="J1007" s="20" t="e">
        <f>VLOOKUP(G1007,MD!M$2:O$93,3,FALSE)</f>
        <v>#N/A</v>
      </c>
      <c r="K1007" s="29"/>
      <c r="P1007" s="22"/>
      <c r="X1007" s="22"/>
    </row>
    <row r="1008" spans="10:24">
      <c r="J1008" s="20" t="e">
        <f>VLOOKUP(G1008,MD!M$2:O$93,3,FALSE)</f>
        <v>#N/A</v>
      </c>
      <c r="K1008" s="29"/>
      <c r="P1008" s="22"/>
      <c r="X1008" s="22"/>
    </row>
    <row r="1009" spans="10:24">
      <c r="J1009" s="20" t="e">
        <f>VLOOKUP(G1009,MD!M$2:O$93,3,FALSE)</f>
        <v>#N/A</v>
      </c>
      <c r="K1009" s="29"/>
      <c r="P1009" s="22"/>
      <c r="X1009" s="22"/>
    </row>
    <row r="1010" spans="10:24">
      <c r="J1010" s="20" t="e">
        <f>VLOOKUP(G1010,MD!M$2:O$93,3,FALSE)</f>
        <v>#N/A</v>
      </c>
      <c r="K1010" s="29"/>
      <c r="P1010" s="22"/>
      <c r="X1010" s="22"/>
    </row>
    <row r="1011" spans="10:24">
      <c r="J1011" s="20" t="e">
        <f>VLOOKUP(G1011,MD!M$2:O$93,3,FALSE)</f>
        <v>#N/A</v>
      </c>
      <c r="K1011" s="29"/>
      <c r="P1011" s="22"/>
      <c r="X1011" s="22"/>
    </row>
    <row r="1012" spans="10:24">
      <c r="J1012" s="20" t="e">
        <f>VLOOKUP(G1012,MD!M$2:O$93,3,FALSE)</f>
        <v>#N/A</v>
      </c>
      <c r="K1012" s="29"/>
      <c r="P1012" s="22"/>
      <c r="X1012" s="22"/>
    </row>
    <row r="1013" spans="10:24">
      <c r="J1013" s="20" t="e">
        <f>VLOOKUP(G1013,MD!M$2:O$93,3,FALSE)</f>
        <v>#N/A</v>
      </c>
      <c r="K1013" s="29"/>
      <c r="P1013" s="22"/>
      <c r="X1013" s="22"/>
    </row>
    <row r="1014" spans="10:24">
      <c r="J1014" s="20" t="e">
        <f>VLOOKUP(G1014,MD!M$2:O$93,3,FALSE)</f>
        <v>#N/A</v>
      </c>
      <c r="K1014" s="29"/>
      <c r="P1014" s="22"/>
      <c r="X1014" s="22"/>
    </row>
    <row r="1015" spans="10:24">
      <c r="J1015" s="20" t="e">
        <f>VLOOKUP(G1015,MD!M$2:O$93,3,FALSE)</f>
        <v>#N/A</v>
      </c>
      <c r="K1015" s="29"/>
      <c r="P1015" s="22"/>
      <c r="X1015" s="22"/>
    </row>
    <row r="1016" spans="10:24">
      <c r="J1016" s="20" t="e">
        <f>VLOOKUP(G1016,MD!M$2:O$93,3,FALSE)</f>
        <v>#N/A</v>
      </c>
      <c r="K1016" s="29"/>
      <c r="P1016" s="22"/>
      <c r="X1016" s="22"/>
    </row>
    <row r="1017" spans="10:24">
      <c r="J1017" s="20" t="e">
        <f>VLOOKUP(G1017,MD!M$2:O$93,3,FALSE)</f>
        <v>#N/A</v>
      </c>
      <c r="K1017" s="29"/>
      <c r="P1017" s="22"/>
      <c r="X1017" s="22"/>
    </row>
    <row r="1018" spans="10:24">
      <c r="J1018" s="20" t="e">
        <f>VLOOKUP(G1018,MD!M$2:O$93,3,FALSE)</f>
        <v>#N/A</v>
      </c>
      <c r="K1018" s="29"/>
      <c r="P1018" s="22"/>
      <c r="X1018" s="22"/>
    </row>
    <row r="1019" spans="10:24">
      <c r="J1019" s="20" t="e">
        <f>VLOOKUP(G1019,MD!M$2:O$93,3,FALSE)</f>
        <v>#N/A</v>
      </c>
      <c r="K1019" s="29"/>
      <c r="P1019" s="22"/>
      <c r="X1019" s="22"/>
    </row>
  </sheetData>
  <autoFilter ref="A1:G1019"/>
  <dataValidations count="2">
    <dataValidation type="list" allowBlank="1" showInputMessage="1" showErrorMessage="1" sqref="F2:F1019">
      <formula1>Listes_des_grandes_opérations</formula1>
    </dataValidation>
    <dataValidation type="list" allowBlank="1" showInputMessage="1" showErrorMessage="1" sqref="G2:G1019">
      <formula1>INDIRECT($F2)</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Feuil10">
    <tabColor rgb="FF92D050"/>
  </sheetPr>
  <dimension ref="A1:O94"/>
  <sheetViews>
    <sheetView zoomScale="70" zoomScaleNormal="70" workbookViewId="0"/>
  </sheetViews>
  <sheetFormatPr baseColWidth="10" defaultColWidth="11.42578125" defaultRowHeight="15"/>
  <cols>
    <col min="1" max="1" width="27.42578125" style="12" bestFit="1" customWidth="1"/>
    <col min="2" max="2" width="3.42578125" style="12" customWidth="1"/>
    <col min="3" max="3" width="53.42578125" style="12" customWidth="1"/>
    <col min="4" max="4" width="47" style="12" customWidth="1"/>
    <col min="5" max="5" width="48.5703125" style="12" customWidth="1"/>
    <col min="6" max="6" width="11.42578125" style="12"/>
    <col min="7" max="7" width="18.42578125" style="12" customWidth="1"/>
    <col min="8" max="8" width="19.42578125" style="12" customWidth="1"/>
    <col min="9" max="9" width="22.42578125" style="12" bestFit="1" customWidth="1"/>
    <col min="10" max="10" width="16.7109375" style="12" customWidth="1"/>
    <col min="11" max="11" width="6" style="12" bestFit="1" customWidth="1"/>
    <col min="12" max="12" width="11.42578125" style="12"/>
    <col min="13" max="13" width="41.7109375" style="12" customWidth="1"/>
    <col min="14" max="14" width="3.7109375" style="12" bestFit="1" customWidth="1"/>
    <col min="15" max="15" width="12.5703125" style="12" customWidth="1"/>
    <col min="16" max="16" width="4.28515625" style="12" customWidth="1"/>
    <col min="17" max="17" width="4" style="12" customWidth="1"/>
    <col min="18" max="18" width="3" style="12" bestFit="1" customWidth="1"/>
    <col min="19" max="19" width="3.28515625" style="12" bestFit="1" customWidth="1"/>
    <col min="20" max="20" width="3" style="12" bestFit="1" customWidth="1"/>
    <col min="21" max="21" width="6.5703125" style="12" bestFit="1" customWidth="1"/>
    <col min="22" max="16384" width="11.42578125" style="12"/>
  </cols>
  <sheetData>
    <row r="1" spans="1:15" ht="17.25" customHeight="1">
      <c r="A1" s="33" t="s">
        <v>82</v>
      </c>
      <c r="C1" s="33" t="s">
        <v>86</v>
      </c>
      <c r="D1" s="33" t="s">
        <v>83</v>
      </c>
      <c r="E1" s="33" t="s">
        <v>84</v>
      </c>
      <c r="F1" s="33" t="s">
        <v>85</v>
      </c>
      <c r="G1" s="33" t="s">
        <v>87</v>
      </c>
      <c r="H1" s="33" t="s">
        <v>88</v>
      </c>
      <c r="I1" s="33" t="s">
        <v>89</v>
      </c>
      <c r="J1" s="33" t="s">
        <v>2</v>
      </c>
      <c r="K1" s="33" t="s">
        <v>24</v>
      </c>
      <c r="M1" s="12" t="s">
        <v>90</v>
      </c>
      <c r="N1" s="12" t="s">
        <v>91</v>
      </c>
      <c r="O1" s="12" t="s">
        <v>92</v>
      </c>
    </row>
    <row r="2" spans="1:15" ht="17.25" customHeight="1">
      <c r="A2" s="39" t="s">
        <v>83</v>
      </c>
      <c r="C2" s="15" t="s">
        <v>64</v>
      </c>
      <c r="D2" s="40" t="s">
        <v>26</v>
      </c>
      <c r="E2" s="34" t="s">
        <v>29</v>
      </c>
      <c r="F2" s="34" t="s">
        <v>35</v>
      </c>
      <c r="G2" s="34" t="s">
        <v>93</v>
      </c>
      <c r="H2" s="66" t="s">
        <v>99</v>
      </c>
      <c r="I2" s="51" t="s">
        <v>113</v>
      </c>
      <c r="J2" s="51" t="s">
        <v>115</v>
      </c>
      <c r="M2" s="7" t="s">
        <v>64</v>
      </c>
      <c r="N2" s="2">
        <v>5</v>
      </c>
      <c r="O2" s="4" t="s">
        <v>70</v>
      </c>
    </row>
    <row r="3" spans="1:15" ht="17.25" customHeight="1">
      <c r="A3" s="38" t="s">
        <v>84</v>
      </c>
      <c r="C3" s="43" t="s">
        <v>55</v>
      </c>
      <c r="D3" s="14" t="s">
        <v>62</v>
      </c>
      <c r="E3" s="35" t="s">
        <v>30</v>
      </c>
      <c r="F3" s="35" t="s">
        <v>295</v>
      </c>
      <c r="G3" s="35" t="s">
        <v>94</v>
      </c>
      <c r="H3" s="31" t="s">
        <v>98</v>
      </c>
      <c r="I3" s="41" t="s">
        <v>112</v>
      </c>
      <c r="J3" s="41" t="s">
        <v>116</v>
      </c>
      <c r="M3" s="8" t="s">
        <v>55</v>
      </c>
      <c r="N3" s="2">
        <v>18</v>
      </c>
      <c r="O3" s="4" t="s">
        <v>70</v>
      </c>
    </row>
    <row r="4" spans="1:15" ht="17.25" customHeight="1">
      <c r="A4" s="38" t="s">
        <v>85</v>
      </c>
      <c r="C4" s="10" t="s">
        <v>50</v>
      </c>
      <c r="D4" s="14" t="s">
        <v>63</v>
      </c>
      <c r="E4" s="35" t="s">
        <v>61</v>
      </c>
      <c r="F4" s="35" t="s">
        <v>65</v>
      </c>
      <c r="G4" s="37"/>
      <c r="H4" s="31" t="s">
        <v>100</v>
      </c>
      <c r="I4" s="41" t="s">
        <v>111</v>
      </c>
      <c r="J4" s="41" t="s">
        <v>117</v>
      </c>
      <c r="M4" s="3" t="s">
        <v>50</v>
      </c>
      <c r="N4" s="2">
        <v>25</v>
      </c>
      <c r="O4" s="4" t="s">
        <v>70</v>
      </c>
    </row>
    <row r="5" spans="1:15" ht="17.25" customHeight="1">
      <c r="A5" s="38" t="s">
        <v>86</v>
      </c>
      <c r="C5" s="10" t="s">
        <v>74</v>
      </c>
      <c r="D5" s="14" t="s">
        <v>59</v>
      </c>
      <c r="E5" s="67" t="s">
        <v>76</v>
      </c>
      <c r="F5" s="35" t="s">
        <v>66</v>
      </c>
      <c r="G5" s="14"/>
      <c r="H5" s="31" t="s">
        <v>101</v>
      </c>
      <c r="I5" s="41" t="s">
        <v>110</v>
      </c>
      <c r="J5" s="41" t="s">
        <v>118</v>
      </c>
      <c r="M5" s="3" t="s">
        <v>74</v>
      </c>
      <c r="N5" s="2">
        <v>24</v>
      </c>
      <c r="O5" s="4" t="s">
        <v>80</v>
      </c>
    </row>
    <row r="6" spans="1:15" ht="17.25" customHeight="1">
      <c r="A6" s="38" t="s">
        <v>87</v>
      </c>
      <c r="C6" s="10" t="s">
        <v>51</v>
      </c>
      <c r="D6" s="14" t="s">
        <v>37</v>
      </c>
      <c r="E6" s="53" t="s">
        <v>221</v>
      </c>
      <c r="F6" s="31" t="s">
        <v>67</v>
      </c>
      <c r="G6" s="14"/>
      <c r="H6" s="31" t="s">
        <v>102</v>
      </c>
      <c r="I6" s="41" t="s">
        <v>109</v>
      </c>
      <c r="J6" s="52"/>
      <c r="M6" s="3" t="s">
        <v>51</v>
      </c>
      <c r="N6" s="2">
        <v>23</v>
      </c>
      <c r="O6" s="4" t="s">
        <v>80</v>
      </c>
    </row>
    <row r="7" spans="1:15" ht="17.25" customHeight="1">
      <c r="A7" s="38" t="s">
        <v>88</v>
      </c>
      <c r="C7" s="10" t="s">
        <v>73</v>
      </c>
      <c r="D7" s="14" t="s">
        <v>78</v>
      </c>
      <c r="E7" s="53" t="s">
        <v>644</v>
      </c>
      <c r="F7" s="31" t="s">
        <v>213</v>
      </c>
      <c r="H7" s="38" t="s">
        <v>103</v>
      </c>
      <c r="I7" s="61" t="s">
        <v>133</v>
      </c>
      <c r="M7" s="3" t="s">
        <v>73</v>
      </c>
      <c r="N7" s="2">
        <v>28</v>
      </c>
      <c r="O7" s="4" t="s">
        <v>70</v>
      </c>
    </row>
    <row r="8" spans="1:15" ht="17.25" customHeight="1">
      <c r="A8" s="38" t="s">
        <v>89</v>
      </c>
      <c r="C8" s="10" t="s">
        <v>48</v>
      </c>
      <c r="D8" s="41" t="s">
        <v>31</v>
      </c>
      <c r="E8" s="94" t="s">
        <v>271</v>
      </c>
      <c r="F8" s="31" t="s">
        <v>214</v>
      </c>
      <c r="H8" s="38" t="s">
        <v>190</v>
      </c>
      <c r="I8" s="61" t="s">
        <v>108</v>
      </c>
      <c r="M8" s="3" t="s">
        <v>48</v>
      </c>
      <c r="N8" s="2">
        <v>27</v>
      </c>
      <c r="O8" s="4" t="s">
        <v>70</v>
      </c>
    </row>
    <row r="9" spans="1:15" ht="17.25" customHeight="1">
      <c r="A9" s="38" t="s">
        <v>2</v>
      </c>
      <c r="C9" s="10" t="s">
        <v>49</v>
      </c>
      <c r="D9" s="41" t="s">
        <v>77</v>
      </c>
      <c r="E9" s="36"/>
      <c r="F9" s="32"/>
      <c r="H9" s="38" t="s">
        <v>191</v>
      </c>
      <c r="I9" s="62"/>
      <c r="M9" s="3" t="s">
        <v>49</v>
      </c>
      <c r="N9" s="2">
        <v>26</v>
      </c>
      <c r="O9" s="4" t="s">
        <v>80</v>
      </c>
    </row>
    <row r="10" spans="1:15" ht="17.25" customHeight="1">
      <c r="A10" s="38" t="s">
        <v>24</v>
      </c>
      <c r="C10" s="10" t="s">
        <v>69</v>
      </c>
      <c r="D10" s="41" t="s">
        <v>58</v>
      </c>
      <c r="H10" s="63" t="s">
        <v>192</v>
      </c>
      <c r="M10" s="3" t="s">
        <v>69</v>
      </c>
      <c r="N10" s="2">
        <v>40</v>
      </c>
      <c r="O10" s="4" t="s">
        <v>70</v>
      </c>
    </row>
    <row r="11" spans="1:15" ht="17.25" customHeight="1">
      <c r="A11" s="32"/>
      <c r="C11" s="10" t="s">
        <v>41</v>
      </c>
      <c r="D11" s="41" t="s">
        <v>38</v>
      </c>
      <c r="H11" s="38" t="s">
        <v>104</v>
      </c>
      <c r="M11" s="3" t="s">
        <v>41</v>
      </c>
      <c r="N11" s="2">
        <v>36</v>
      </c>
      <c r="O11" s="4" t="s">
        <v>71</v>
      </c>
    </row>
    <row r="12" spans="1:15" ht="17.25" customHeight="1">
      <c r="A12" s="13"/>
      <c r="C12" s="10" t="s">
        <v>42</v>
      </c>
      <c r="D12" s="41" t="s">
        <v>32</v>
      </c>
      <c r="H12" s="38" t="s">
        <v>105</v>
      </c>
      <c r="M12" s="3" t="s">
        <v>42</v>
      </c>
      <c r="N12" s="2">
        <v>35</v>
      </c>
      <c r="O12" s="4" t="s">
        <v>71</v>
      </c>
    </row>
    <row r="13" spans="1:15" ht="17.25" customHeight="1">
      <c r="A13" s="13"/>
      <c r="C13" s="10" t="s">
        <v>43</v>
      </c>
      <c r="D13" s="41" t="s">
        <v>34</v>
      </c>
      <c r="H13" s="38" t="s">
        <v>181</v>
      </c>
      <c r="M13" s="3" t="s">
        <v>43</v>
      </c>
      <c r="N13" s="2">
        <v>34</v>
      </c>
      <c r="O13" s="4" t="s">
        <v>71</v>
      </c>
    </row>
    <row r="14" spans="1:15" ht="17.25" customHeight="1">
      <c r="A14" s="13"/>
      <c r="C14" s="10" t="s">
        <v>44</v>
      </c>
      <c r="D14" s="41" t="s">
        <v>56</v>
      </c>
      <c r="H14" s="38" t="s">
        <v>211</v>
      </c>
      <c r="M14" s="3" t="s">
        <v>44</v>
      </c>
      <c r="N14" s="2">
        <v>33</v>
      </c>
      <c r="O14" s="4" t="s">
        <v>71</v>
      </c>
    </row>
    <row r="15" spans="1:15" ht="17.25" customHeight="1">
      <c r="A15" s="13"/>
      <c r="C15" s="10" t="s">
        <v>45</v>
      </c>
      <c r="D15" s="41" t="s">
        <v>57</v>
      </c>
      <c r="H15" s="38" t="s">
        <v>438</v>
      </c>
      <c r="M15" s="3" t="s">
        <v>45</v>
      </c>
      <c r="N15" s="2">
        <v>32</v>
      </c>
      <c r="O15" s="4" t="s">
        <v>71</v>
      </c>
    </row>
    <row r="16" spans="1:15" ht="17.25" customHeight="1">
      <c r="A16" s="13"/>
      <c r="C16" s="10" t="s">
        <v>46</v>
      </c>
      <c r="D16" s="41" t="s">
        <v>60</v>
      </c>
      <c r="H16" s="38" t="s">
        <v>718</v>
      </c>
      <c r="M16" s="3" t="s">
        <v>46</v>
      </c>
      <c r="N16" s="2">
        <v>31</v>
      </c>
      <c r="O16" s="4" t="s">
        <v>71</v>
      </c>
    </row>
    <row r="17" spans="1:15" ht="17.25" customHeight="1">
      <c r="A17" s="13"/>
      <c r="C17" s="10" t="s">
        <v>79</v>
      </c>
      <c r="D17" s="42"/>
      <c r="H17" s="38" t="s">
        <v>732</v>
      </c>
      <c r="M17" s="3" t="s">
        <v>79</v>
      </c>
      <c r="N17" s="2">
        <v>30</v>
      </c>
      <c r="O17" s="4" t="s">
        <v>80</v>
      </c>
    </row>
    <row r="18" spans="1:15" ht="17.25" customHeight="1">
      <c r="A18" s="13"/>
      <c r="C18" s="10" t="s">
        <v>47</v>
      </c>
      <c r="D18" s="13"/>
      <c r="H18" s="38" t="s">
        <v>720</v>
      </c>
      <c r="M18" s="3" t="s">
        <v>47</v>
      </c>
      <c r="N18" s="2">
        <v>29</v>
      </c>
      <c r="O18" s="4" t="s">
        <v>80</v>
      </c>
    </row>
    <row r="19" spans="1:15" ht="17.25" customHeight="1">
      <c r="A19" s="13"/>
      <c r="C19" s="10" t="s">
        <v>39</v>
      </c>
      <c r="D19" s="13"/>
      <c r="H19" s="38" t="s">
        <v>715</v>
      </c>
      <c r="M19" s="3" t="s">
        <v>39</v>
      </c>
      <c r="N19" s="2">
        <v>38</v>
      </c>
      <c r="O19" s="4" t="s">
        <v>80</v>
      </c>
    </row>
    <row r="20" spans="1:15" ht="17.25" customHeight="1">
      <c r="A20" s="13"/>
      <c r="C20" s="10" t="s">
        <v>40</v>
      </c>
      <c r="D20" s="13"/>
      <c r="H20" s="38" t="s">
        <v>908</v>
      </c>
      <c r="M20" s="3" t="s">
        <v>40</v>
      </c>
      <c r="N20" s="2">
        <v>37</v>
      </c>
      <c r="O20" s="4" t="s">
        <v>80</v>
      </c>
    </row>
    <row r="21" spans="1:15" ht="17.25" customHeight="1">
      <c r="A21" s="13"/>
      <c r="C21" s="10" t="s">
        <v>27</v>
      </c>
      <c r="D21" s="13"/>
      <c r="H21" s="38" t="s">
        <v>909</v>
      </c>
      <c r="M21" s="3" t="s">
        <v>27</v>
      </c>
      <c r="N21" s="2">
        <v>52</v>
      </c>
      <c r="O21" s="4" t="s">
        <v>70</v>
      </c>
    </row>
    <row r="22" spans="1:15" ht="17.25" customHeight="1">
      <c r="A22" s="13"/>
      <c r="C22" s="10" t="s">
        <v>54</v>
      </c>
      <c r="D22" s="13"/>
      <c r="H22" s="32" t="s">
        <v>406</v>
      </c>
      <c r="M22" s="3" t="s">
        <v>54</v>
      </c>
      <c r="N22" s="2">
        <v>19</v>
      </c>
      <c r="O22" s="4" t="s">
        <v>70</v>
      </c>
    </row>
    <row r="23" spans="1:15" ht="17.25" customHeight="1">
      <c r="A23" s="13"/>
      <c r="C23" s="10" t="s">
        <v>53</v>
      </c>
      <c r="D23" s="13"/>
      <c r="M23" s="3" t="s">
        <v>53</v>
      </c>
      <c r="N23" s="2">
        <v>20</v>
      </c>
      <c r="O23" s="4" t="s">
        <v>70</v>
      </c>
    </row>
    <row r="24" spans="1:15" ht="17.25" customHeight="1">
      <c r="A24" s="13"/>
      <c r="C24" s="10" t="s">
        <v>52</v>
      </c>
      <c r="D24" s="13"/>
      <c r="M24" s="3" t="s">
        <v>52</v>
      </c>
      <c r="N24" s="2">
        <v>21</v>
      </c>
      <c r="O24" s="4" t="s">
        <v>70</v>
      </c>
    </row>
    <row r="25" spans="1:15" ht="17.25" customHeight="1">
      <c r="A25" s="13"/>
      <c r="C25" s="10" t="s">
        <v>72</v>
      </c>
      <c r="D25" s="13"/>
      <c r="M25" s="3" t="s">
        <v>72</v>
      </c>
      <c r="N25" s="2">
        <v>22</v>
      </c>
      <c r="O25" s="4" t="s">
        <v>70</v>
      </c>
    </row>
    <row r="26" spans="1:15" ht="17.25" customHeight="1">
      <c r="A26" s="13"/>
      <c r="C26" s="10" t="s">
        <v>28</v>
      </c>
      <c r="D26" s="13"/>
      <c r="M26" s="3" t="s">
        <v>28</v>
      </c>
      <c r="N26" s="2">
        <v>51</v>
      </c>
      <c r="O26" s="4" t="s">
        <v>70</v>
      </c>
    </row>
    <row r="27" spans="1:15" ht="17.25" customHeight="1">
      <c r="A27" s="13"/>
      <c r="C27" s="10" t="s">
        <v>33</v>
      </c>
      <c r="D27" s="13"/>
      <c r="M27" s="3" t="s">
        <v>33</v>
      </c>
      <c r="N27" s="2">
        <v>46</v>
      </c>
      <c r="O27" s="4" t="s">
        <v>80</v>
      </c>
    </row>
    <row r="28" spans="1:15" ht="17.25" customHeight="1">
      <c r="A28" s="13"/>
      <c r="C28" s="10" t="s">
        <v>36</v>
      </c>
      <c r="D28" s="13"/>
      <c r="M28" s="3" t="s">
        <v>36</v>
      </c>
      <c r="N28" s="2">
        <v>43</v>
      </c>
      <c r="O28" s="4" t="s">
        <v>70</v>
      </c>
    </row>
    <row r="29" spans="1:15" ht="17.25" customHeight="1">
      <c r="A29" s="13"/>
      <c r="C29" s="10" t="s">
        <v>971</v>
      </c>
      <c r="D29" s="13"/>
      <c r="M29" s="3" t="s">
        <v>971</v>
      </c>
      <c r="N29" s="2"/>
      <c r="O29" s="4" t="s">
        <v>70</v>
      </c>
    </row>
    <row r="30" spans="1:15" ht="17.25" customHeight="1">
      <c r="A30" s="13"/>
      <c r="B30" s="13"/>
      <c r="C30" s="10" t="s">
        <v>25</v>
      </c>
      <c r="D30" s="13"/>
      <c r="M30" s="3" t="s">
        <v>25</v>
      </c>
      <c r="N30" s="2">
        <v>42</v>
      </c>
      <c r="O30" s="4" t="s">
        <v>70</v>
      </c>
    </row>
    <row r="31" spans="1:15">
      <c r="A31" s="13"/>
      <c r="B31" s="13"/>
      <c r="C31" s="13"/>
      <c r="D31" s="13"/>
      <c r="M31" s="9" t="s">
        <v>26</v>
      </c>
      <c r="N31" s="6">
        <v>53</v>
      </c>
      <c r="O31" s="4" t="s">
        <v>70</v>
      </c>
    </row>
    <row r="32" spans="1:15">
      <c r="A32" s="13"/>
      <c r="B32" s="13"/>
      <c r="C32" s="13"/>
      <c r="D32" s="13"/>
      <c r="M32" s="10" t="s">
        <v>62</v>
      </c>
      <c r="N32" s="6">
        <v>9</v>
      </c>
      <c r="O32" s="4" t="s">
        <v>70</v>
      </c>
    </row>
    <row r="33" spans="1:15">
      <c r="A33" s="13"/>
      <c r="B33" s="13"/>
      <c r="C33" s="13"/>
      <c r="D33" s="13"/>
      <c r="M33" s="10" t="s">
        <v>63</v>
      </c>
      <c r="N33" s="6">
        <v>8</v>
      </c>
      <c r="O33" s="4" t="s">
        <v>70</v>
      </c>
    </row>
    <row r="34" spans="1:15">
      <c r="A34" s="13"/>
      <c r="B34" s="13"/>
      <c r="C34" s="13"/>
      <c r="D34" s="13"/>
      <c r="M34" s="10" t="s">
        <v>59</v>
      </c>
      <c r="N34" s="6">
        <v>14</v>
      </c>
      <c r="O34" s="4" t="s">
        <v>70</v>
      </c>
    </row>
    <row r="35" spans="1:15">
      <c r="A35" s="13"/>
      <c r="B35" s="13"/>
      <c r="C35" s="13"/>
      <c r="D35" s="13"/>
      <c r="M35" s="10" t="s">
        <v>37</v>
      </c>
      <c r="N35" s="6">
        <v>41</v>
      </c>
      <c r="O35" s="4" t="s">
        <v>70</v>
      </c>
    </row>
    <row r="36" spans="1:15" ht="30">
      <c r="A36" s="13"/>
      <c r="B36" s="13"/>
      <c r="C36" s="13"/>
      <c r="D36" s="13"/>
      <c r="M36" s="10" t="s">
        <v>78</v>
      </c>
      <c r="N36" s="6">
        <v>6</v>
      </c>
      <c r="O36" s="4" t="s">
        <v>70</v>
      </c>
    </row>
    <row r="37" spans="1:15" ht="30">
      <c r="A37" s="13"/>
      <c r="B37" s="13"/>
      <c r="C37" s="13"/>
      <c r="D37" s="13"/>
      <c r="M37" s="10" t="s">
        <v>31</v>
      </c>
      <c r="N37" s="6">
        <v>48</v>
      </c>
      <c r="O37" s="4" t="s">
        <v>70</v>
      </c>
    </row>
    <row r="38" spans="1:15" ht="30">
      <c r="A38" s="13"/>
      <c r="B38" s="13"/>
      <c r="C38" s="13"/>
      <c r="D38" s="13"/>
      <c r="M38" s="10" t="s">
        <v>77</v>
      </c>
      <c r="N38" s="6">
        <v>7</v>
      </c>
      <c r="O38" s="4" t="s">
        <v>70</v>
      </c>
    </row>
    <row r="39" spans="1:15">
      <c r="A39" s="13"/>
      <c r="B39" s="13"/>
      <c r="C39" s="13"/>
      <c r="D39" s="13"/>
      <c r="M39" s="10" t="s">
        <v>58</v>
      </c>
      <c r="N39" s="6">
        <v>15</v>
      </c>
      <c r="O39" s="4" t="s">
        <v>70</v>
      </c>
    </row>
    <row r="40" spans="1:15">
      <c r="A40" s="13"/>
      <c r="B40" s="13"/>
      <c r="C40" s="13"/>
      <c r="D40" s="13"/>
      <c r="M40" s="10" t="s">
        <v>38</v>
      </c>
      <c r="N40" s="6">
        <v>39</v>
      </c>
      <c r="O40" s="4" t="s">
        <v>70</v>
      </c>
    </row>
    <row r="41" spans="1:15">
      <c r="A41" s="13"/>
      <c r="B41" s="13"/>
      <c r="C41" s="13"/>
      <c r="D41" s="13"/>
      <c r="M41" s="10" t="s">
        <v>32</v>
      </c>
      <c r="N41" s="6">
        <v>47</v>
      </c>
      <c r="O41" s="4" t="s">
        <v>70</v>
      </c>
    </row>
    <row r="42" spans="1:15">
      <c r="A42" s="13"/>
      <c r="B42" s="13"/>
      <c r="C42" s="13"/>
      <c r="D42" s="13"/>
      <c r="M42" s="10" t="s">
        <v>34</v>
      </c>
      <c r="N42" s="6">
        <v>45</v>
      </c>
      <c r="O42" s="4" t="s">
        <v>70</v>
      </c>
    </row>
    <row r="43" spans="1:15">
      <c r="A43" s="13"/>
      <c r="B43" s="13"/>
      <c r="C43" s="13"/>
      <c r="D43" s="13"/>
      <c r="M43" s="10" t="s">
        <v>56</v>
      </c>
      <c r="N43" s="6">
        <v>17</v>
      </c>
      <c r="O43" s="4" t="s">
        <v>70</v>
      </c>
    </row>
    <row r="44" spans="1:15">
      <c r="A44" s="13"/>
      <c r="B44" s="13"/>
      <c r="C44" s="13"/>
      <c r="D44" s="13"/>
      <c r="M44" s="10" t="s">
        <v>57</v>
      </c>
      <c r="N44" s="6">
        <v>16</v>
      </c>
      <c r="O44" s="4" t="s">
        <v>70</v>
      </c>
    </row>
    <row r="45" spans="1:15">
      <c r="A45" s="13"/>
      <c r="B45" s="13"/>
      <c r="C45" s="13"/>
      <c r="D45" s="13"/>
      <c r="M45" s="11" t="s">
        <v>60</v>
      </c>
      <c r="N45" s="6">
        <v>13</v>
      </c>
      <c r="O45" s="4" t="s">
        <v>70</v>
      </c>
    </row>
    <row r="46" spans="1:15">
      <c r="A46" s="13"/>
      <c r="B46" s="13"/>
      <c r="C46" s="13"/>
      <c r="D46" s="13"/>
      <c r="M46" s="9" t="s">
        <v>29</v>
      </c>
      <c r="N46" s="6">
        <v>50</v>
      </c>
      <c r="O46" s="4" t="s">
        <v>70</v>
      </c>
    </row>
    <row r="47" spans="1:15">
      <c r="A47" s="13"/>
      <c r="B47" s="13"/>
      <c r="C47" s="13"/>
      <c r="D47" s="13"/>
      <c r="M47" s="10" t="s">
        <v>30</v>
      </c>
      <c r="N47" s="6">
        <v>49</v>
      </c>
      <c r="O47" s="4" t="s">
        <v>70</v>
      </c>
    </row>
    <row r="48" spans="1:15">
      <c r="A48" s="13"/>
      <c r="B48" s="13"/>
      <c r="C48" s="13"/>
      <c r="D48" s="13"/>
      <c r="M48" s="10" t="s">
        <v>61</v>
      </c>
      <c r="N48" s="6">
        <v>12</v>
      </c>
      <c r="O48" s="4" t="s">
        <v>70</v>
      </c>
    </row>
    <row r="49" spans="1:15" ht="30">
      <c r="A49" s="13"/>
      <c r="B49" s="13"/>
      <c r="C49" s="13"/>
      <c r="D49" s="13"/>
      <c r="M49" s="10" t="s">
        <v>76</v>
      </c>
      <c r="N49" s="6">
        <v>11</v>
      </c>
      <c r="O49" s="4" t="s">
        <v>70</v>
      </c>
    </row>
    <row r="50" spans="1:15" ht="30">
      <c r="A50" s="13"/>
      <c r="B50" s="13"/>
      <c r="C50" s="13"/>
      <c r="D50" s="13"/>
      <c r="M50" s="11" t="s">
        <v>75</v>
      </c>
      <c r="N50" s="6">
        <v>10</v>
      </c>
      <c r="O50" s="4" t="s">
        <v>70</v>
      </c>
    </row>
    <row r="51" spans="1:15">
      <c r="A51" s="13"/>
      <c r="B51" s="13"/>
      <c r="C51" s="13"/>
      <c r="D51" s="13"/>
      <c r="M51" s="31" t="s">
        <v>221</v>
      </c>
      <c r="N51" s="68"/>
      <c r="O51" s="4" t="s">
        <v>70</v>
      </c>
    </row>
    <row r="52" spans="1:15">
      <c r="A52" s="13"/>
      <c r="B52" s="13"/>
      <c r="C52" s="13"/>
      <c r="D52" s="13"/>
      <c r="M52" s="31" t="s">
        <v>644</v>
      </c>
      <c r="N52" s="6"/>
      <c r="O52" s="4" t="s">
        <v>70</v>
      </c>
    </row>
    <row r="53" spans="1:15">
      <c r="A53" s="13"/>
      <c r="B53" s="13"/>
      <c r="C53" s="13"/>
      <c r="D53" s="13"/>
      <c r="M53" s="31" t="s">
        <v>271</v>
      </c>
      <c r="N53" s="6"/>
      <c r="O53" s="4" t="s">
        <v>70</v>
      </c>
    </row>
    <row r="54" spans="1:15">
      <c r="A54" s="13"/>
      <c r="B54" s="13"/>
      <c r="C54" s="13"/>
      <c r="D54" s="13"/>
      <c r="M54" s="9" t="s">
        <v>35</v>
      </c>
      <c r="N54" s="6">
        <v>44</v>
      </c>
      <c r="O54" s="4" t="s">
        <v>70</v>
      </c>
    </row>
    <row r="55" spans="1:15">
      <c r="M55" s="35" t="s">
        <v>295</v>
      </c>
      <c r="N55" s="6"/>
      <c r="O55" s="4" t="s">
        <v>70</v>
      </c>
    </row>
    <row r="56" spans="1:15">
      <c r="M56" s="10" t="s">
        <v>65</v>
      </c>
      <c r="N56" s="6">
        <v>4</v>
      </c>
      <c r="O56" s="4" t="s">
        <v>70</v>
      </c>
    </row>
    <row r="57" spans="1:15">
      <c r="M57" s="10" t="s">
        <v>66</v>
      </c>
      <c r="N57" s="6">
        <v>3</v>
      </c>
      <c r="O57" s="4" t="s">
        <v>70</v>
      </c>
    </row>
    <row r="58" spans="1:15">
      <c r="M58" s="10" t="s">
        <v>67</v>
      </c>
      <c r="N58" s="6">
        <v>2</v>
      </c>
      <c r="O58" s="4" t="s">
        <v>70</v>
      </c>
    </row>
    <row r="59" spans="1:15">
      <c r="M59" s="11" t="s">
        <v>68</v>
      </c>
      <c r="N59" s="6">
        <v>1</v>
      </c>
      <c r="O59" s="4" t="s">
        <v>70</v>
      </c>
    </row>
    <row r="60" spans="1:15">
      <c r="M60" s="14" t="s">
        <v>214</v>
      </c>
      <c r="N60" s="4"/>
      <c r="O60" s="4" t="s">
        <v>70</v>
      </c>
    </row>
    <row r="61" spans="1:15">
      <c r="M61" s="14" t="s">
        <v>93</v>
      </c>
      <c r="O61" s="12" t="s">
        <v>95</v>
      </c>
    </row>
    <row r="62" spans="1:15">
      <c r="M62" s="14" t="s">
        <v>94</v>
      </c>
      <c r="O62" s="12" t="s">
        <v>95</v>
      </c>
    </row>
    <row r="63" spans="1:15">
      <c r="M63" s="14" t="s">
        <v>99</v>
      </c>
      <c r="O63" s="4" t="s">
        <v>81</v>
      </c>
    </row>
    <row r="64" spans="1:15">
      <c r="M64" s="14" t="s">
        <v>98</v>
      </c>
      <c r="O64" s="4" t="s">
        <v>81</v>
      </c>
    </row>
    <row r="65" spans="13:15">
      <c r="M65" s="14" t="s">
        <v>100</v>
      </c>
      <c r="O65" s="4" t="s">
        <v>81</v>
      </c>
    </row>
    <row r="66" spans="13:15">
      <c r="M66" s="14" t="s">
        <v>101</v>
      </c>
      <c r="O66" s="4" t="s">
        <v>80</v>
      </c>
    </row>
    <row r="67" spans="13:15">
      <c r="M67" s="14" t="s">
        <v>102</v>
      </c>
      <c r="O67" s="4" t="s">
        <v>80</v>
      </c>
    </row>
    <row r="68" spans="13:15">
      <c r="M68" s="12" t="s">
        <v>103</v>
      </c>
      <c r="O68" s="4" t="s">
        <v>80</v>
      </c>
    </row>
    <row r="69" spans="13:15">
      <c r="M69" s="38" t="s">
        <v>438</v>
      </c>
      <c r="O69" s="4" t="s">
        <v>107</v>
      </c>
    </row>
    <row r="70" spans="13:15">
      <c r="M70" s="38" t="s">
        <v>190</v>
      </c>
      <c r="O70" s="4" t="s">
        <v>107</v>
      </c>
    </row>
    <row r="71" spans="13:15">
      <c r="M71" s="38" t="s">
        <v>191</v>
      </c>
      <c r="O71" s="4" t="s">
        <v>107</v>
      </c>
    </row>
    <row r="72" spans="13:15">
      <c r="M72" s="63" t="s">
        <v>192</v>
      </c>
      <c r="O72" s="4" t="s">
        <v>107</v>
      </c>
    </row>
    <row r="73" spans="13:15" ht="30">
      <c r="M73" s="38" t="s">
        <v>718</v>
      </c>
      <c r="O73" s="4" t="s">
        <v>107</v>
      </c>
    </row>
    <row r="74" spans="13:15" ht="30">
      <c r="M74" s="38" t="s">
        <v>732</v>
      </c>
      <c r="O74" s="4" t="s">
        <v>107</v>
      </c>
    </row>
    <row r="75" spans="13:15">
      <c r="M75" s="38" t="s">
        <v>715</v>
      </c>
      <c r="O75" s="4" t="s">
        <v>107</v>
      </c>
    </row>
    <row r="76" spans="13:15">
      <c r="M76" s="38" t="s">
        <v>908</v>
      </c>
      <c r="O76" s="4" t="s">
        <v>107</v>
      </c>
    </row>
    <row r="77" spans="13:15">
      <c r="M77" s="38" t="s">
        <v>909</v>
      </c>
      <c r="O77" s="4" t="s">
        <v>107</v>
      </c>
    </row>
    <row r="78" spans="13:15">
      <c r="M78" s="32" t="s">
        <v>406</v>
      </c>
      <c r="O78" s="4" t="s">
        <v>107</v>
      </c>
    </row>
    <row r="79" spans="13:15">
      <c r="M79" s="13" t="s">
        <v>720</v>
      </c>
      <c r="O79" s="4" t="s">
        <v>107</v>
      </c>
    </row>
    <row r="80" spans="13:15">
      <c r="M80" s="65" t="s">
        <v>211</v>
      </c>
      <c r="O80" s="4" t="s">
        <v>106</v>
      </c>
    </row>
    <row r="81" spans="13:15">
      <c r="M81" s="12" t="s">
        <v>104</v>
      </c>
      <c r="O81" s="4" t="s">
        <v>182</v>
      </c>
    </row>
    <row r="82" spans="13:15">
      <c r="M82" s="12" t="s">
        <v>181</v>
      </c>
      <c r="O82" s="4" t="s">
        <v>106</v>
      </c>
    </row>
    <row r="83" spans="13:15">
      <c r="M83" s="12" t="s">
        <v>105</v>
      </c>
      <c r="O83" s="4" t="s">
        <v>106</v>
      </c>
    </row>
    <row r="84" spans="13:15">
      <c r="M84" s="14" t="s">
        <v>113</v>
      </c>
      <c r="O84" s="12" t="s">
        <v>114</v>
      </c>
    </row>
    <row r="85" spans="13:15">
      <c r="M85" s="14" t="s">
        <v>112</v>
      </c>
      <c r="O85" s="12" t="s">
        <v>114</v>
      </c>
    </row>
    <row r="86" spans="13:15">
      <c r="M86" s="14" t="s">
        <v>111</v>
      </c>
      <c r="O86" s="12" t="s">
        <v>114</v>
      </c>
    </row>
    <row r="87" spans="13:15">
      <c r="M87" s="14" t="s">
        <v>110</v>
      </c>
      <c r="O87" s="12" t="s">
        <v>114</v>
      </c>
    </row>
    <row r="88" spans="13:15">
      <c r="M88" s="14" t="s">
        <v>109</v>
      </c>
      <c r="O88" s="12" t="s">
        <v>114</v>
      </c>
    </row>
    <row r="89" spans="13:15">
      <c r="M89" s="12" t="s">
        <v>108</v>
      </c>
      <c r="O89" s="12" t="s">
        <v>114</v>
      </c>
    </row>
    <row r="90" spans="13:15">
      <c r="M90" s="38" t="s">
        <v>133</v>
      </c>
      <c r="O90" s="12" t="s">
        <v>114</v>
      </c>
    </row>
    <row r="91" spans="13:15">
      <c r="M91" s="14" t="s">
        <v>115</v>
      </c>
      <c r="O91" s="12" t="s">
        <v>119</v>
      </c>
    </row>
    <row r="92" spans="13:15">
      <c r="M92" s="14" t="s">
        <v>116</v>
      </c>
      <c r="O92" s="12" t="s">
        <v>80</v>
      </c>
    </row>
    <row r="93" spans="13:15">
      <c r="M93" s="14" t="s">
        <v>117</v>
      </c>
      <c r="O93" s="12" t="s">
        <v>120</v>
      </c>
    </row>
    <row r="94" spans="13:15">
      <c r="M94" s="14" t="s">
        <v>118</v>
      </c>
      <c r="O94" s="12" t="s">
        <v>120</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sheetPr codeName="Feuil11">
    <tabColor theme="9" tint="0.39997558519241921"/>
  </sheetPr>
  <dimension ref="A1:K662"/>
  <sheetViews>
    <sheetView zoomScaleNormal="100" workbookViewId="0">
      <pane xSplit="1" ySplit="1" topLeftCell="B89" activePane="bottomRight" state="frozenSplit"/>
      <selection pane="topRight" activeCell="B1" sqref="B1"/>
      <selection pane="bottomLeft" activeCell="A292" sqref="A292"/>
      <selection pane="bottomRight" activeCell="I660" sqref="I660"/>
    </sheetView>
  </sheetViews>
  <sheetFormatPr baseColWidth="10" defaultRowHeight="15"/>
  <cols>
    <col min="1" max="1" width="13.42578125" style="47" bestFit="1" customWidth="1"/>
    <col min="2" max="2" width="10.28515625" style="50" bestFit="1" customWidth="1"/>
    <col min="3" max="3" width="8.42578125" style="50" bestFit="1" customWidth="1"/>
    <col min="4" max="4" width="7.42578125" style="90" bestFit="1" customWidth="1"/>
    <col min="5" max="5" width="3.7109375" style="83" customWidth="1"/>
    <col min="6" max="6" width="9.42578125" style="47" bestFit="1" customWidth="1"/>
    <col min="7" max="7" width="12.42578125" style="47" bestFit="1" customWidth="1"/>
    <col min="8" max="8" width="12" style="47" bestFit="1" customWidth="1"/>
    <col min="9" max="9" width="194.28515625" style="56" customWidth="1"/>
  </cols>
  <sheetData>
    <row r="1" spans="1:9">
      <c r="A1" s="45" t="s">
        <v>137</v>
      </c>
      <c r="B1" s="45" t="s">
        <v>126</v>
      </c>
      <c r="C1" s="45" t="s">
        <v>0</v>
      </c>
      <c r="D1" s="80" t="s">
        <v>3</v>
      </c>
      <c r="E1" s="81" t="s">
        <v>198</v>
      </c>
      <c r="F1" s="45" t="s">
        <v>125</v>
      </c>
      <c r="G1" s="45" t="s">
        <v>151</v>
      </c>
      <c r="H1" s="45" t="s">
        <v>139</v>
      </c>
      <c r="I1" s="54" t="s">
        <v>136</v>
      </c>
    </row>
    <row r="2" spans="1:9" ht="15.75" thickBot="1">
      <c r="A2" s="47" t="s">
        <v>138</v>
      </c>
      <c r="B2" s="47" t="s">
        <v>121</v>
      </c>
      <c r="C2" s="47" t="s">
        <v>122</v>
      </c>
      <c r="D2" s="82">
        <v>43045</v>
      </c>
      <c r="F2" s="47" t="s">
        <v>121</v>
      </c>
      <c r="G2" s="47" t="s">
        <v>138</v>
      </c>
      <c r="H2" s="47" t="s">
        <v>140</v>
      </c>
      <c r="I2" s="55" t="s">
        <v>164</v>
      </c>
    </row>
    <row r="3" spans="1:9">
      <c r="A3" s="72" t="s">
        <v>141</v>
      </c>
      <c r="B3" s="71" t="s">
        <v>121</v>
      </c>
      <c r="C3" s="72" t="s">
        <v>122</v>
      </c>
      <c r="D3" s="84">
        <v>43052</v>
      </c>
      <c r="E3" s="85"/>
      <c r="F3" s="72" t="s">
        <v>121</v>
      </c>
      <c r="G3" s="72" t="s">
        <v>152</v>
      </c>
      <c r="H3" s="72" t="s">
        <v>142</v>
      </c>
      <c r="I3" s="73">
        <v>21</v>
      </c>
    </row>
    <row r="4" spans="1:9">
      <c r="A4" s="60" t="s">
        <v>143</v>
      </c>
      <c r="B4" s="74" t="s">
        <v>121</v>
      </c>
      <c r="C4" s="60" t="s">
        <v>122</v>
      </c>
      <c r="D4" s="86">
        <v>43052</v>
      </c>
      <c r="E4" s="87"/>
      <c r="F4" s="60" t="s">
        <v>121</v>
      </c>
      <c r="G4" s="60" t="s">
        <v>153</v>
      </c>
      <c r="H4" s="60" t="s">
        <v>142</v>
      </c>
      <c r="I4" s="75">
        <v>21</v>
      </c>
    </row>
    <row r="5" spans="1:9">
      <c r="A5" s="60" t="s">
        <v>144</v>
      </c>
      <c r="B5" s="74" t="s">
        <v>121</v>
      </c>
      <c r="C5" s="60" t="s">
        <v>122</v>
      </c>
      <c r="D5" s="86">
        <v>43052</v>
      </c>
      <c r="E5" s="87"/>
      <c r="F5" s="60" t="s">
        <v>121</v>
      </c>
      <c r="G5" s="60" t="s">
        <v>154</v>
      </c>
      <c r="H5" s="60" t="s">
        <v>142</v>
      </c>
      <c r="I5" s="75">
        <v>21</v>
      </c>
    </row>
    <row r="6" spans="1:9">
      <c r="A6" s="60" t="s">
        <v>145</v>
      </c>
      <c r="B6" s="74" t="s">
        <v>121</v>
      </c>
      <c r="C6" s="60" t="s">
        <v>122</v>
      </c>
      <c r="D6" s="86">
        <v>43052</v>
      </c>
      <c r="E6" s="87"/>
      <c r="F6" s="60" t="s">
        <v>121</v>
      </c>
      <c r="G6" s="60" t="s">
        <v>155</v>
      </c>
      <c r="H6" s="60" t="s">
        <v>142</v>
      </c>
      <c r="I6" s="75">
        <v>21</v>
      </c>
    </row>
    <row r="7" spans="1:9">
      <c r="A7" s="60" t="s">
        <v>146</v>
      </c>
      <c r="B7" s="74" t="s">
        <v>121</v>
      </c>
      <c r="C7" s="60" t="s">
        <v>122</v>
      </c>
      <c r="D7" s="86">
        <v>43052</v>
      </c>
      <c r="E7" s="87"/>
      <c r="F7" s="60" t="s">
        <v>121</v>
      </c>
      <c r="G7" s="60" t="s">
        <v>156</v>
      </c>
      <c r="H7" s="60" t="s">
        <v>142</v>
      </c>
      <c r="I7" s="75">
        <v>11</v>
      </c>
    </row>
    <row r="8" spans="1:9">
      <c r="A8" s="60" t="s">
        <v>147</v>
      </c>
      <c r="B8" s="74" t="s">
        <v>121</v>
      </c>
      <c r="C8" s="60" t="s">
        <v>122</v>
      </c>
      <c r="D8" s="86">
        <v>43052</v>
      </c>
      <c r="E8" s="87"/>
      <c r="F8" s="60" t="s">
        <v>121</v>
      </c>
      <c r="G8" s="60" t="s">
        <v>157</v>
      </c>
      <c r="H8" s="60" t="s">
        <v>142</v>
      </c>
      <c r="I8" s="75">
        <v>10</v>
      </c>
    </row>
    <row r="9" spans="1:9">
      <c r="A9" s="60" t="s">
        <v>148</v>
      </c>
      <c r="B9" s="74" t="s">
        <v>121</v>
      </c>
      <c r="C9" s="60" t="s">
        <v>122</v>
      </c>
      <c r="D9" s="86">
        <v>43052</v>
      </c>
      <c r="E9" s="87"/>
      <c r="F9" s="60" t="s">
        <v>121</v>
      </c>
      <c r="G9" s="60" t="s">
        <v>313</v>
      </c>
      <c r="H9" s="60" t="s">
        <v>142</v>
      </c>
      <c r="I9" s="75">
        <v>21</v>
      </c>
    </row>
    <row r="10" spans="1:9" ht="15.75" thickBot="1">
      <c r="A10" s="77" t="s">
        <v>149</v>
      </c>
      <c r="B10" s="76" t="s">
        <v>121</v>
      </c>
      <c r="C10" s="77" t="s">
        <v>122</v>
      </c>
      <c r="D10" s="88">
        <v>43052</v>
      </c>
      <c r="E10" s="89"/>
      <c r="F10" s="77" t="s">
        <v>121</v>
      </c>
      <c r="G10" s="77" t="s">
        <v>158</v>
      </c>
      <c r="H10" s="77" t="s">
        <v>142</v>
      </c>
      <c r="I10" s="78">
        <v>21</v>
      </c>
    </row>
    <row r="11" spans="1:9" ht="15.75" thickBot="1">
      <c r="A11" s="47" t="s">
        <v>165</v>
      </c>
      <c r="B11" s="47" t="s">
        <v>121</v>
      </c>
      <c r="C11" s="47" t="s">
        <v>122</v>
      </c>
      <c r="D11" s="90">
        <v>43054</v>
      </c>
      <c r="F11" s="47" t="s">
        <v>121</v>
      </c>
      <c r="G11" s="47" t="s">
        <v>314</v>
      </c>
      <c r="H11" s="47" t="s">
        <v>140</v>
      </c>
      <c r="I11" s="55" t="s">
        <v>166</v>
      </c>
    </row>
    <row r="12" spans="1:9">
      <c r="A12" s="72" t="s">
        <v>141</v>
      </c>
      <c r="B12" s="71" t="s">
        <v>121</v>
      </c>
      <c r="C12" s="72" t="s">
        <v>122</v>
      </c>
      <c r="D12" s="91">
        <v>43066</v>
      </c>
      <c r="E12" s="85"/>
      <c r="F12" s="72" t="s">
        <v>121</v>
      </c>
      <c r="G12" s="72" t="s">
        <v>152</v>
      </c>
      <c r="H12" s="72" t="s">
        <v>142</v>
      </c>
      <c r="I12" s="73">
        <v>23</v>
      </c>
    </row>
    <row r="13" spans="1:9">
      <c r="A13" s="60" t="s">
        <v>143</v>
      </c>
      <c r="B13" s="74" t="s">
        <v>121</v>
      </c>
      <c r="C13" s="60" t="s">
        <v>122</v>
      </c>
      <c r="D13" s="92">
        <v>43066</v>
      </c>
      <c r="E13" s="87"/>
      <c r="F13" s="60" t="s">
        <v>121</v>
      </c>
      <c r="G13" s="60" t="s">
        <v>153</v>
      </c>
      <c r="H13" s="60" t="s">
        <v>142</v>
      </c>
      <c r="I13" s="75">
        <v>23</v>
      </c>
    </row>
    <row r="14" spans="1:9">
      <c r="A14" s="60" t="s">
        <v>144</v>
      </c>
      <c r="B14" s="74" t="s">
        <v>121</v>
      </c>
      <c r="C14" s="60" t="s">
        <v>122</v>
      </c>
      <c r="D14" s="92">
        <v>43066</v>
      </c>
      <c r="E14" s="87"/>
      <c r="F14" s="60" t="s">
        <v>121</v>
      </c>
      <c r="G14" s="60" t="s">
        <v>154</v>
      </c>
      <c r="H14" s="60" t="s">
        <v>142</v>
      </c>
      <c r="I14" s="75">
        <v>23</v>
      </c>
    </row>
    <row r="15" spans="1:9">
      <c r="A15" s="60" t="s">
        <v>145</v>
      </c>
      <c r="B15" s="74" t="s">
        <v>121</v>
      </c>
      <c r="C15" s="60" t="s">
        <v>122</v>
      </c>
      <c r="D15" s="92">
        <v>43066</v>
      </c>
      <c r="E15" s="87"/>
      <c r="F15" s="60" t="s">
        <v>121</v>
      </c>
      <c r="G15" s="60" t="s">
        <v>155</v>
      </c>
      <c r="H15" s="60" t="s">
        <v>142</v>
      </c>
      <c r="I15" s="75">
        <v>23</v>
      </c>
    </row>
    <row r="16" spans="1:9">
      <c r="A16" s="60" t="s">
        <v>146</v>
      </c>
      <c r="B16" s="74" t="s">
        <v>121</v>
      </c>
      <c r="C16" s="60" t="s">
        <v>122</v>
      </c>
      <c r="D16" s="92">
        <v>43066</v>
      </c>
      <c r="E16" s="87"/>
      <c r="F16" s="60" t="s">
        <v>121</v>
      </c>
      <c r="G16" s="60" t="s">
        <v>156</v>
      </c>
      <c r="H16" s="60" t="s">
        <v>142</v>
      </c>
      <c r="I16" s="75">
        <v>12</v>
      </c>
    </row>
    <row r="17" spans="1:9">
      <c r="A17" s="60" t="s">
        <v>147</v>
      </c>
      <c r="B17" s="74" t="s">
        <v>121</v>
      </c>
      <c r="C17" s="60" t="s">
        <v>122</v>
      </c>
      <c r="D17" s="92">
        <v>43066</v>
      </c>
      <c r="E17" s="87"/>
      <c r="F17" s="60" t="s">
        <v>121</v>
      </c>
      <c r="G17" s="60" t="s">
        <v>157</v>
      </c>
      <c r="H17" s="60" t="s">
        <v>142</v>
      </c>
      <c r="I17" s="75">
        <v>11</v>
      </c>
    </row>
    <row r="18" spans="1:9">
      <c r="A18" s="60" t="s">
        <v>148</v>
      </c>
      <c r="B18" s="74" t="s">
        <v>121</v>
      </c>
      <c r="C18" s="60" t="s">
        <v>122</v>
      </c>
      <c r="D18" s="92">
        <v>43066</v>
      </c>
      <c r="E18" s="87"/>
      <c r="F18" s="60" t="s">
        <v>121</v>
      </c>
      <c r="G18" s="60" t="s">
        <v>313</v>
      </c>
      <c r="H18" s="60" t="s">
        <v>142</v>
      </c>
      <c r="I18" s="75">
        <v>23</v>
      </c>
    </row>
    <row r="19" spans="1:9" ht="15.75" thickBot="1">
      <c r="A19" s="77" t="s">
        <v>149</v>
      </c>
      <c r="B19" s="76" t="s">
        <v>121</v>
      </c>
      <c r="C19" s="77" t="s">
        <v>122</v>
      </c>
      <c r="D19" s="93">
        <v>43066</v>
      </c>
      <c r="E19" s="89"/>
      <c r="F19" s="77" t="s">
        <v>121</v>
      </c>
      <c r="G19" s="77" t="s">
        <v>158</v>
      </c>
      <c r="H19" s="77" t="s">
        <v>142</v>
      </c>
      <c r="I19" s="78">
        <v>23</v>
      </c>
    </row>
    <row r="20" spans="1:9">
      <c r="A20" s="72" t="s">
        <v>141</v>
      </c>
      <c r="B20" s="71" t="s">
        <v>121</v>
      </c>
      <c r="C20" s="72" t="s">
        <v>122</v>
      </c>
      <c r="D20" s="91">
        <v>43080</v>
      </c>
      <c r="E20" s="85"/>
      <c r="F20" s="72" t="s">
        <v>121</v>
      </c>
      <c r="G20" s="72" t="s">
        <v>152</v>
      </c>
      <c r="H20" s="72" t="s">
        <v>142</v>
      </c>
      <c r="I20" s="73">
        <v>24</v>
      </c>
    </row>
    <row r="21" spans="1:9">
      <c r="A21" s="60" t="s">
        <v>143</v>
      </c>
      <c r="B21" s="74" t="s">
        <v>121</v>
      </c>
      <c r="C21" s="60" t="s">
        <v>122</v>
      </c>
      <c r="D21" s="92">
        <v>43080</v>
      </c>
      <c r="E21" s="87"/>
      <c r="F21" s="60" t="s">
        <v>121</v>
      </c>
      <c r="G21" s="60" t="s">
        <v>153</v>
      </c>
      <c r="H21" s="60" t="s">
        <v>142</v>
      </c>
      <c r="I21" s="75">
        <v>24</v>
      </c>
    </row>
    <row r="22" spans="1:9">
      <c r="A22" s="60" t="s">
        <v>144</v>
      </c>
      <c r="B22" s="74" t="s">
        <v>121</v>
      </c>
      <c r="C22" s="60" t="s">
        <v>122</v>
      </c>
      <c r="D22" s="92">
        <v>43080</v>
      </c>
      <c r="E22" s="87"/>
      <c r="F22" s="60" t="s">
        <v>121</v>
      </c>
      <c r="G22" s="60" t="s">
        <v>154</v>
      </c>
      <c r="H22" s="60" t="s">
        <v>142</v>
      </c>
      <c r="I22" s="75">
        <v>24</v>
      </c>
    </row>
    <row r="23" spans="1:9">
      <c r="A23" s="60" t="s">
        <v>145</v>
      </c>
      <c r="B23" s="74" t="s">
        <v>121</v>
      </c>
      <c r="C23" s="60" t="s">
        <v>122</v>
      </c>
      <c r="D23" s="92">
        <v>43080</v>
      </c>
      <c r="E23" s="87"/>
      <c r="F23" s="60" t="s">
        <v>121</v>
      </c>
      <c r="G23" s="60" t="s">
        <v>155</v>
      </c>
      <c r="H23" s="60" t="s">
        <v>142</v>
      </c>
      <c r="I23" s="75">
        <v>24</v>
      </c>
    </row>
    <row r="24" spans="1:9">
      <c r="A24" s="60" t="s">
        <v>146</v>
      </c>
      <c r="B24" s="74" t="s">
        <v>121</v>
      </c>
      <c r="C24" s="60" t="s">
        <v>122</v>
      </c>
      <c r="D24" s="92">
        <v>43080</v>
      </c>
      <c r="E24" s="87"/>
      <c r="F24" s="60" t="s">
        <v>121</v>
      </c>
      <c r="G24" s="60" t="s">
        <v>156</v>
      </c>
      <c r="H24" s="60" t="s">
        <v>142</v>
      </c>
      <c r="I24" s="75">
        <v>13</v>
      </c>
    </row>
    <row r="25" spans="1:9">
      <c r="A25" s="60" t="s">
        <v>147</v>
      </c>
      <c r="B25" s="74" t="s">
        <v>121</v>
      </c>
      <c r="C25" s="60" t="s">
        <v>122</v>
      </c>
      <c r="D25" s="92">
        <v>43080</v>
      </c>
      <c r="E25" s="87"/>
      <c r="F25" s="60" t="s">
        <v>121</v>
      </c>
      <c r="G25" s="60" t="s">
        <v>157</v>
      </c>
      <c r="H25" s="60" t="s">
        <v>142</v>
      </c>
      <c r="I25" s="75">
        <v>12</v>
      </c>
    </row>
    <row r="26" spans="1:9">
      <c r="A26" s="60" t="s">
        <v>148</v>
      </c>
      <c r="B26" s="74" t="s">
        <v>121</v>
      </c>
      <c r="C26" s="60" t="s">
        <v>122</v>
      </c>
      <c r="D26" s="92">
        <v>43080</v>
      </c>
      <c r="E26" s="87"/>
      <c r="F26" s="60" t="s">
        <v>121</v>
      </c>
      <c r="G26" s="60" t="s">
        <v>313</v>
      </c>
      <c r="H26" s="60" t="s">
        <v>142</v>
      </c>
      <c r="I26" s="75">
        <v>24</v>
      </c>
    </row>
    <row r="27" spans="1:9" ht="15.75" thickBot="1">
      <c r="A27" s="77" t="s">
        <v>149</v>
      </c>
      <c r="B27" s="76" t="s">
        <v>121</v>
      </c>
      <c r="C27" s="77" t="s">
        <v>122</v>
      </c>
      <c r="D27" s="93">
        <v>43080</v>
      </c>
      <c r="E27" s="89"/>
      <c r="F27" s="77" t="s">
        <v>121</v>
      </c>
      <c r="G27" s="77" t="s">
        <v>158</v>
      </c>
      <c r="H27" s="77" t="s">
        <v>142</v>
      </c>
      <c r="I27" s="78">
        <v>24</v>
      </c>
    </row>
    <row r="28" spans="1:9">
      <c r="A28" s="72" t="s">
        <v>141</v>
      </c>
      <c r="B28" s="71" t="s">
        <v>121</v>
      </c>
      <c r="C28" s="72" t="s">
        <v>122</v>
      </c>
      <c r="D28" s="91">
        <v>43091</v>
      </c>
      <c r="E28" s="85"/>
      <c r="F28" s="72" t="s">
        <v>121</v>
      </c>
      <c r="G28" s="72" t="s">
        <v>152</v>
      </c>
      <c r="H28" s="72" t="s">
        <v>142</v>
      </c>
      <c r="I28" s="73">
        <v>26</v>
      </c>
    </row>
    <row r="29" spans="1:9">
      <c r="A29" s="60" t="s">
        <v>143</v>
      </c>
      <c r="B29" s="74" t="s">
        <v>121</v>
      </c>
      <c r="C29" s="60" t="s">
        <v>122</v>
      </c>
      <c r="D29" s="92">
        <v>43091</v>
      </c>
      <c r="E29" s="87"/>
      <c r="F29" s="60" t="s">
        <v>121</v>
      </c>
      <c r="G29" s="60" t="s">
        <v>153</v>
      </c>
      <c r="H29" s="60" t="s">
        <v>142</v>
      </c>
      <c r="I29" s="75">
        <v>26</v>
      </c>
    </row>
    <row r="30" spans="1:9">
      <c r="A30" s="60" t="s">
        <v>144</v>
      </c>
      <c r="B30" s="74" t="s">
        <v>121</v>
      </c>
      <c r="C30" s="60" t="s">
        <v>122</v>
      </c>
      <c r="D30" s="92">
        <v>43091</v>
      </c>
      <c r="E30" s="87"/>
      <c r="F30" s="60" t="s">
        <v>121</v>
      </c>
      <c r="G30" s="60" t="s">
        <v>154</v>
      </c>
      <c r="H30" s="60" t="s">
        <v>142</v>
      </c>
      <c r="I30" s="75">
        <v>26</v>
      </c>
    </row>
    <row r="31" spans="1:9">
      <c r="A31" s="60" t="s">
        <v>145</v>
      </c>
      <c r="B31" s="74" t="s">
        <v>121</v>
      </c>
      <c r="C31" s="60" t="s">
        <v>122</v>
      </c>
      <c r="D31" s="92">
        <v>43091</v>
      </c>
      <c r="E31" s="87"/>
      <c r="F31" s="60" t="s">
        <v>121</v>
      </c>
      <c r="G31" s="60" t="s">
        <v>155</v>
      </c>
      <c r="H31" s="60" t="s">
        <v>142</v>
      </c>
      <c r="I31" s="75">
        <v>26</v>
      </c>
    </row>
    <row r="32" spans="1:9">
      <c r="A32" s="60" t="s">
        <v>146</v>
      </c>
      <c r="B32" s="74" t="s">
        <v>121</v>
      </c>
      <c r="C32" s="60" t="s">
        <v>122</v>
      </c>
      <c r="D32" s="92">
        <v>43091</v>
      </c>
      <c r="E32" s="87"/>
      <c r="F32" s="60" t="s">
        <v>121</v>
      </c>
      <c r="G32" s="60" t="s">
        <v>156</v>
      </c>
      <c r="H32" s="60" t="s">
        <v>142</v>
      </c>
      <c r="I32" s="75">
        <v>21</v>
      </c>
    </row>
    <row r="33" spans="1:9">
      <c r="A33" s="60" t="s">
        <v>147</v>
      </c>
      <c r="B33" s="74" t="s">
        <v>121</v>
      </c>
      <c r="C33" s="60" t="s">
        <v>122</v>
      </c>
      <c r="D33" s="92">
        <v>43091</v>
      </c>
      <c r="E33" s="87"/>
      <c r="F33" s="60" t="s">
        <v>121</v>
      </c>
      <c r="G33" s="60" t="s">
        <v>157</v>
      </c>
      <c r="H33" s="60" t="s">
        <v>142</v>
      </c>
      <c r="I33" s="75">
        <v>12</v>
      </c>
    </row>
    <row r="34" spans="1:9">
      <c r="A34" s="60" t="s">
        <v>148</v>
      </c>
      <c r="B34" s="74" t="s">
        <v>121</v>
      </c>
      <c r="C34" s="60" t="s">
        <v>122</v>
      </c>
      <c r="D34" s="92">
        <v>43091</v>
      </c>
      <c r="E34" s="87"/>
      <c r="F34" s="60" t="s">
        <v>121</v>
      </c>
      <c r="G34" s="60" t="s">
        <v>313</v>
      </c>
      <c r="H34" s="60" t="s">
        <v>142</v>
      </c>
      <c r="I34" s="75">
        <v>26</v>
      </c>
    </row>
    <row r="35" spans="1:9" ht="15.75" thickBot="1">
      <c r="A35" s="77" t="s">
        <v>149</v>
      </c>
      <c r="B35" s="76" t="s">
        <v>121</v>
      </c>
      <c r="C35" s="77" t="s">
        <v>122</v>
      </c>
      <c r="D35" s="93">
        <v>43091</v>
      </c>
      <c r="E35" s="89"/>
      <c r="F35" s="77" t="s">
        <v>121</v>
      </c>
      <c r="G35" s="77" t="s">
        <v>158</v>
      </c>
      <c r="H35" s="77" t="s">
        <v>142</v>
      </c>
      <c r="I35" s="78">
        <v>26</v>
      </c>
    </row>
    <row r="36" spans="1:9" ht="15.75" thickBot="1">
      <c r="A36" s="47" t="s">
        <v>147</v>
      </c>
      <c r="B36" s="47" t="s">
        <v>121</v>
      </c>
      <c r="C36" s="47" t="s">
        <v>122</v>
      </c>
      <c r="D36" s="90">
        <v>43091</v>
      </c>
      <c r="F36" s="47" t="s">
        <v>121</v>
      </c>
      <c r="G36" s="47" t="s">
        <v>157</v>
      </c>
      <c r="H36" s="47" t="s">
        <v>140</v>
      </c>
      <c r="I36" s="55" t="s">
        <v>167</v>
      </c>
    </row>
    <row r="37" spans="1:9">
      <c r="A37" s="72" t="s">
        <v>141</v>
      </c>
      <c r="B37" s="71" t="s">
        <v>121</v>
      </c>
      <c r="C37" s="72" t="s">
        <v>122</v>
      </c>
      <c r="D37" s="91">
        <v>43103</v>
      </c>
      <c r="E37" s="85">
        <v>1</v>
      </c>
      <c r="F37" s="72" t="s">
        <v>121</v>
      </c>
      <c r="G37" s="72" t="s">
        <v>152</v>
      </c>
      <c r="H37" s="72" t="s">
        <v>142</v>
      </c>
      <c r="I37" s="73">
        <v>29</v>
      </c>
    </row>
    <row r="38" spans="1:9">
      <c r="A38" s="60" t="s">
        <v>143</v>
      </c>
      <c r="B38" s="74" t="s">
        <v>121</v>
      </c>
      <c r="C38" s="60" t="s">
        <v>122</v>
      </c>
      <c r="D38" s="92">
        <v>43103</v>
      </c>
      <c r="E38" s="87">
        <v>1</v>
      </c>
      <c r="F38" s="60" t="s">
        <v>121</v>
      </c>
      <c r="G38" s="60" t="s">
        <v>153</v>
      </c>
      <c r="H38" s="60" t="s">
        <v>142</v>
      </c>
      <c r="I38" s="75">
        <v>29</v>
      </c>
    </row>
    <row r="39" spans="1:9">
      <c r="A39" s="60" t="s">
        <v>144</v>
      </c>
      <c r="B39" s="74" t="s">
        <v>121</v>
      </c>
      <c r="C39" s="60" t="s">
        <v>122</v>
      </c>
      <c r="D39" s="92">
        <v>43103</v>
      </c>
      <c r="E39" s="87">
        <v>1</v>
      </c>
      <c r="F39" s="60" t="s">
        <v>121</v>
      </c>
      <c r="G39" s="60" t="s">
        <v>154</v>
      </c>
      <c r="H39" s="60" t="s">
        <v>142</v>
      </c>
      <c r="I39" s="75">
        <v>28</v>
      </c>
    </row>
    <row r="40" spans="1:9">
      <c r="A40" s="60" t="s">
        <v>145</v>
      </c>
      <c r="B40" s="74" t="s">
        <v>121</v>
      </c>
      <c r="C40" s="60" t="s">
        <v>122</v>
      </c>
      <c r="D40" s="92">
        <v>43103</v>
      </c>
      <c r="E40" s="87">
        <v>1</v>
      </c>
      <c r="F40" s="60" t="s">
        <v>121</v>
      </c>
      <c r="G40" s="60" t="s">
        <v>155</v>
      </c>
      <c r="H40" s="60" t="s">
        <v>142</v>
      </c>
      <c r="I40" s="75">
        <v>28</v>
      </c>
    </row>
    <row r="41" spans="1:9">
      <c r="A41" s="60" t="s">
        <v>146</v>
      </c>
      <c r="B41" s="74" t="s">
        <v>121</v>
      </c>
      <c r="C41" s="60" t="s">
        <v>122</v>
      </c>
      <c r="D41" s="92">
        <v>43103</v>
      </c>
      <c r="E41" s="87">
        <v>1</v>
      </c>
      <c r="F41" s="60" t="s">
        <v>121</v>
      </c>
      <c r="G41" s="60" t="s">
        <v>156</v>
      </c>
      <c r="H41" s="60" t="s">
        <v>142</v>
      </c>
      <c r="I41" s="75">
        <v>22</v>
      </c>
    </row>
    <row r="42" spans="1:9">
      <c r="A42" s="60" t="s">
        <v>147</v>
      </c>
      <c r="B42" s="74" t="s">
        <v>121</v>
      </c>
      <c r="C42" s="60" t="s">
        <v>122</v>
      </c>
      <c r="D42" s="92">
        <v>43103</v>
      </c>
      <c r="E42" s="87">
        <v>1</v>
      </c>
      <c r="F42" s="60" t="s">
        <v>121</v>
      </c>
      <c r="G42" s="60" t="s">
        <v>157</v>
      </c>
      <c r="H42" s="60" t="s">
        <v>142</v>
      </c>
      <c r="I42" s="75">
        <v>21</v>
      </c>
    </row>
    <row r="43" spans="1:9">
      <c r="A43" s="60" t="s">
        <v>148</v>
      </c>
      <c r="B43" s="74" t="s">
        <v>121</v>
      </c>
      <c r="C43" s="60" t="s">
        <v>122</v>
      </c>
      <c r="D43" s="92">
        <v>43103</v>
      </c>
      <c r="E43" s="87">
        <v>1</v>
      </c>
      <c r="F43" s="60" t="s">
        <v>121</v>
      </c>
      <c r="G43" s="60" t="s">
        <v>313</v>
      </c>
      <c r="H43" s="60" t="s">
        <v>142</v>
      </c>
      <c r="I43" s="75">
        <v>28</v>
      </c>
    </row>
    <row r="44" spans="1:9" ht="15.75" thickBot="1">
      <c r="A44" s="77" t="s">
        <v>149</v>
      </c>
      <c r="B44" s="76" t="s">
        <v>121</v>
      </c>
      <c r="C44" s="77" t="s">
        <v>122</v>
      </c>
      <c r="D44" s="93">
        <v>43103</v>
      </c>
      <c r="E44" s="89">
        <v>1</v>
      </c>
      <c r="F44" s="77" t="s">
        <v>121</v>
      </c>
      <c r="G44" s="77" t="s">
        <v>158</v>
      </c>
      <c r="H44" s="77" t="s">
        <v>142</v>
      </c>
      <c r="I44" s="78">
        <v>28</v>
      </c>
    </row>
    <row r="45" spans="1:9">
      <c r="A45" s="47" t="s">
        <v>147</v>
      </c>
      <c r="B45" s="47" t="s">
        <v>121</v>
      </c>
      <c r="C45" s="47" t="s">
        <v>122</v>
      </c>
      <c r="D45" s="90">
        <v>43103</v>
      </c>
      <c r="E45" s="83">
        <v>1</v>
      </c>
      <c r="F45" s="47" t="s">
        <v>121</v>
      </c>
      <c r="G45" s="47" t="s">
        <v>157</v>
      </c>
      <c r="H45" s="47" t="s">
        <v>140</v>
      </c>
      <c r="I45" s="55" t="s">
        <v>168</v>
      </c>
    </row>
    <row r="46" spans="1:9" ht="15.75" thickBot="1">
      <c r="A46" s="47" t="s">
        <v>147</v>
      </c>
      <c r="B46" s="47" t="s">
        <v>121</v>
      </c>
      <c r="C46" s="50" t="s">
        <v>122</v>
      </c>
      <c r="D46" s="90">
        <v>43109</v>
      </c>
      <c r="E46" s="83">
        <v>2</v>
      </c>
      <c r="F46" s="47" t="s">
        <v>121</v>
      </c>
      <c r="G46" s="47" t="s">
        <v>157</v>
      </c>
      <c r="H46" s="47" t="s">
        <v>140</v>
      </c>
      <c r="I46" s="55" t="s">
        <v>169</v>
      </c>
    </row>
    <row r="47" spans="1:9">
      <c r="A47" s="72" t="s">
        <v>141</v>
      </c>
      <c r="B47" s="71" t="s">
        <v>121</v>
      </c>
      <c r="C47" s="72" t="s">
        <v>122</v>
      </c>
      <c r="D47" s="91">
        <v>43119</v>
      </c>
      <c r="E47" s="85">
        <v>3</v>
      </c>
      <c r="F47" s="72" t="s">
        <v>121</v>
      </c>
      <c r="G47" s="72" t="s">
        <v>152</v>
      </c>
      <c r="H47" s="72" t="s">
        <v>142</v>
      </c>
      <c r="I47" s="73">
        <v>29</v>
      </c>
    </row>
    <row r="48" spans="1:9">
      <c r="A48" s="60" t="s">
        <v>143</v>
      </c>
      <c r="B48" s="74" t="s">
        <v>121</v>
      </c>
      <c r="C48" s="60" t="s">
        <v>122</v>
      </c>
      <c r="D48" s="92">
        <v>43119</v>
      </c>
      <c r="E48" s="87">
        <v>3</v>
      </c>
      <c r="F48" s="60" t="s">
        <v>121</v>
      </c>
      <c r="G48" s="60" t="s">
        <v>153</v>
      </c>
      <c r="H48" s="60" t="s">
        <v>142</v>
      </c>
      <c r="I48" s="75">
        <v>29</v>
      </c>
    </row>
    <row r="49" spans="1:9">
      <c r="A49" s="60" t="s">
        <v>144</v>
      </c>
      <c r="B49" s="74" t="s">
        <v>121</v>
      </c>
      <c r="C49" s="60" t="s">
        <v>122</v>
      </c>
      <c r="D49" s="92">
        <v>43119</v>
      </c>
      <c r="E49" s="87">
        <v>3</v>
      </c>
      <c r="F49" s="60" t="s">
        <v>121</v>
      </c>
      <c r="G49" s="60" t="s">
        <v>154</v>
      </c>
      <c r="H49" s="60" t="s">
        <v>142</v>
      </c>
      <c r="I49" s="75">
        <v>28</v>
      </c>
    </row>
    <row r="50" spans="1:9">
      <c r="A50" s="60" t="s">
        <v>145</v>
      </c>
      <c r="B50" s="74" t="s">
        <v>121</v>
      </c>
      <c r="C50" s="60" t="s">
        <v>122</v>
      </c>
      <c r="D50" s="92">
        <v>43119</v>
      </c>
      <c r="E50" s="87">
        <v>3</v>
      </c>
      <c r="F50" s="60" t="s">
        <v>121</v>
      </c>
      <c r="G50" s="60" t="s">
        <v>155</v>
      </c>
      <c r="H50" s="60" t="s">
        <v>142</v>
      </c>
      <c r="I50" s="75">
        <v>28</v>
      </c>
    </row>
    <row r="51" spans="1:9">
      <c r="A51" s="60" t="s">
        <v>146</v>
      </c>
      <c r="B51" s="74" t="s">
        <v>121</v>
      </c>
      <c r="C51" s="60" t="s">
        <v>122</v>
      </c>
      <c r="D51" s="92">
        <v>43119</v>
      </c>
      <c r="E51" s="87">
        <v>3</v>
      </c>
      <c r="F51" s="60" t="s">
        <v>121</v>
      </c>
      <c r="G51" s="60" t="s">
        <v>156</v>
      </c>
      <c r="H51" s="60" t="s">
        <v>142</v>
      </c>
      <c r="I51" s="75">
        <v>22</v>
      </c>
    </row>
    <row r="52" spans="1:9">
      <c r="A52" s="60" t="s">
        <v>147</v>
      </c>
      <c r="B52" s="74" t="s">
        <v>121</v>
      </c>
      <c r="C52" s="60" t="s">
        <v>122</v>
      </c>
      <c r="D52" s="92">
        <v>43119</v>
      </c>
      <c r="E52" s="87">
        <v>3</v>
      </c>
      <c r="F52" s="60" t="s">
        <v>121</v>
      </c>
      <c r="G52" s="60" t="s">
        <v>157</v>
      </c>
      <c r="H52" s="60" t="s">
        <v>142</v>
      </c>
      <c r="I52" s="75">
        <v>22</v>
      </c>
    </row>
    <row r="53" spans="1:9">
      <c r="A53" s="60" t="s">
        <v>148</v>
      </c>
      <c r="B53" s="74" t="s">
        <v>121</v>
      </c>
      <c r="C53" s="60" t="s">
        <v>122</v>
      </c>
      <c r="D53" s="92">
        <v>43119</v>
      </c>
      <c r="E53" s="87">
        <v>3</v>
      </c>
      <c r="F53" s="60" t="s">
        <v>121</v>
      </c>
      <c r="G53" s="60" t="s">
        <v>313</v>
      </c>
      <c r="H53" s="60" t="s">
        <v>142</v>
      </c>
      <c r="I53" s="75">
        <v>28</v>
      </c>
    </row>
    <row r="54" spans="1:9" ht="15.75" thickBot="1">
      <c r="A54" s="77" t="s">
        <v>149</v>
      </c>
      <c r="B54" s="76" t="s">
        <v>121</v>
      </c>
      <c r="C54" s="77" t="s">
        <v>122</v>
      </c>
      <c r="D54" s="93">
        <v>43119</v>
      </c>
      <c r="E54" s="89">
        <v>3</v>
      </c>
      <c r="F54" s="77" t="s">
        <v>121</v>
      </c>
      <c r="G54" s="77" t="s">
        <v>158</v>
      </c>
      <c r="H54" s="77" t="s">
        <v>142</v>
      </c>
      <c r="I54" s="78">
        <v>28</v>
      </c>
    </row>
    <row r="55" spans="1:9" ht="15.75" thickBot="1">
      <c r="A55" s="47" t="s">
        <v>147</v>
      </c>
      <c r="B55" s="47" t="s">
        <v>121</v>
      </c>
      <c r="C55" s="50" t="s">
        <v>122</v>
      </c>
      <c r="D55" s="90">
        <v>43119</v>
      </c>
      <c r="E55" s="83">
        <v>3</v>
      </c>
      <c r="F55" s="47" t="s">
        <v>121</v>
      </c>
      <c r="G55" s="47" t="s">
        <v>157</v>
      </c>
      <c r="H55" s="47" t="s">
        <v>140</v>
      </c>
      <c r="I55" s="55" t="s">
        <v>170</v>
      </c>
    </row>
    <row r="56" spans="1:9">
      <c r="A56" s="72" t="s">
        <v>141</v>
      </c>
      <c r="B56" s="71" t="s">
        <v>121</v>
      </c>
      <c r="C56" s="72" t="s">
        <v>122</v>
      </c>
      <c r="D56" s="91">
        <v>43129</v>
      </c>
      <c r="E56" s="85">
        <v>5</v>
      </c>
      <c r="F56" s="72" t="s">
        <v>121</v>
      </c>
      <c r="G56" s="72" t="s">
        <v>152</v>
      </c>
      <c r="H56" s="72" t="s">
        <v>142</v>
      </c>
      <c r="I56" s="73">
        <v>29</v>
      </c>
    </row>
    <row r="57" spans="1:9">
      <c r="A57" s="60" t="s">
        <v>143</v>
      </c>
      <c r="B57" s="74" t="s">
        <v>121</v>
      </c>
      <c r="C57" s="60" t="s">
        <v>122</v>
      </c>
      <c r="D57" s="92">
        <v>43129</v>
      </c>
      <c r="E57" s="87">
        <v>5</v>
      </c>
      <c r="F57" s="60" t="s">
        <v>121</v>
      </c>
      <c r="G57" s="60" t="s">
        <v>153</v>
      </c>
      <c r="H57" s="60" t="s">
        <v>142</v>
      </c>
      <c r="I57" s="75">
        <v>29</v>
      </c>
    </row>
    <row r="58" spans="1:9">
      <c r="A58" s="60" t="s">
        <v>144</v>
      </c>
      <c r="B58" s="74" t="s">
        <v>121</v>
      </c>
      <c r="C58" s="60" t="s">
        <v>122</v>
      </c>
      <c r="D58" s="92">
        <v>43129</v>
      </c>
      <c r="E58" s="87">
        <v>5</v>
      </c>
      <c r="F58" s="60" t="s">
        <v>121</v>
      </c>
      <c r="G58" s="60" t="s">
        <v>154</v>
      </c>
      <c r="H58" s="60" t="s">
        <v>142</v>
      </c>
      <c r="I58" s="75">
        <v>28</v>
      </c>
    </row>
    <row r="59" spans="1:9">
      <c r="A59" s="60" t="s">
        <v>145</v>
      </c>
      <c r="B59" s="74" t="s">
        <v>121</v>
      </c>
      <c r="C59" s="60" t="s">
        <v>122</v>
      </c>
      <c r="D59" s="92">
        <v>43129</v>
      </c>
      <c r="E59" s="87">
        <v>5</v>
      </c>
      <c r="F59" s="60" t="s">
        <v>121</v>
      </c>
      <c r="G59" s="60" t="s">
        <v>155</v>
      </c>
      <c r="H59" s="60" t="s">
        <v>142</v>
      </c>
      <c r="I59" s="75">
        <v>28</v>
      </c>
    </row>
    <row r="60" spans="1:9">
      <c r="A60" s="60" t="s">
        <v>146</v>
      </c>
      <c r="B60" s="74" t="s">
        <v>121</v>
      </c>
      <c r="C60" s="60" t="s">
        <v>122</v>
      </c>
      <c r="D60" s="92">
        <v>43129</v>
      </c>
      <c r="E60" s="87">
        <v>5</v>
      </c>
      <c r="F60" s="60" t="s">
        <v>121</v>
      </c>
      <c r="G60" s="60" t="s">
        <v>156</v>
      </c>
      <c r="H60" s="60" t="s">
        <v>142</v>
      </c>
      <c r="I60" s="75">
        <v>23</v>
      </c>
    </row>
    <row r="61" spans="1:9">
      <c r="A61" s="60" t="s">
        <v>147</v>
      </c>
      <c r="B61" s="74" t="s">
        <v>121</v>
      </c>
      <c r="C61" s="60" t="s">
        <v>122</v>
      </c>
      <c r="D61" s="92">
        <v>43129</v>
      </c>
      <c r="E61" s="87">
        <v>5</v>
      </c>
      <c r="F61" s="60" t="s">
        <v>121</v>
      </c>
      <c r="G61" s="60" t="s">
        <v>157</v>
      </c>
      <c r="H61" s="60" t="s">
        <v>142</v>
      </c>
      <c r="I61" s="75">
        <v>22</v>
      </c>
    </row>
    <row r="62" spans="1:9">
      <c r="A62" s="60" t="s">
        <v>148</v>
      </c>
      <c r="B62" s="74" t="s">
        <v>121</v>
      </c>
      <c r="C62" s="60" t="s">
        <v>122</v>
      </c>
      <c r="D62" s="92">
        <v>43129</v>
      </c>
      <c r="E62" s="87">
        <v>5</v>
      </c>
      <c r="F62" s="60" t="s">
        <v>121</v>
      </c>
      <c r="G62" s="60" t="s">
        <v>313</v>
      </c>
      <c r="H62" s="60" t="s">
        <v>142</v>
      </c>
      <c r="I62" s="75" t="s">
        <v>171</v>
      </c>
    </row>
    <row r="63" spans="1:9" ht="15.75" thickBot="1">
      <c r="A63" s="77" t="s">
        <v>149</v>
      </c>
      <c r="B63" s="76" t="s">
        <v>121</v>
      </c>
      <c r="C63" s="77" t="s">
        <v>122</v>
      </c>
      <c r="D63" s="93">
        <v>43129</v>
      </c>
      <c r="E63" s="89">
        <v>5</v>
      </c>
      <c r="F63" s="77" t="s">
        <v>121</v>
      </c>
      <c r="G63" s="77" t="s">
        <v>158</v>
      </c>
      <c r="H63" s="77" t="s">
        <v>142</v>
      </c>
      <c r="I63" s="78" t="s">
        <v>171</v>
      </c>
    </row>
    <row r="64" spans="1:9">
      <c r="A64" s="47" t="s">
        <v>141</v>
      </c>
      <c r="B64" s="47" t="s">
        <v>121</v>
      </c>
      <c r="C64" s="47" t="s">
        <v>122</v>
      </c>
      <c r="D64" s="90">
        <v>43133</v>
      </c>
      <c r="E64" s="83">
        <v>5</v>
      </c>
      <c r="F64" s="47" t="s">
        <v>121</v>
      </c>
      <c r="G64" s="47" t="s">
        <v>152</v>
      </c>
      <c r="H64" s="47" t="s">
        <v>172</v>
      </c>
      <c r="I64" s="55" t="s">
        <v>173</v>
      </c>
    </row>
    <row r="65" spans="1:9">
      <c r="A65" s="47" t="s">
        <v>146</v>
      </c>
      <c r="B65" s="47" t="s">
        <v>121</v>
      </c>
      <c r="C65" s="47" t="s">
        <v>122</v>
      </c>
      <c r="D65" s="90">
        <v>43150</v>
      </c>
      <c r="E65" s="83">
        <v>8</v>
      </c>
      <c r="F65" s="47" t="s">
        <v>121</v>
      </c>
      <c r="G65" s="47" t="s">
        <v>156</v>
      </c>
      <c r="H65" s="47" t="s">
        <v>140</v>
      </c>
      <c r="I65" s="55" t="s">
        <v>174</v>
      </c>
    </row>
    <row r="66" spans="1:9" ht="15.75" thickBot="1">
      <c r="A66" s="47" t="s">
        <v>149</v>
      </c>
      <c r="B66" s="47" t="s">
        <v>121</v>
      </c>
      <c r="C66" s="47" t="s">
        <v>122</v>
      </c>
      <c r="D66" s="90">
        <v>43150</v>
      </c>
      <c r="E66" s="83">
        <v>8</v>
      </c>
      <c r="F66" s="47" t="s">
        <v>121</v>
      </c>
      <c r="G66" s="47" t="s">
        <v>158</v>
      </c>
      <c r="H66" s="47" t="s">
        <v>140</v>
      </c>
      <c r="I66" s="55" t="s">
        <v>175</v>
      </c>
    </row>
    <row r="67" spans="1:9">
      <c r="A67" s="72" t="s">
        <v>141</v>
      </c>
      <c r="B67" s="71" t="s">
        <v>121</v>
      </c>
      <c r="C67" s="72" t="s">
        <v>122</v>
      </c>
      <c r="D67" s="91">
        <v>43152</v>
      </c>
      <c r="E67" s="85">
        <v>8</v>
      </c>
      <c r="F67" s="72" t="s">
        <v>121</v>
      </c>
      <c r="G67" s="72" t="s">
        <v>152</v>
      </c>
      <c r="H67" s="72" t="s">
        <v>142</v>
      </c>
      <c r="I67" s="73" t="s">
        <v>176</v>
      </c>
    </row>
    <row r="68" spans="1:9">
      <c r="A68" s="60" t="s">
        <v>143</v>
      </c>
      <c r="B68" s="74" t="s">
        <v>121</v>
      </c>
      <c r="C68" s="60" t="s">
        <v>122</v>
      </c>
      <c r="D68" s="92">
        <v>43152</v>
      </c>
      <c r="E68" s="87">
        <v>8</v>
      </c>
      <c r="F68" s="60" t="s">
        <v>121</v>
      </c>
      <c r="G68" s="60" t="s">
        <v>153</v>
      </c>
      <c r="H68" s="60" t="s">
        <v>142</v>
      </c>
      <c r="I68" s="75" t="s">
        <v>176</v>
      </c>
    </row>
    <row r="69" spans="1:9">
      <c r="A69" s="60" t="s">
        <v>144</v>
      </c>
      <c r="B69" s="74" t="s">
        <v>121</v>
      </c>
      <c r="C69" s="60" t="s">
        <v>122</v>
      </c>
      <c r="D69" s="92">
        <v>43152</v>
      </c>
      <c r="E69" s="87">
        <v>8</v>
      </c>
      <c r="F69" s="60" t="s">
        <v>121</v>
      </c>
      <c r="G69" s="60" t="s">
        <v>154</v>
      </c>
      <c r="H69" s="60" t="s">
        <v>142</v>
      </c>
      <c r="I69" s="75" t="s">
        <v>176</v>
      </c>
    </row>
    <row r="70" spans="1:9">
      <c r="A70" s="60" t="s">
        <v>145</v>
      </c>
      <c r="B70" s="74" t="s">
        <v>121</v>
      </c>
      <c r="C70" s="60" t="s">
        <v>122</v>
      </c>
      <c r="D70" s="92">
        <v>43152</v>
      </c>
      <c r="E70" s="87">
        <v>8</v>
      </c>
      <c r="F70" s="60" t="s">
        <v>121</v>
      </c>
      <c r="G70" s="60" t="s">
        <v>155</v>
      </c>
      <c r="H70" s="60" t="s">
        <v>142</v>
      </c>
      <c r="I70" s="75" t="s">
        <v>176</v>
      </c>
    </row>
    <row r="71" spans="1:9">
      <c r="A71" s="60" t="s">
        <v>146</v>
      </c>
      <c r="B71" s="74" t="s">
        <v>121</v>
      </c>
      <c r="C71" s="60" t="s">
        <v>122</v>
      </c>
      <c r="D71" s="92">
        <v>43152</v>
      </c>
      <c r="E71" s="87">
        <v>8</v>
      </c>
      <c r="F71" s="60" t="s">
        <v>121</v>
      </c>
      <c r="G71" s="60" t="s">
        <v>156</v>
      </c>
      <c r="H71" s="60" t="s">
        <v>142</v>
      </c>
      <c r="I71" s="75">
        <v>24</v>
      </c>
    </row>
    <row r="72" spans="1:9">
      <c r="A72" s="60" t="s">
        <v>147</v>
      </c>
      <c r="B72" s="74" t="s">
        <v>121</v>
      </c>
      <c r="C72" s="60" t="s">
        <v>122</v>
      </c>
      <c r="D72" s="92">
        <v>43152</v>
      </c>
      <c r="E72" s="87">
        <v>8</v>
      </c>
      <c r="F72" s="60" t="s">
        <v>121</v>
      </c>
      <c r="G72" s="60" t="s">
        <v>157</v>
      </c>
      <c r="H72" s="60" t="s">
        <v>142</v>
      </c>
      <c r="I72" s="75">
        <v>23</v>
      </c>
    </row>
    <row r="73" spans="1:9">
      <c r="A73" s="60" t="s">
        <v>148</v>
      </c>
      <c r="B73" s="74" t="s">
        <v>121</v>
      </c>
      <c r="C73" s="60" t="s">
        <v>122</v>
      </c>
      <c r="D73" s="92">
        <v>43152</v>
      </c>
      <c r="E73" s="87">
        <v>8</v>
      </c>
      <c r="F73" s="60" t="s">
        <v>121</v>
      </c>
      <c r="G73" s="60" t="s">
        <v>313</v>
      </c>
      <c r="H73" s="60" t="s">
        <v>142</v>
      </c>
      <c r="I73" s="75" t="s">
        <v>176</v>
      </c>
    </row>
    <row r="74" spans="1:9" ht="15.75" thickBot="1">
      <c r="A74" s="77" t="s">
        <v>149</v>
      </c>
      <c r="B74" s="76" t="s">
        <v>121</v>
      </c>
      <c r="C74" s="77" t="s">
        <v>122</v>
      </c>
      <c r="D74" s="93">
        <v>43152</v>
      </c>
      <c r="E74" s="89">
        <v>8</v>
      </c>
      <c r="F74" s="77" t="s">
        <v>121</v>
      </c>
      <c r="G74" s="77" t="s">
        <v>158</v>
      </c>
      <c r="H74" s="77" t="s">
        <v>142</v>
      </c>
      <c r="I74" s="78" t="s">
        <v>176</v>
      </c>
    </row>
    <row r="75" spans="1:9">
      <c r="A75" s="72" t="s">
        <v>141</v>
      </c>
      <c r="B75" s="71" t="s">
        <v>121</v>
      </c>
      <c r="C75" s="72" t="s">
        <v>122</v>
      </c>
      <c r="D75" s="91">
        <v>43165</v>
      </c>
      <c r="E75" s="85">
        <v>10</v>
      </c>
      <c r="F75" s="72" t="s">
        <v>121</v>
      </c>
      <c r="G75" s="72" t="s">
        <v>152</v>
      </c>
      <c r="H75" s="72" t="s">
        <v>142</v>
      </c>
      <c r="I75" s="73" t="s">
        <v>184</v>
      </c>
    </row>
    <row r="76" spans="1:9">
      <c r="A76" s="60" t="s">
        <v>143</v>
      </c>
      <c r="B76" s="74" t="s">
        <v>121</v>
      </c>
      <c r="C76" s="60" t="s">
        <v>122</v>
      </c>
      <c r="D76" s="92">
        <v>43165</v>
      </c>
      <c r="E76" s="87">
        <v>10</v>
      </c>
      <c r="F76" s="60" t="s">
        <v>121</v>
      </c>
      <c r="G76" s="60" t="s">
        <v>153</v>
      </c>
      <c r="H76" s="60" t="s">
        <v>142</v>
      </c>
      <c r="I76" s="75" t="s">
        <v>184</v>
      </c>
    </row>
    <row r="77" spans="1:9">
      <c r="A77" s="60" t="s">
        <v>144</v>
      </c>
      <c r="B77" s="74" t="s">
        <v>121</v>
      </c>
      <c r="C77" s="60" t="s">
        <v>122</v>
      </c>
      <c r="D77" s="92">
        <v>43165</v>
      </c>
      <c r="E77" s="87">
        <v>10</v>
      </c>
      <c r="F77" s="60" t="s">
        <v>121</v>
      </c>
      <c r="G77" s="60" t="s">
        <v>154</v>
      </c>
      <c r="H77" s="60" t="s">
        <v>142</v>
      </c>
      <c r="I77" s="75" t="s">
        <v>185</v>
      </c>
    </row>
    <row r="78" spans="1:9">
      <c r="A78" s="60" t="s">
        <v>145</v>
      </c>
      <c r="B78" s="74" t="s">
        <v>121</v>
      </c>
      <c r="C78" s="60" t="s">
        <v>122</v>
      </c>
      <c r="D78" s="92">
        <v>43165</v>
      </c>
      <c r="E78" s="87">
        <v>10</v>
      </c>
      <c r="F78" s="60" t="s">
        <v>121</v>
      </c>
      <c r="G78" s="60" t="s">
        <v>155</v>
      </c>
      <c r="H78" s="60" t="s">
        <v>142</v>
      </c>
      <c r="I78" s="75" t="s">
        <v>186</v>
      </c>
    </row>
    <row r="79" spans="1:9">
      <c r="A79" s="60" t="s">
        <v>146</v>
      </c>
      <c r="B79" s="74" t="s">
        <v>121</v>
      </c>
      <c r="C79" s="60" t="s">
        <v>122</v>
      </c>
      <c r="D79" s="92">
        <v>43165</v>
      </c>
      <c r="E79" s="87">
        <v>10</v>
      </c>
      <c r="F79" s="60" t="s">
        <v>121</v>
      </c>
      <c r="G79" s="60" t="s">
        <v>156</v>
      </c>
      <c r="H79" s="60" t="s">
        <v>142</v>
      </c>
      <c r="I79" s="75">
        <v>24</v>
      </c>
    </row>
    <row r="80" spans="1:9">
      <c r="A80" s="60" t="s">
        <v>147</v>
      </c>
      <c r="B80" s="74" t="s">
        <v>121</v>
      </c>
      <c r="C80" s="60" t="s">
        <v>122</v>
      </c>
      <c r="D80" s="92">
        <v>43165</v>
      </c>
      <c r="E80" s="87">
        <v>10</v>
      </c>
      <c r="F80" s="60" t="s">
        <v>121</v>
      </c>
      <c r="G80" s="60" t="s">
        <v>157</v>
      </c>
      <c r="H80" s="60" t="s">
        <v>142</v>
      </c>
      <c r="I80" s="75">
        <v>23</v>
      </c>
    </row>
    <row r="81" spans="1:9">
      <c r="A81" s="60" t="s">
        <v>148</v>
      </c>
      <c r="B81" s="74" t="s">
        <v>121</v>
      </c>
      <c r="C81" s="60" t="s">
        <v>122</v>
      </c>
      <c r="D81" s="92">
        <v>43165</v>
      </c>
      <c r="E81" s="87">
        <v>10</v>
      </c>
      <c r="F81" s="60" t="s">
        <v>121</v>
      </c>
      <c r="G81" s="60" t="s">
        <v>313</v>
      </c>
      <c r="H81" s="60" t="s">
        <v>142</v>
      </c>
      <c r="I81" s="75" t="s">
        <v>186</v>
      </c>
    </row>
    <row r="82" spans="1:9" ht="15.75" thickBot="1">
      <c r="A82" s="77" t="s">
        <v>149</v>
      </c>
      <c r="B82" s="76" t="s">
        <v>121</v>
      </c>
      <c r="C82" s="77" t="s">
        <v>122</v>
      </c>
      <c r="D82" s="93">
        <v>43165</v>
      </c>
      <c r="E82" s="89">
        <v>10</v>
      </c>
      <c r="F82" s="77" t="s">
        <v>121</v>
      </c>
      <c r="G82" s="77" t="s">
        <v>158</v>
      </c>
      <c r="H82" s="77" t="s">
        <v>142</v>
      </c>
      <c r="I82" s="78" t="s">
        <v>186</v>
      </c>
    </row>
    <row r="83" spans="1:9">
      <c r="A83" s="60" t="s">
        <v>141</v>
      </c>
      <c r="B83" s="60" t="s">
        <v>121</v>
      </c>
      <c r="C83" s="60" t="s">
        <v>122</v>
      </c>
      <c r="D83" s="92">
        <v>43165</v>
      </c>
      <c r="E83" s="87">
        <v>10</v>
      </c>
      <c r="F83" s="60" t="s">
        <v>121</v>
      </c>
      <c r="G83" s="60" t="s">
        <v>152</v>
      </c>
      <c r="H83" s="60" t="s">
        <v>140</v>
      </c>
      <c r="I83" s="96" t="s">
        <v>177</v>
      </c>
    </row>
    <row r="84" spans="1:9">
      <c r="A84" s="60" t="s">
        <v>143</v>
      </c>
      <c r="B84" s="60" t="s">
        <v>121</v>
      </c>
      <c r="C84" s="60" t="s">
        <v>122</v>
      </c>
      <c r="D84" s="92">
        <v>43165</v>
      </c>
      <c r="E84" s="87">
        <v>10</v>
      </c>
      <c r="F84" s="60" t="s">
        <v>121</v>
      </c>
      <c r="G84" s="60" t="s">
        <v>153</v>
      </c>
      <c r="H84" s="60" t="s">
        <v>140</v>
      </c>
      <c r="I84" s="96" t="s">
        <v>178</v>
      </c>
    </row>
    <row r="85" spans="1:9" ht="15.75" thickBot="1">
      <c r="A85" s="60" t="s">
        <v>138</v>
      </c>
      <c r="B85" s="60" t="s">
        <v>121</v>
      </c>
      <c r="C85" s="60" t="s">
        <v>122</v>
      </c>
      <c r="D85" s="86">
        <v>43165</v>
      </c>
      <c r="E85" s="87">
        <v>10</v>
      </c>
      <c r="F85" s="60" t="s">
        <v>121</v>
      </c>
      <c r="G85" s="60" t="s">
        <v>138</v>
      </c>
      <c r="H85" s="60" t="s">
        <v>140</v>
      </c>
      <c r="I85" s="96" t="s">
        <v>179</v>
      </c>
    </row>
    <row r="86" spans="1:9">
      <c r="A86" s="72" t="s">
        <v>141</v>
      </c>
      <c r="B86" s="71" t="s">
        <v>121</v>
      </c>
      <c r="C86" s="72" t="s">
        <v>122</v>
      </c>
      <c r="D86" s="91">
        <v>43173</v>
      </c>
      <c r="E86" s="85">
        <v>11</v>
      </c>
      <c r="F86" s="72" t="s">
        <v>121</v>
      </c>
      <c r="G86" s="72" t="s">
        <v>152</v>
      </c>
      <c r="H86" s="72" t="s">
        <v>142</v>
      </c>
      <c r="I86" s="73" t="s">
        <v>187</v>
      </c>
    </row>
    <row r="87" spans="1:9">
      <c r="A87" s="60" t="s">
        <v>143</v>
      </c>
      <c r="B87" s="74" t="s">
        <v>121</v>
      </c>
      <c r="C87" s="60" t="s">
        <v>122</v>
      </c>
      <c r="D87" s="92">
        <v>43173</v>
      </c>
      <c r="E87" s="87">
        <v>11</v>
      </c>
      <c r="F87" s="60" t="s">
        <v>121</v>
      </c>
      <c r="G87" s="60" t="s">
        <v>153</v>
      </c>
      <c r="H87" s="60" t="s">
        <v>142</v>
      </c>
      <c r="I87" s="75" t="s">
        <v>187</v>
      </c>
    </row>
    <row r="88" spans="1:9">
      <c r="A88" s="60" t="s">
        <v>144</v>
      </c>
      <c r="B88" s="74" t="s">
        <v>121</v>
      </c>
      <c r="C88" s="60" t="s">
        <v>122</v>
      </c>
      <c r="D88" s="92">
        <v>43173</v>
      </c>
      <c r="E88" s="87">
        <v>11</v>
      </c>
      <c r="F88" s="60" t="s">
        <v>121</v>
      </c>
      <c r="G88" s="60" t="s">
        <v>154</v>
      </c>
      <c r="H88" s="60" t="s">
        <v>142</v>
      </c>
      <c r="I88" s="75" t="s">
        <v>188</v>
      </c>
    </row>
    <row r="89" spans="1:9">
      <c r="A89" s="60" t="s">
        <v>145</v>
      </c>
      <c r="B89" s="74" t="s">
        <v>121</v>
      </c>
      <c r="C89" s="60" t="s">
        <v>122</v>
      </c>
      <c r="D89" s="92">
        <v>43173</v>
      </c>
      <c r="E89" s="87">
        <v>11</v>
      </c>
      <c r="F89" s="60" t="s">
        <v>121</v>
      </c>
      <c r="G89" s="60" t="s">
        <v>155</v>
      </c>
      <c r="H89" s="60" t="s">
        <v>142</v>
      </c>
      <c r="I89" s="75" t="s">
        <v>188</v>
      </c>
    </row>
    <row r="90" spans="1:9">
      <c r="A90" s="60" t="s">
        <v>146</v>
      </c>
      <c r="B90" s="74" t="s">
        <v>121</v>
      </c>
      <c r="C90" s="60" t="s">
        <v>122</v>
      </c>
      <c r="D90" s="92">
        <v>43173</v>
      </c>
      <c r="E90" s="87">
        <v>11</v>
      </c>
      <c r="F90" s="60" t="s">
        <v>121</v>
      </c>
      <c r="G90" s="60" t="s">
        <v>156</v>
      </c>
      <c r="H90" s="60" t="s">
        <v>142</v>
      </c>
      <c r="I90" s="75">
        <v>24</v>
      </c>
    </row>
    <row r="91" spans="1:9">
      <c r="A91" s="60" t="s">
        <v>147</v>
      </c>
      <c r="B91" s="74" t="s">
        <v>121</v>
      </c>
      <c r="C91" s="60" t="s">
        <v>122</v>
      </c>
      <c r="D91" s="92">
        <v>43173</v>
      </c>
      <c r="E91" s="87">
        <v>11</v>
      </c>
      <c r="F91" s="60" t="s">
        <v>121</v>
      </c>
      <c r="G91" s="60" t="s">
        <v>157</v>
      </c>
      <c r="H91" s="60" t="s">
        <v>142</v>
      </c>
      <c r="I91" s="75">
        <v>23</v>
      </c>
    </row>
    <row r="92" spans="1:9">
      <c r="A92" s="60" t="s">
        <v>148</v>
      </c>
      <c r="B92" s="74" t="s">
        <v>121</v>
      </c>
      <c r="C92" s="60" t="s">
        <v>122</v>
      </c>
      <c r="D92" s="92">
        <v>43173</v>
      </c>
      <c r="E92" s="87">
        <v>11</v>
      </c>
      <c r="F92" s="60" t="s">
        <v>121</v>
      </c>
      <c r="G92" s="60" t="s">
        <v>313</v>
      </c>
      <c r="H92" s="60" t="s">
        <v>142</v>
      </c>
      <c r="I92" s="75" t="s">
        <v>188</v>
      </c>
    </row>
    <row r="93" spans="1:9" ht="15.75" thickBot="1">
      <c r="A93" s="77" t="s">
        <v>149</v>
      </c>
      <c r="B93" s="76" t="s">
        <v>121</v>
      </c>
      <c r="C93" s="77" t="s">
        <v>122</v>
      </c>
      <c r="D93" s="93">
        <v>43173</v>
      </c>
      <c r="E93" s="89">
        <v>11</v>
      </c>
      <c r="F93" s="77" t="s">
        <v>121</v>
      </c>
      <c r="G93" s="77" t="s">
        <v>158</v>
      </c>
      <c r="H93" s="77" t="s">
        <v>142</v>
      </c>
      <c r="I93" s="78" t="s">
        <v>189</v>
      </c>
    </row>
    <row r="94" spans="1:9">
      <c r="A94" s="72" t="s">
        <v>141</v>
      </c>
      <c r="B94" s="71" t="s">
        <v>121</v>
      </c>
      <c r="C94" s="72" t="s">
        <v>122</v>
      </c>
      <c r="D94" s="91">
        <v>43181</v>
      </c>
      <c r="E94" s="85">
        <v>12</v>
      </c>
      <c r="F94" s="72" t="s">
        <v>121</v>
      </c>
      <c r="G94" s="72" t="s">
        <v>152</v>
      </c>
      <c r="H94" s="72" t="s">
        <v>142</v>
      </c>
      <c r="I94" s="73" t="s">
        <v>199</v>
      </c>
    </row>
    <row r="95" spans="1:9">
      <c r="A95" s="60" t="s">
        <v>143</v>
      </c>
      <c r="B95" s="74" t="s">
        <v>121</v>
      </c>
      <c r="C95" s="60" t="s">
        <v>122</v>
      </c>
      <c r="D95" s="92">
        <v>43181</v>
      </c>
      <c r="E95" s="87">
        <v>12</v>
      </c>
      <c r="F95" s="60" t="s">
        <v>121</v>
      </c>
      <c r="G95" s="60" t="s">
        <v>153</v>
      </c>
      <c r="H95" s="60" t="s">
        <v>142</v>
      </c>
      <c r="I95" s="75" t="s">
        <v>199</v>
      </c>
    </row>
    <row r="96" spans="1:9">
      <c r="A96" s="60" t="s">
        <v>144</v>
      </c>
      <c r="B96" s="74" t="s">
        <v>121</v>
      </c>
      <c r="C96" s="60" t="s">
        <v>122</v>
      </c>
      <c r="D96" s="92">
        <v>43181</v>
      </c>
      <c r="E96" s="87">
        <v>12</v>
      </c>
      <c r="F96" s="60" t="s">
        <v>121</v>
      </c>
      <c r="G96" s="60" t="s">
        <v>154</v>
      </c>
      <c r="H96" s="60" t="s">
        <v>142</v>
      </c>
      <c r="I96" s="75" t="s">
        <v>200</v>
      </c>
    </row>
    <row r="97" spans="1:9">
      <c r="A97" s="60" t="s">
        <v>145</v>
      </c>
      <c r="B97" s="74" t="s">
        <v>121</v>
      </c>
      <c r="C97" s="60" t="s">
        <v>122</v>
      </c>
      <c r="D97" s="92">
        <v>43181</v>
      </c>
      <c r="E97" s="87">
        <v>12</v>
      </c>
      <c r="F97" s="60" t="s">
        <v>121</v>
      </c>
      <c r="G97" s="60" t="s">
        <v>155</v>
      </c>
      <c r="H97" s="60" t="s">
        <v>142</v>
      </c>
      <c r="I97" s="75" t="s">
        <v>201</v>
      </c>
    </row>
    <row r="98" spans="1:9">
      <c r="A98" s="60" t="s">
        <v>146</v>
      </c>
      <c r="B98" s="74" t="s">
        <v>121</v>
      </c>
      <c r="C98" s="60" t="s">
        <v>122</v>
      </c>
      <c r="D98" s="92">
        <v>43181</v>
      </c>
      <c r="E98" s="87">
        <v>12</v>
      </c>
      <c r="F98" s="60" t="s">
        <v>121</v>
      </c>
      <c r="G98" s="60" t="s">
        <v>156</v>
      </c>
      <c r="H98" s="60" t="s">
        <v>142</v>
      </c>
      <c r="I98" s="75" t="s">
        <v>202</v>
      </c>
    </row>
    <row r="99" spans="1:9">
      <c r="A99" s="60" t="s">
        <v>147</v>
      </c>
      <c r="B99" s="74" t="s">
        <v>121</v>
      </c>
      <c r="C99" s="60" t="s">
        <v>122</v>
      </c>
      <c r="D99" s="92">
        <v>43181</v>
      </c>
      <c r="E99" s="87">
        <v>12</v>
      </c>
      <c r="F99" s="60" t="s">
        <v>121</v>
      </c>
      <c r="G99" s="60" t="s">
        <v>157</v>
      </c>
      <c r="H99" s="60" t="s">
        <v>142</v>
      </c>
      <c r="I99" s="75" t="s">
        <v>203</v>
      </c>
    </row>
    <row r="100" spans="1:9">
      <c r="A100" s="60" t="s">
        <v>148</v>
      </c>
      <c r="B100" s="74" t="s">
        <v>121</v>
      </c>
      <c r="C100" s="60" t="s">
        <v>122</v>
      </c>
      <c r="D100" s="92">
        <v>43181</v>
      </c>
      <c r="E100" s="87">
        <v>12</v>
      </c>
      <c r="F100" s="60" t="s">
        <v>121</v>
      </c>
      <c r="G100" s="60" t="s">
        <v>313</v>
      </c>
      <c r="H100" s="60" t="s">
        <v>142</v>
      </c>
      <c r="I100" s="75" t="s">
        <v>189</v>
      </c>
    </row>
    <row r="101" spans="1:9" ht="15.75" thickBot="1">
      <c r="A101" s="77" t="s">
        <v>149</v>
      </c>
      <c r="B101" s="76" t="s">
        <v>121</v>
      </c>
      <c r="C101" s="77" t="s">
        <v>122</v>
      </c>
      <c r="D101" s="93">
        <v>43181</v>
      </c>
      <c r="E101" s="89">
        <v>12</v>
      </c>
      <c r="F101" s="77" t="s">
        <v>121</v>
      </c>
      <c r="G101" s="77" t="s">
        <v>158</v>
      </c>
      <c r="H101" s="77" t="s">
        <v>142</v>
      </c>
      <c r="I101" s="78" t="s">
        <v>201</v>
      </c>
    </row>
    <row r="102" spans="1:9">
      <c r="A102" s="47" t="s">
        <v>205</v>
      </c>
      <c r="B102" s="47" t="s">
        <v>121</v>
      </c>
      <c r="C102" s="47" t="s">
        <v>122</v>
      </c>
      <c r="D102" s="90">
        <v>43182</v>
      </c>
      <c r="E102" s="83">
        <v>12</v>
      </c>
      <c r="F102" s="47" t="s">
        <v>121</v>
      </c>
      <c r="G102" s="47" t="s">
        <v>204</v>
      </c>
      <c r="H102" s="47" t="s">
        <v>140</v>
      </c>
      <c r="I102" s="55" t="s">
        <v>206</v>
      </c>
    </row>
    <row r="103" spans="1:9" ht="15.75" thickBot="1">
      <c r="A103" s="47" t="s">
        <v>205</v>
      </c>
      <c r="B103" s="47" t="s">
        <v>121</v>
      </c>
      <c r="C103" s="47" t="s">
        <v>122</v>
      </c>
      <c r="D103" s="90">
        <v>43182</v>
      </c>
      <c r="E103" s="83">
        <v>12</v>
      </c>
      <c r="F103" s="47" t="s">
        <v>121</v>
      </c>
      <c r="G103" s="47" t="s">
        <v>204</v>
      </c>
      <c r="H103" s="47" t="s">
        <v>140</v>
      </c>
      <c r="I103" s="55" t="s">
        <v>207</v>
      </c>
    </row>
    <row r="104" spans="1:9">
      <c r="A104" s="72" t="s">
        <v>141</v>
      </c>
      <c r="B104" s="71" t="s">
        <v>121</v>
      </c>
      <c r="C104" s="72" t="s">
        <v>122</v>
      </c>
      <c r="D104" s="91">
        <v>43189</v>
      </c>
      <c r="E104" s="85">
        <v>13</v>
      </c>
      <c r="F104" s="72" t="s">
        <v>121</v>
      </c>
      <c r="G104" s="72" t="s">
        <v>152</v>
      </c>
      <c r="H104" s="72" t="s">
        <v>142</v>
      </c>
      <c r="I104" s="73" t="s">
        <v>199</v>
      </c>
    </row>
    <row r="105" spans="1:9">
      <c r="A105" s="60" t="s">
        <v>143</v>
      </c>
      <c r="B105" s="74" t="s">
        <v>121</v>
      </c>
      <c r="C105" s="60" t="s">
        <v>122</v>
      </c>
      <c r="D105" s="92">
        <v>43189</v>
      </c>
      <c r="E105" s="87">
        <v>13</v>
      </c>
      <c r="F105" s="60" t="s">
        <v>121</v>
      </c>
      <c r="G105" s="60" t="s">
        <v>153</v>
      </c>
      <c r="H105" s="60" t="s">
        <v>142</v>
      </c>
      <c r="I105" s="75" t="s">
        <v>199</v>
      </c>
    </row>
    <row r="106" spans="1:9">
      <c r="A106" s="60" t="s">
        <v>144</v>
      </c>
      <c r="B106" s="74" t="s">
        <v>121</v>
      </c>
      <c r="C106" s="60" t="s">
        <v>122</v>
      </c>
      <c r="D106" s="92">
        <v>43189</v>
      </c>
      <c r="E106" s="87">
        <v>13</v>
      </c>
      <c r="F106" s="60" t="s">
        <v>121</v>
      </c>
      <c r="G106" s="60" t="s">
        <v>154</v>
      </c>
      <c r="H106" s="60" t="s">
        <v>142</v>
      </c>
      <c r="I106" s="75" t="s">
        <v>212</v>
      </c>
    </row>
    <row r="107" spans="1:9">
      <c r="A107" s="60" t="s">
        <v>145</v>
      </c>
      <c r="B107" s="74" t="s">
        <v>121</v>
      </c>
      <c r="C107" s="60" t="s">
        <v>122</v>
      </c>
      <c r="D107" s="92">
        <v>43189</v>
      </c>
      <c r="E107" s="87">
        <v>13</v>
      </c>
      <c r="F107" s="60" t="s">
        <v>121</v>
      </c>
      <c r="G107" s="60" t="s">
        <v>155</v>
      </c>
      <c r="H107" s="60" t="s">
        <v>142</v>
      </c>
      <c r="I107" s="75" t="s">
        <v>201</v>
      </c>
    </row>
    <row r="108" spans="1:9">
      <c r="A108" s="60" t="s">
        <v>146</v>
      </c>
      <c r="B108" s="74" t="s">
        <v>121</v>
      </c>
      <c r="C108" s="60" t="s">
        <v>122</v>
      </c>
      <c r="D108" s="92">
        <v>43189</v>
      </c>
      <c r="E108" s="87">
        <v>13</v>
      </c>
      <c r="F108" s="60" t="s">
        <v>121</v>
      </c>
      <c r="G108" s="60" t="s">
        <v>156</v>
      </c>
      <c r="H108" s="60" t="s">
        <v>142</v>
      </c>
      <c r="I108" s="75" t="s">
        <v>202</v>
      </c>
    </row>
    <row r="109" spans="1:9">
      <c r="A109" s="60" t="s">
        <v>147</v>
      </c>
      <c r="B109" s="74" t="s">
        <v>121</v>
      </c>
      <c r="C109" s="60" t="s">
        <v>122</v>
      </c>
      <c r="D109" s="92">
        <v>43189</v>
      </c>
      <c r="E109" s="87">
        <v>13</v>
      </c>
      <c r="F109" s="60" t="s">
        <v>121</v>
      </c>
      <c r="G109" s="60" t="s">
        <v>157</v>
      </c>
      <c r="H109" s="60" t="s">
        <v>142</v>
      </c>
      <c r="I109" s="75" t="s">
        <v>203</v>
      </c>
    </row>
    <row r="110" spans="1:9" ht="15.75" thickBot="1">
      <c r="A110" s="77" t="s">
        <v>148</v>
      </c>
      <c r="B110" s="76" t="s">
        <v>121</v>
      </c>
      <c r="C110" s="77" t="s">
        <v>122</v>
      </c>
      <c r="D110" s="93">
        <v>43189</v>
      </c>
      <c r="E110" s="89">
        <v>13</v>
      </c>
      <c r="F110" s="77" t="s">
        <v>121</v>
      </c>
      <c r="G110" s="77" t="s">
        <v>313</v>
      </c>
      <c r="H110" s="77" t="s">
        <v>142</v>
      </c>
      <c r="I110" s="78" t="s">
        <v>201</v>
      </c>
    </row>
    <row r="111" spans="1:9">
      <c r="A111" s="72" t="s">
        <v>141</v>
      </c>
      <c r="B111" s="71" t="s">
        <v>121</v>
      </c>
      <c r="C111" s="72" t="s">
        <v>122</v>
      </c>
      <c r="D111" s="91">
        <v>43196</v>
      </c>
      <c r="E111" s="85">
        <v>14</v>
      </c>
      <c r="F111" s="72" t="s">
        <v>121</v>
      </c>
      <c r="G111" s="72" t="s">
        <v>152</v>
      </c>
      <c r="H111" s="72" t="s">
        <v>142</v>
      </c>
      <c r="I111" s="73" t="s">
        <v>228</v>
      </c>
    </row>
    <row r="112" spans="1:9">
      <c r="A112" s="60" t="s">
        <v>143</v>
      </c>
      <c r="B112" s="74" t="s">
        <v>121</v>
      </c>
      <c r="C112" s="60" t="s">
        <v>122</v>
      </c>
      <c r="D112" s="92">
        <v>43196</v>
      </c>
      <c r="E112" s="87">
        <v>14</v>
      </c>
      <c r="F112" s="60" t="s">
        <v>121</v>
      </c>
      <c r="G112" s="60" t="s">
        <v>153</v>
      </c>
      <c r="H112" s="60" t="s">
        <v>142</v>
      </c>
      <c r="I112" s="75" t="s">
        <v>228</v>
      </c>
    </row>
    <row r="113" spans="1:9">
      <c r="A113" s="60" t="s">
        <v>144</v>
      </c>
      <c r="B113" s="74" t="s">
        <v>121</v>
      </c>
      <c r="C113" s="60" t="s">
        <v>122</v>
      </c>
      <c r="D113" s="92">
        <v>43196</v>
      </c>
      <c r="E113" s="87">
        <v>14</v>
      </c>
      <c r="F113" s="60" t="s">
        <v>121</v>
      </c>
      <c r="G113" s="60" t="s">
        <v>154</v>
      </c>
      <c r="H113" s="60" t="s">
        <v>142</v>
      </c>
      <c r="I113" s="75" t="s">
        <v>233</v>
      </c>
    </row>
    <row r="114" spans="1:9">
      <c r="A114" s="60" t="s">
        <v>145</v>
      </c>
      <c r="B114" s="74" t="s">
        <v>121</v>
      </c>
      <c r="C114" s="60" t="s">
        <v>122</v>
      </c>
      <c r="D114" s="92">
        <v>43196</v>
      </c>
      <c r="E114" s="87">
        <v>14</v>
      </c>
      <c r="F114" s="60" t="s">
        <v>121</v>
      </c>
      <c r="G114" s="60" t="s">
        <v>155</v>
      </c>
      <c r="H114" s="60" t="s">
        <v>142</v>
      </c>
      <c r="I114" s="75" t="s">
        <v>232</v>
      </c>
    </row>
    <row r="115" spans="1:9">
      <c r="A115" s="60" t="s">
        <v>146</v>
      </c>
      <c r="B115" s="74" t="s">
        <v>121</v>
      </c>
      <c r="C115" s="60" t="s">
        <v>122</v>
      </c>
      <c r="D115" s="92">
        <v>43196</v>
      </c>
      <c r="E115" s="87">
        <v>14</v>
      </c>
      <c r="F115" s="60" t="s">
        <v>121</v>
      </c>
      <c r="G115" s="60" t="s">
        <v>156</v>
      </c>
      <c r="H115" s="60" t="s">
        <v>142</v>
      </c>
      <c r="I115" s="75" t="s">
        <v>228</v>
      </c>
    </row>
    <row r="116" spans="1:9">
      <c r="A116" s="60" t="s">
        <v>147</v>
      </c>
      <c r="B116" s="74" t="s">
        <v>121</v>
      </c>
      <c r="C116" s="60" t="s">
        <v>122</v>
      </c>
      <c r="D116" s="92">
        <v>43196</v>
      </c>
      <c r="E116" s="87">
        <v>14</v>
      </c>
      <c r="F116" s="60" t="s">
        <v>121</v>
      </c>
      <c r="G116" s="60" t="s">
        <v>157</v>
      </c>
      <c r="H116" s="60" t="s">
        <v>142</v>
      </c>
      <c r="I116" s="75" t="s">
        <v>229</v>
      </c>
    </row>
    <row r="117" spans="1:9" ht="15.75" thickBot="1">
      <c r="A117" s="77" t="s">
        <v>148</v>
      </c>
      <c r="B117" s="76" t="s">
        <v>121</v>
      </c>
      <c r="C117" s="77" t="s">
        <v>122</v>
      </c>
      <c r="D117" s="93">
        <v>43196</v>
      </c>
      <c r="E117" s="89">
        <v>14</v>
      </c>
      <c r="F117" s="77" t="s">
        <v>121</v>
      </c>
      <c r="G117" s="77" t="s">
        <v>313</v>
      </c>
      <c r="H117" s="77" t="s">
        <v>142</v>
      </c>
      <c r="I117" s="78" t="s">
        <v>232</v>
      </c>
    </row>
    <row r="118" spans="1:9" s="59" customFormat="1" ht="15.75" thickBot="1">
      <c r="A118" s="47" t="s">
        <v>138</v>
      </c>
      <c r="B118" s="47" t="s">
        <v>121</v>
      </c>
      <c r="C118" s="47" t="s">
        <v>122</v>
      </c>
      <c r="D118" s="90">
        <v>43196</v>
      </c>
      <c r="E118" s="83">
        <v>14</v>
      </c>
      <c r="F118" s="47" t="s">
        <v>121</v>
      </c>
      <c r="G118" s="47" t="s">
        <v>138</v>
      </c>
      <c r="H118" s="47" t="s">
        <v>140</v>
      </c>
      <c r="I118" s="55" t="s">
        <v>220</v>
      </c>
    </row>
    <row r="119" spans="1:9">
      <c r="A119" s="72" t="s">
        <v>141</v>
      </c>
      <c r="B119" s="71" t="s">
        <v>121</v>
      </c>
      <c r="C119" s="72" t="s">
        <v>122</v>
      </c>
      <c r="D119" s="91">
        <v>43203</v>
      </c>
      <c r="E119" s="85">
        <v>15</v>
      </c>
      <c r="F119" s="72" t="s">
        <v>121</v>
      </c>
      <c r="G119" s="72" t="s">
        <v>152</v>
      </c>
      <c r="H119" s="72" t="s">
        <v>142</v>
      </c>
      <c r="I119" s="73" t="s">
        <v>230</v>
      </c>
    </row>
    <row r="120" spans="1:9">
      <c r="A120" s="60" t="s">
        <v>143</v>
      </c>
      <c r="B120" s="74" t="s">
        <v>121</v>
      </c>
      <c r="C120" s="60" t="s">
        <v>122</v>
      </c>
      <c r="D120" s="92">
        <v>43203</v>
      </c>
      <c r="E120" s="87">
        <v>15</v>
      </c>
      <c r="F120" s="60" t="s">
        <v>121</v>
      </c>
      <c r="G120" s="60" t="s">
        <v>153</v>
      </c>
      <c r="H120" s="60" t="s">
        <v>142</v>
      </c>
      <c r="I120" s="75" t="s">
        <v>230</v>
      </c>
    </row>
    <row r="121" spans="1:9">
      <c r="A121" s="60" t="s">
        <v>144</v>
      </c>
      <c r="B121" s="74" t="s">
        <v>121</v>
      </c>
      <c r="C121" s="60" t="s">
        <v>122</v>
      </c>
      <c r="D121" s="92">
        <v>43203</v>
      </c>
      <c r="E121" s="87">
        <v>15</v>
      </c>
      <c r="F121" s="60" t="s">
        <v>121</v>
      </c>
      <c r="G121" s="60" t="s">
        <v>154</v>
      </c>
      <c r="H121" s="60" t="s">
        <v>142</v>
      </c>
      <c r="I121" s="75" t="s">
        <v>219</v>
      </c>
    </row>
    <row r="122" spans="1:9">
      <c r="A122" s="60" t="s">
        <v>145</v>
      </c>
      <c r="B122" s="74" t="s">
        <v>121</v>
      </c>
      <c r="C122" s="60" t="s">
        <v>122</v>
      </c>
      <c r="D122" s="92">
        <v>43203</v>
      </c>
      <c r="E122" s="87">
        <v>15</v>
      </c>
      <c r="F122" s="60" t="s">
        <v>121</v>
      </c>
      <c r="G122" s="60" t="s">
        <v>155</v>
      </c>
      <c r="H122" s="60" t="s">
        <v>142</v>
      </c>
      <c r="I122" s="75" t="s">
        <v>231</v>
      </c>
    </row>
    <row r="123" spans="1:9">
      <c r="A123" s="60" t="s">
        <v>146</v>
      </c>
      <c r="B123" s="74" t="s">
        <v>121</v>
      </c>
      <c r="C123" s="60" t="s">
        <v>122</v>
      </c>
      <c r="D123" s="92">
        <v>43203</v>
      </c>
      <c r="E123" s="87">
        <v>15</v>
      </c>
      <c r="F123" s="60" t="s">
        <v>121</v>
      </c>
      <c r="G123" s="60" t="s">
        <v>156</v>
      </c>
      <c r="H123" s="60" t="s">
        <v>142</v>
      </c>
      <c r="I123" s="75" t="s">
        <v>219</v>
      </c>
    </row>
    <row r="124" spans="1:9">
      <c r="A124" s="60" t="s">
        <v>147</v>
      </c>
      <c r="B124" s="74" t="s">
        <v>121</v>
      </c>
      <c r="C124" s="60" t="s">
        <v>122</v>
      </c>
      <c r="D124" s="92">
        <v>43203</v>
      </c>
      <c r="E124" s="87">
        <v>15</v>
      </c>
      <c r="F124" s="60" t="s">
        <v>121</v>
      </c>
      <c r="G124" s="60" t="s">
        <v>157</v>
      </c>
      <c r="H124" s="60" t="s">
        <v>142</v>
      </c>
      <c r="I124" s="75" t="s">
        <v>228</v>
      </c>
    </row>
    <row r="125" spans="1:9" ht="15.75" thickBot="1">
      <c r="A125" s="77" t="s">
        <v>148</v>
      </c>
      <c r="B125" s="76" t="s">
        <v>121</v>
      </c>
      <c r="C125" s="77" t="s">
        <v>122</v>
      </c>
      <c r="D125" s="93">
        <v>43203</v>
      </c>
      <c r="E125" s="89">
        <v>15</v>
      </c>
      <c r="F125" s="77" t="s">
        <v>121</v>
      </c>
      <c r="G125" s="77" t="s">
        <v>313</v>
      </c>
      <c r="H125" s="77" t="s">
        <v>142</v>
      </c>
      <c r="I125" s="78" t="s">
        <v>218</v>
      </c>
    </row>
    <row r="126" spans="1:9">
      <c r="A126" s="72" t="s">
        <v>141</v>
      </c>
      <c r="B126" s="71" t="s">
        <v>121</v>
      </c>
      <c r="C126" s="72" t="s">
        <v>122</v>
      </c>
      <c r="D126" s="91">
        <v>43210</v>
      </c>
      <c r="E126" s="85">
        <v>16</v>
      </c>
      <c r="F126" s="72" t="s">
        <v>121</v>
      </c>
      <c r="G126" s="72" t="s">
        <v>152</v>
      </c>
      <c r="H126" s="72" t="s">
        <v>142</v>
      </c>
      <c r="I126" s="73" t="s">
        <v>223</v>
      </c>
    </row>
    <row r="127" spans="1:9">
      <c r="A127" s="60" t="s">
        <v>143</v>
      </c>
      <c r="B127" s="74" t="s">
        <v>121</v>
      </c>
      <c r="C127" s="60" t="s">
        <v>122</v>
      </c>
      <c r="D127" s="92">
        <v>43210</v>
      </c>
      <c r="E127" s="87">
        <v>16</v>
      </c>
      <c r="F127" s="60" t="s">
        <v>121</v>
      </c>
      <c r="G127" s="60" t="s">
        <v>153</v>
      </c>
      <c r="H127" s="60" t="s">
        <v>142</v>
      </c>
      <c r="I127" s="75" t="s">
        <v>224</v>
      </c>
    </row>
    <row r="128" spans="1:9">
      <c r="A128" s="60" t="s">
        <v>144</v>
      </c>
      <c r="B128" s="74" t="s">
        <v>121</v>
      </c>
      <c r="C128" s="60" t="s">
        <v>122</v>
      </c>
      <c r="D128" s="92">
        <v>43210</v>
      </c>
      <c r="E128" s="87">
        <v>16</v>
      </c>
      <c r="F128" s="60" t="s">
        <v>121</v>
      </c>
      <c r="G128" s="60" t="s">
        <v>154</v>
      </c>
      <c r="H128" s="60" t="s">
        <v>142</v>
      </c>
      <c r="I128" s="75" t="s">
        <v>225</v>
      </c>
    </row>
    <row r="129" spans="1:9">
      <c r="A129" s="60" t="s">
        <v>145</v>
      </c>
      <c r="B129" s="74" t="s">
        <v>121</v>
      </c>
      <c r="C129" s="60" t="s">
        <v>122</v>
      </c>
      <c r="D129" s="92">
        <v>43210</v>
      </c>
      <c r="E129" s="87">
        <v>16</v>
      </c>
      <c r="F129" s="60" t="s">
        <v>121</v>
      </c>
      <c r="G129" s="60" t="s">
        <v>155</v>
      </c>
      <c r="H129" s="60" t="s">
        <v>142</v>
      </c>
      <c r="I129" s="75" t="s">
        <v>225</v>
      </c>
    </row>
    <row r="130" spans="1:9">
      <c r="A130" s="60" t="s">
        <v>146</v>
      </c>
      <c r="B130" s="74" t="s">
        <v>121</v>
      </c>
      <c r="C130" s="60" t="s">
        <v>122</v>
      </c>
      <c r="D130" s="92">
        <v>43210</v>
      </c>
      <c r="E130" s="87">
        <v>16</v>
      </c>
      <c r="F130" s="60" t="s">
        <v>121</v>
      </c>
      <c r="G130" s="60" t="s">
        <v>156</v>
      </c>
      <c r="H130" s="60" t="s">
        <v>142</v>
      </c>
      <c r="I130" s="75" t="s">
        <v>226</v>
      </c>
    </row>
    <row r="131" spans="1:9">
      <c r="A131" s="60" t="s">
        <v>147</v>
      </c>
      <c r="B131" s="74" t="s">
        <v>121</v>
      </c>
      <c r="C131" s="60" t="s">
        <v>122</v>
      </c>
      <c r="D131" s="92">
        <v>43210</v>
      </c>
      <c r="E131" s="87">
        <v>16</v>
      </c>
      <c r="F131" s="60" t="s">
        <v>121</v>
      </c>
      <c r="G131" s="60" t="s">
        <v>157</v>
      </c>
      <c r="H131" s="60" t="s">
        <v>142</v>
      </c>
      <c r="I131" s="75" t="s">
        <v>227</v>
      </c>
    </row>
    <row r="132" spans="1:9">
      <c r="A132" s="60" t="s">
        <v>148</v>
      </c>
      <c r="B132" s="74" t="s">
        <v>121</v>
      </c>
      <c r="C132" s="60" t="s">
        <v>122</v>
      </c>
      <c r="D132" s="92">
        <v>43210</v>
      </c>
      <c r="E132" s="87">
        <v>16</v>
      </c>
      <c r="F132" s="60" t="s">
        <v>121</v>
      </c>
      <c r="G132" s="60" t="s">
        <v>313</v>
      </c>
      <c r="H132" s="60" t="s">
        <v>142</v>
      </c>
      <c r="I132" s="75" t="s">
        <v>226</v>
      </c>
    </row>
    <row r="133" spans="1:9" ht="15.75" thickBot="1">
      <c r="A133" s="60" t="s">
        <v>149</v>
      </c>
      <c r="B133" s="74" t="s">
        <v>121</v>
      </c>
      <c r="C133" s="60" t="s">
        <v>122</v>
      </c>
      <c r="D133" s="92">
        <v>43210</v>
      </c>
      <c r="E133" s="87">
        <v>16</v>
      </c>
      <c r="F133" s="60" t="s">
        <v>121</v>
      </c>
      <c r="G133" s="60" t="s">
        <v>158</v>
      </c>
      <c r="H133" s="60" t="s">
        <v>142</v>
      </c>
      <c r="I133" s="75" t="s">
        <v>223</v>
      </c>
    </row>
    <row r="134" spans="1:9">
      <c r="A134" s="72" t="s">
        <v>141</v>
      </c>
      <c r="B134" s="71" t="s">
        <v>121</v>
      </c>
      <c r="C134" s="72" t="s">
        <v>122</v>
      </c>
      <c r="D134" s="91">
        <v>43215</v>
      </c>
      <c r="E134" s="85">
        <v>17</v>
      </c>
      <c r="F134" s="72" t="s">
        <v>121</v>
      </c>
      <c r="G134" s="72" t="s">
        <v>152</v>
      </c>
      <c r="H134" s="72" t="s">
        <v>142</v>
      </c>
      <c r="I134" s="73" t="s">
        <v>225</v>
      </c>
    </row>
    <row r="135" spans="1:9" s="59" customFormat="1">
      <c r="A135" s="60" t="s">
        <v>234</v>
      </c>
      <c r="B135" s="74" t="s">
        <v>121</v>
      </c>
      <c r="C135" s="60" t="s">
        <v>122</v>
      </c>
      <c r="D135" s="92">
        <v>43215</v>
      </c>
      <c r="E135" s="87">
        <v>17</v>
      </c>
      <c r="F135" s="60" t="s">
        <v>121</v>
      </c>
      <c r="G135" s="60" t="s">
        <v>152</v>
      </c>
      <c r="H135" s="60" t="s">
        <v>142</v>
      </c>
      <c r="I135" s="75" t="s">
        <v>219</v>
      </c>
    </row>
    <row r="136" spans="1:9">
      <c r="A136" s="60" t="s">
        <v>143</v>
      </c>
      <c r="B136" s="74" t="s">
        <v>121</v>
      </c>
      <c r="C136" s="60" t="s">
        <v>122</v>
      </c>
      <c r="D136" s="92">
        <v>43215</v>
      </c>
      <c r="E136" s="87">
        <v>17</v>
      </c>
      <c r="F136" s="60" t="s">
        <v>121</v>
      </c>
      <c r="G136" s="60" t="s">
        <v>153</v>
      </c>
      <c r="H136" s="60" t="s">
        <v>142</v>
      </c>
      <c r="I136" s="75" t="s">
        <v>225</v>
      </c>
    </row>
    <row r="137" spans="1:9" s="59" customFormat="1">
      <c r="A137" s="60" t="s">
        <v>235</v>
      </c>
      <c r="B137" s="74" t="s">
        <v>121</v>
      </c>
      <c r="C137" s="60" t="s">
        <v>122</v>
      </c>
      <c r="D137" s="92">
        <v>43215</v>
      </c>
      <c r="E137" s="87">
        <v>17</v>
      </c>
      <c r="F137" s="60" t="s">
        <v>121</v>
      </c>
      <c r="G137" s="60" t="s">
        <v>153</v>
      </c>
      <c r="H137" s="60" t="s">
        <v>142</v>
      </c>
      <c r="I137" s="75" t="s">
        <v>219</v>
      </c>
    </row>
    <row r="138" spans="1:9">
      <c r="A138" s="60" t="s">
        <v>144</v>
      </c>
      <c r="B138" s="74" t="s">
        <v>121</v>
      </c>
      <c r="C138" s="60" t="s">
        <v>122</v>
      </c>
      <c r="D138" s="92">
        <v>43215</v>
      </c>
      <c r="E138" s="87">
        <v>17</v>
      </c>
      <c r="F138" s="60" t="s">
        <v>121</v>
      </c>
      <c r="G138" s="60" t="s">
        <v>154</v>
      </c>
      <c r="H138" s="60" t="s">
        <v>142</v>
      </c>
      <c r="I138" s="75" t="s">
        <v>241</v>
      </c>
    </row>
    <row r="139" spans="1:9" s="59" customFormat="1">
      <c r="A139" s="60" t="s">
        <v>236</v>
      </c>
      <c r="B139" s="74" t="s">
        <v>121</v>
      </c>
      <c r="C139" s="60" t="s">
        <v>122</v>
      </c>
      <c r="D139" s="92">
        <v>43215</v>
      </c>
      <c r="E139" s="87">
        <v>17</v>
      </c>
      <c r="F139" s="60" t="s">
        <v>121</v>
      </c>
      <c r="G139" s="60" t="s">
        <v>154</v>
      </c>
      <c r="H139" s="60" t="s">
        <v>142</v>
      </c>
      <c r="I139" s="75" t="s">
        <v>242</v>
      </c>
    </row>
    <row r="140" spans="1:9">
      <c r="A140" s="60" t="s">
        <v>145</v>
      </c>
      <c r="B140" s="74" t="s">
        <v>121</v>
      </c>
      <c r="C140" s="60" t="s">
        <v>122</v>
      </c>
      <c r="D140" s="92">
        <v>43215</v>
      </c>
      <c r="E140" s="87">
        <v>17</v>
      </c>
      <c r="F140" s="60" t="s">
        <v>121</v>
      </c>
      <c r="G140" s="60" t="s">
        <v>155</v>
      </c>
      <c r="H140" s="60" t="s">
        <v>142</v>
      </c>
      <c r="I140" s="75" t="s">
        <v>243</v>
      </c>
    </row>
    <row r="141" spans="1:9" s="59" customFormat="1">
      <c r="A141" s="60" t="s">
        <v>237</v>
      </c>
      <c r="B141" s="74" t="s">
        <v>121</v>
      </c>
      <c r="C141" s="60" t="s">
        <v>122</v>
      </c>
      <c r="D141" s="92">
        <v>43215</v>
      </c>
      <c r="E141" s="87">
        <v>17</v>
      </c>
      <c r="F141" s="60" t="s">
        <v>121</v>
      </c>
      <c r="G141" s="60" t="s">
        <v>155</v>
      </c>
      <c r="H141" s="60" t="s">
        <v>142</v>
      </c>
      <c r="I141" s="75" t="s">
        <v>243</v>
      </c>
    </row>
    <row r="142" spans="1:9">
      <c r="A142" s="60" t="s">
        <v>146</v>
      </c>
      <c r="B142" s="74" t="s">
        <v>121</v>
      </c>
      <c r="C142" s="60" t="s">
        <v>122</v>
      </c>
      <c r="D142" s="92">
        <v>43215</v>
      </c>
      <c r="E142" s="87">
        <v>17</v>
      </c>
      <c r="F142" s="60" t="s">
        <v>121</v>
      </c>
      <c r="G142" s="60" t="s">
        <v>156</v>
      </c>
      <c r="H142" s="60" t="s">
        <v>142</v>
      </c>
      <c r="I142" s="75" t="s">
        <v>225</v>
      </c>
    </row>
    <row r="143" spans="1:9" s="59" customFormat="1">
      <c r="A143" s="60" t="s">
        <v>238</v>
      </c>
      <c r="B143" s="74" t="s">
        <v>121</v>
      </c>
      <c r="C143" s="60" t="s">
        <v>122</v>
      </c>
      <c r="D143" s="92">
        <v>43215</v>
      </c>
      <c r="E143" s="87">
        <v>17</v>
      </c>
      <c r="F143" s="60" t="s">
        <v>121</v>
      </c>
      <c r="G143" s="60" t="s">
        <v>156</v>
      </c>
      <c r="H143" s="60" t="s">
        <v>142</v>
      </c>
      <c r="I143" s="75" t="s">
        <v>225</v>
      </c>
    </row>
    <row r="144" spans="1:9">
      <c r="A144" s="60" t="s">
        <v>147</v>
      </c>
      <c r="B144" s="74" t="s">
        <v>121</v>
      </c>
      <c r="C144" s="60" t="s">
        <v>122</v>
      </c>
      <c r="D144" s="92">
        <v>43215</v>
      </c>
      <c r="E144" s="87">
        <v>17</v>
      </c>
      <c r="F144" s="60" t="s">
        <v>121</v>
      </c>
      <c r="G144" s="60" t="s">
        <v>157</v>
      </c>
      <c r="H144" s="60" t="s">
        <v>142</v>
      </c>
      <c r="I144" s="75" t="s">
        <v>219</v>
      </c>
    </row>
    <row r="145" spans="1:9" s="59" customFormat="1">
      <c r="A145" s="60" t="s">
        <v>239</v>
      </c>
      <c r="B145" s="74" t="s">
        <v>121</v>
      </c>
      <c r="C145" s="60" t="s">
        <v>122</v>
      </c>
      <c r="D145" s="92">
        <v>43215</v>
      </c>
      <c r="E145" s="87">
        <v>17</v>
      </c>
      <c r="F145" s="60" t="s">
        <v>121</v>
      </c>
      <c r="G145" s="60" t="s">
        <v>157</v>
      </c>
      <c r="H145" s="60" t="s">
        <v>142</v>
      </c>
      <c r="I145" s="75" t="s">
        <v>219</v>
      </c>
    </row>
    <row r="146" spans="1:9">
      <c r="A146" s="60" t="s">
        <v>148</v>
      </c>
      <c r="B146" s="74" t="s">
        <v>121</v>
      </c>
      <c r="C146" s="60" t="s">
        <v>122</v>
      </c>
      <c r="D146" s="92">
        <v>43215</v>
      </c>
      <c r="E146" s="87">
        <v>17</v>
      </c>
      <c r="F146" s="60" t="s">
        <v>121</v>
      </c>
      <c r="G146" s="60" t="s">
        <v>313</v>
      </c>
      <c r="H146" s="60" t="s">
        <v>142</v>
      </c>
      <c r="I146" s="75" t="s">
        <v>241</v>
      </c>
    </row>
    <row r="147" spans="1:9" s="59" customFormat="1" ht="15.75" thickBot="1">
      <c r="A147" s="77" t="s">
        <v>240</v>
      </c>
      <c r="B147" s="76" t="s">
        <v>121</v>
      </c>
      <c r="C147" s="77" t="s">
        <v>122</v>
      </c>
      <c r="D147" s="93">
        <v>43215</v>
      </c>
      <c r="E147" s="89">
        <v>17</v>
      </c>
      <c r="F147" s="77" t="s">
        <v>121</v>
      </c>
      <c r="G147" s="77" t="s">
        <v>313</v>
      </c>
      <c r="H147" s="77" t="s">
        <v>142</v>
      </c>
      <c r="I147" s="78" t="s">
        <v>225</v>
      </c>
    </row>
    <row r="148" spans="1:9">
      <c r="A148" s="72" t="s">
        <v>141</v>
      </c>
      <c r="B148" s="71" t="s">
        <v>121</v>
      </c>
      <c r="C148" s="72" t="s">
        <v>122</v>
      </c>
      <c r="D148" s="91">
        <v>43224</v>
      </c>
      <c r="E148" s="85">
        <v>18</v>
      </c>
      <c r="F148" s="72" t="s">
        <v>121</v>
      </c>
      <c r="G148" s="72" t="s">
        <v>152</v>
      </c>
      <c r="H148" s="72" t="s">
        <v>142</v>
      </c>
      <c r="I148" s="73" t="s">
        <v>245</v>
      </c>
    </row>
    <row r="149" spans="1:9">
      <c r="A149" s="60" t="s">
        <v>143</v>
      </c>
      <c r="B149" s="74" t="s">
        <v>121</v>
      </c>
      <c r="C149" s="60" t="s">
        <v>122</v>
      </c>
      <c r="D149" s="92">
        <v>43224</v>
      </c>
      <c r="E149" s="87">
        <v>18</v>
      </c>
      <c r="F149" s="60" t="s">
        <v>121</v>
      </c>
      <c r="G149" s="60" t="s">
        <v>153</v>
      </c>
      <c r="H149" s="60" t="s">
        <v>142</v>
      </c>
      <c r="I149" s="75" t="s">
        <v>245</v>
      </c>
    </row>
    <row r="150" spans="1:9">
      <c r="A150" s="60" t="s">
        <v>144</v>
      </c>
      <c r="B150" s="74" t="s">
        <v>121</v>
      </c>
      <c r="C150" s="60" t="s">
        <v>122</v>
      </c>
      <c r="D150" s="92">
        <v>43224</v>
      </c>
      <c r="E150" s="87">
        <v>18</v>
      </c>
      <c r="F150" s="60" t="s">
        <v>121</v>
      </c>
      <c r="G150" s="60" t="s">
        <v>154</v>
      </c>
      <c r="H150" s="60" t="s">
        <v>142</v>
      </c>
      <c r="I150" s="75" t="s">
        <v>246</v>
      </c>
    </row>
    <row r="151" spans="1:9">
      <c r="A151" s="60" t="s">
        <v>145</v>
      </c>
      <c r="B151" s="74" t="s">
        <v>121</v>
      </c>
      <c r="C151" s="60" t="s">
        <v>122</v>
      </c>
      <c r="D151" s="92">
        <v>43224</v>
      </c>
      <c r="E151" s="87">
        <v>18</v>
      </c>
      <c r="F151" s="60" t="s">
        <v>121</v>
      </c>
      <c r="G151" s="60" t="s">
        <v>155</v>
      </c>
      <c r="H151" s="60" t="s">
        <v>142</v>
      </c>
      <c r="I151" s="75" t="s">
        <v>246</v>
      </c>
    </row>
    <row r="152" spans="1:9">
      <c r="A152" s="60" t="s">
        <v>146</v>
      </c>
      <c r="B152" s="74" t="s">
        <v>121</v>
      </c>
      <c r="C152" s="60" t="s">
        <v>122</v>
      </c>
      <c r="D152" s="92">
        <v>43224</v>
      </c>
      <c r="E152" s="87">
        <v>18</v>
      </c>
      <c r="F152" s="60" t="s">
        <v>121</v>
      </c>
      <c r="G152" s="60" t="s">
        <v>156</v>
      </c>
      <c r="H152" s="60" t="s">
        <v>142</v>
      </c>
      <c r="I152" s="75" t="s">
        <v>246</v>
      </c>
    </row>
    <row r="153" spans="1:9">
      <c r="A153" s="60" t="s">
        <v>147</v>
      </c>
      <c r="B153" s="74" t="s">
        <v>121</v>
      </c>
      <c r="C153" s="60" t="s">
        <v>122</v>
      </c>
      <c r="D153" s="92">
        <v>43224</v>
      </c>
      <c r="E153" s="87">
        <v>18</v>
      </c>
      <c r="F153" s="60" t="s">
        <v>121</v>
      </c>
      <c r="G153" s="60" t="s">
        <v>157</v>
      </c>
      <c r="H153" s="60" t="s">
        <v>142</v>
      </c>
      <c r="I153" s="75" t="s">
        <v>225</v>
      </c>
    </row>
    <row r="154" spans="1:9">
      <c r="A154" s="60" t="s">
        <v>148</v>
      </c>
      <c r="B154" s="74" t="s">
        <v>121</v>
      </c>
      <c r="C154" s="60" t="s">
        <v>122</v>
      </c>
      <c r="D154" s="92">
        <v>43224</v>
      </c>
      <c r="E154" s="87">
        <v>18</v>
      </c>
      <c r="F154" s="60" t="s">
        <v>121</v>
      </c>
      <c r="G154" s="60" t="s">
        <v>313</v>
      </c>
      <c r="H154" s="60" t="s">
        <v>142</v>
      </c>
      <c r="I154" s="75" t="s">
        <v>246</v>
      </c>
    </row>
    <row r="155" spans="1:9" ht="15.75" thickBot="1">
      <c r="A155" s="77" t="s">
        <v>149</v>
      </c>
      <c r="B155" s="76" t="s">
        <v>121</v>
      </c>
      <c r="C155" s="77" t="s">
        <v>122</v>
      </c>
      <c r="D155" s="93">
        <v>43224</v>
      </c>
      <c r="E155" s="89">
        <v>18</v>
      </c>
      <c r="F155" s="77" t="s">
        <v>121</v>
      </c>
      <c r="G155" s="77" t="s">
        <v>158</v>
      </c>
      <c r="H155" s="77" t="s">
        <v>142</v>
      </c>
      <c r="I155" s="78" t="s">
        <v>246</v>
      </c>
    </row>
    <row r="156" spans="1:9">
      <c r="A156" s="72" t="s">
        <v>141</v>
      </c>
      <c r="B156" s="71" t="s">
        <v>121</v>
      </c>
      <c r="C156" s="72" t="s">
        <v>122</v>
      </c>
      <c r="D156" s="91">
        <v>43229</v>
      </c>
      <c r="E156" s="85">
        <v>19</v>
      </c>
      <c r="F156" s="72" t="s">
        <v>121</v>
      </c>
      <c r="G156" s="72" t="s">
        <v>152</v>
      </c>
      <c r="H156" s="72" t="s">
        <v>142</v>
      </c>
      <c r="I156" s="73" t="s">
        <v>247</v>
      </c>
    </row>
    <row r="157" spans="1:9">
      <c r="A157" s="60" t="s">
        <v>143</v>
      </c>
      <c r="B157" s="74" t="s">
        <v>121</v>
      </c>
      <c r="C157" s="60" t="s">
        <v>122</v>
      </c>
      <c r="D157" s="92">
        <v>43229</v>
      </c>
      <c r="E157" s="87">
        <v>19</v>
      </c>
      <c r="F157" s="60" t="s">
        <v>121</v>
      </c>
      <c r="G157" s="60" t="s">
        <v>153</v>
      </c>
      <c r="H157" s="60" t="s">
        <v>142</v>
      </c>
      <c r="I157" s="75" t="s">
        <v>248</v>
      </c>
    </row>
    <row r="158" spans="1:9">
      <c r="A158" s="60" t="s">
        <v>144</v>
      </c>
      <c r="B158" s="74" t="s">
        <v>121</v>
      </c>
      <c r="C158" s="60" t="s">
        <v>122</v>
      </c>
      <c r="D158" s="92">
        <v>43229</v>
      </c>
      <c r="E158" s="87">
        <v>19</v>
      </c>
      <c r="F158" s="60" t="s">
        <v>121</v>
      </c>
      <c r="G158" s="60" t="s">
        <v>154</v>
      </c>
      <c r="H158" s="60" t="s">
        <v>142</v>
      </c>
      <c r="I158" s="75" t="s">
        <v>247</v>
      </c>
    </row>
    <row r="159" spans="1:9">
      <c r="A159" s="60" t="s">
        <v>145</v>
      </c>
      <c r="B159" s="74" t="s">
        <v>121</v>
      </c>
      <c r="C159" s="60" t="s">
        <v>122</v>
      </c>
      <c r="D159" s="92">
        <v>43229</v>
      </c>
      <c r="E159" s="87">
        <v>19</v>
      </c>
      <c r="F159" s="60" t="s">
        <v>121</v>
      </c>
      <c r="G159" s="60" t="s">
        <v>155</v>
      </c>
      <c r="H159" s="60" t="s">
        <v>142</v>
      </c>
      <c r="I159" s="75" t="s">
        <v>249</v>
      </c>
    </row>
    <row r="160" spans="1:9">
      <c r="A160" s="60" t="s">
        <v>146</v>
      </c>
      <c r="B160" s="74" t="s">
        <v>121</v>
      </c>
      <c r="C160" s="60" t="s">
        <v>122</v>
      </c>
      <c r="D160" s="92">
        <v>43229</v>
      </c>
      <c r="E160" s="87">
        <v>19</v>
      </c>
      <c r="F160" s="60" t="s">
        <v>121</v>
      </c>
      <c r="G160" s="60" t="s">
        <v>156</v>
      </c>
      <c r="H160" s="60" t="s">
        <v>142</v>
      </c>
      <c r="I160" s="75" t="s">
        <v>249</v>
      </c>
    </row>
    <row r="161" spans="1:9">
      <c r="A161" s="60" t="s">
        <v>147</v>
      </c>
      <c r="B161" s="74" t="s">
        <v>121</v>
      </c>
      <c r="C161" s="60" t="s">
        <v>122</v>
      </c>
      <c r="D161" s="92">
        <v>43229</v>
      </c>
      <c r="E161" s="87">
        <v>19</v>
      </c>
      <c r="F161" s="60" t="s">
        <v>121</v>
      </c>
      <c r="G161" s="60" t="s">
        <v>157</v>
      </c>
      <c r="H161" s="60" t="s">
        <v>142</v>
      </c>
      <c r="I161" s="75" t="s">
        <v>250</v>
      </c>
    </row>
    <row r="162" spans="1:9">
      <c r="A162" s="60" t="s">
        <v>148</v>
      </c>
      <c r="B162" s="74" t="s">
        <v>121</v>
      </c>
      <c r="C162" s="60" t="s">
        <v>122</v>
      </c>
      <c r="D162" s="92">
        <v>43229</v>
      </c>
      <c r="E162" s="87">
        <v>19</v>
      </c>
      <c r="F162" s="60" t="s">
        <v>121</v>
      </c>
      <c r="G162" s="60" t="s">
        <v>313</v>
      </c>
      <c r="H162" s="60" t="s">
        <v>142</v>
      </c>
      <c r="I162" s="75" t="s">
        <v>249</v>
      </c>
    </row>
    <row r="163" spans="1:9" ht="15.75" thickBot="1">
      <c r="A163" s="77" t="s">
        <v>149</v>
      </c>
      <c r="B163" s="76" t="s">
        <v>121</v>
      </c>
      <c r="C163" s="77" t="s">
        <v>122</v>
      </c>
      <c r="D163" s="93">
        <v>43229</v>
      </c>
      <c r="E163" s="89">
        <v>19</v>
      </c>
      <c r="F163" s="77" t="s">
        <v>121</v>
      </c>
      <c r="G163" s="77" t="s">
        <v>158</v>
      </c>
      <c r="H163" s="77" t="s">
        <v>142</v>
      </c>
      <c r="I163" s="78" t="s">
        <v>249</v>
      </c>
    </row>
    <row r="164" spans="1:9">
      <c r="A164" s="47" t="s">
        <v>327</v>
      </c>
      <c r="B164" s="71" t="s">
        <v>121</v>
      </c>
      <c r="C164" s="72" t="s">
        <v>122</v>
      </c>
      <c r="D164" s="90">
        <v>43236</v>
      </c>
      <c r="E164" s="83">
        <v>20</v>
      </c>
      <c r="F164" s="47" t="s">
        <v>121</v>
      </c>
      <c r="G164" s="47" t="s">
        <v>327</v>
      </c>
      <c r="H164" s="47" t="s">
        <v>507</v>
      </c>
      <c r="I164" s="55" t="s">
        <v>255</v>
      </c>
    </row>
    <row r="165" spans="1:9" ht="15.75" thickBot="1">
      <c r="A165" s="47" t="s">
        <v>327</v>
      </c>
      <c r="B165" s="74" t="s">
        <v>121</v>
      </c>
      <c r="C165" s="60" t="s">
        <v>122</v>
      </c>
      <c r="D165" s="90">
        <v>43236</v>
      </c>
      <c r="E165" s="83">
        <v>20</v>
      </c>
      <c r="F165" s="47" t="s">
        <v>121</v>
      </c>
      <c r="G165" s="47" t="s">
        <v>327</v>
      </c>
      <c r="H165" s="47" t="s">
        <v>507</v>
      </c>
      <c r="I165" s="55" t="s">
        <v>256</v>
      </c>
    </row>
    <row r="166" spans="1:9">
      <c r="A166" s="72" t="s">
        <v>141</v>
      </c>
      <c r="B166" s="71" t="s">
        <v>121</v>
      </c>
      <c r="C166" s="72" t="s">
        <v>122</v>
      </c>
      <c r="D166" s="91">
        <v>43242</v>
      </c>
      <c r="E166" s="85">
        <v>21</v>
      </c>
      <c r="F166" s="72" t="s">
        <v>121</v>
      </c>
      <c r="G166" s="72" t="s">
        <v>152</v>
      </c>
      <c r="H166" s="72" t="s">
        <v>142</v>
      </c>
      <c r="I166" s="73" t="s">
        <v>257</v>
      </c>
    </row>
    <row r="167" spans="1:9">
      <c r="A167" s="60" t="s">
        <v>143</v>
      </c>
      <c r="B167" s="74" t="s">
        <v>121</v>
      </c>
      <c r="C167" s="60" t="s">
        <v>122</v>
      </c>
      <c r="D167" s="92">
        <v>43242</v>
      </c>
      <c r="E167" s="87">
        <v>21</v>
      </c>
      <c r="F167" s="60" t="s">
        <v>121</v>
      </c>
      <c r="G167" s="60" t="s">
        <v>153</v>
      </c>
      <c r="H167" s="60" t="s">
        <v>142</v>
      </c>
      <c r="I167" s="75" t="s">
        <v>257</v>
      </c>
    </row>
    <row r="168" spans="1:9">
      <c r="A168" s="60" t="s">
        <v>144</v>
      </c>
      <c r="B168" s="74" t="s">
        <v>121</v>
      </c>
      <c r="C168" s="60" t="s">
        <v>122</v>
      </c>
      <c r="D168" s="92">
        <v>43242</v>
      </c>
      <c r="E168" s="87">
        <v>21</v>
      </c>
      <c r="F168" s="60" t="s">
        <v>121</v>
      </c>
      <c r="G168" s="60" t="s">
        <v>154</v>
      </c>
      <c r="H168" s="60" t="s">
        <v>142</v>
      </c>
      <c r="I168" s="75" t="s">
        <v>257</v>
      </c>
    </row>
    <row r="169" spans="1:9">
      <c r="A169" s="60" t="s">
        <v>145</v>
      </c>
      <c r="B169" s="74" t="s">
        <v>121</v>
      </c>
      <c r="C169" s="60" t="s">
        <v>122</v>
      </c>
      <c r="D169" s="92">
        <v>43242</v>
      </c>
      <c r="E169" s="87">
        <v>21</v>
      </c>
      <c r="F169" s="60" t="s">
        <v>121</v>
      </c>
      <c r="G169" s="60" t="s">
        <v>155</v>
      </c>
      <c r="H169" s="60" t="s">
        <v>142</v>
      </c>
      <c r="I169" s="75" t="s">
        <v>258</v>
      </c>
    </row>
    <row r="170" spans="1:9">
      <c r="A170" s="60" t="s">
        <v>146</v>
      </c>
      <c r="B170" s="74" t="s">
        <v>121</v>
      </c>
      <c r="C170" s="60" t="s">
        <v>122</v>
      </c>
      <c r="D170" s="92">
        <v>43242</v>
      </c>
      <c r="E170" s="87">
        <v>21</v>
      </c>
      <c r="F170" s="60" t="s">
        <v>121</v>
      </c>
      <c r="G170" s="60" t="s">
        <v>156</v>
      </c>
      <c r="H170" s="60" t="s">
        <v>142</v>
      </c>
      <c r="I170" s="75" t="s">
        <v>258</v>
      </c>
    </row>
    <row r="171" spans="1:9">
      <c r="A171" s="60" t="s">
        <v>147</v>
      </c>
      <c r="B171" s="74" t="s">
        <v>121</v>
      </c>
      <c r="C171" s="60" t="s">
        <v>122</v>
      </c>
      <c r="D171" s="92">
        <v>43242</v>
      </c>
      <c r="E171" s="87">
        <v>21</v>
      </c>
      <c r="F171" s="60" t="s">
        <v>121</v>
      </c>
      <c r="G171" s="60" t="s">
        <v>157</v>
      </c>
      <c r="H171" s="60" t="s">
        <v>142</v>
      </c>
      <c r="I171" s="75" t="s">
        <v>257</v>
      </c>
    </row>
    <row r="172" spans="1:9" ht="15.75" thickBot="1">
      <c r="A172" s="77" t="s">
        <v>148</v>
      </c>
      <c r="B172" s="76" t="s">
        <v>121</v>
      </c>
      <c r="C172" s="77" t="s">
        <v>122</v>
      </c>
      <c r="D172" s="93">
        <v>43242</v>
      </c>
      <c r="E172" s="89">
        <v>21</v>
      </c>
      <c r="F172" s="77" t="s">
        <v>121</v>
      </c>
      <c r="G172" s="77" t="s">
        <v>313</v>
      </c>
      <c r="H172" s="77" t="s">
        <v>142</v>
      </c>
      <c r="I172" s="78" t="s">
        <v>259</v>
      </c>
    </row>
    <row r="173" spans="1:9" s="59" customFormat="1">
      <c r="A173" s="72" t="s">
        <v>141</v>
      </c>
      <c r="B173" s="71" t="s">
        <v>121</v>
      </c>
      <c r="C173" s="72" t="s">
        <v>122</v>
      </c>
      <c r="D173" s="91">
        <v>43251</v>
      </c>
      <c r="E173" s="85">
        <v>22</v>
      </c>
      <c r="F173" s="72" t="s">
        <v>121</v>
      </c>
      <c r="G173" s="72" t="s">
        <v>152</v>
      </c>
      <c r="H173" s="72" t="s">
        <v>142</v>
      </c>
      <c r="I173" s="73" t="s">
        <v>262</v>
      </c>
    </row>
    <row r="174" spans="1:9" s="59" customFormat="1">
      <c r="A174" s="60" t="s">
        <v>143</v>
      </c>
      <c r="B174" s="74" t="s">
        <v>121</v>
      </c>
      <c r="C174" s="60" t="s">
        <v>122</v>
      </c>
      <c r="D174" s="92">
        <v>43251</v>
      </c>
      <c r="E174" s="87">
        <v>22</v>
      </c>
      <c r="F174" s="60" t="s">
        <v>121</v>
      </c>
      <c r="G174" s="60" t="s">
        <v>153</v>
      </c>
      <c r="H174" s="60" t="s">
        <v>142</v>
      </c>
      <c r="I174" s="75" t="s">
        <v>262</v>
      </c>
    </row>
    <row r="175" spans="1:9" s="59" customFormat="1">
      <c r="A175" s="60" t="s">
        <v>144</v>
      </c>
      <c r="B175" s="74" t="s">
        <v>121</v>
      </c>
      <c r="C175" s="60" t="s">
        <v>122</v>
      </c>
      <c r="D175" s="92">
        <v>43251</v>
      </c>
      <c r="E175" s="87">
        <v>22</v>
      </c>
      <c r="F175" s="60" t="s">
        <v>121</v>
      </c>
      <c r="G175" s="60" t="s">
        <v>154</v>
      </c>
      <c r="H175" s="60" t="s">
        <v>142</v>
      </c>
      <c r="I175" s="75" t="s">
        <v>262</v>
      </c>
    </row>
    <row r="176" spans="1:9" s="59" customFormat="1">
      <c r="A176" s="60" t="s">
        <v>145</v>
      </c>
      <c r="B176" s="74" t="s">
        <v>121</v>
      </c>
      <c r="C176" s="60" t="s">
        <v>122</v>
      </c>
      <c r="D176" s="92">
        <v>43251</v>
      </c>
      <c r="E176" s="87">
        <v>22</v>
      </c>
      <c r="F176" s="60" t="s">
        <v>121</v>
      </c>
      <c r="G176" s="60" t="s">
        <v>155</v>
      </c>
      <c r="H176" s="60" t="s">
        <v>142</v>
      </c>
      <c r="I176" s="75" t="s">
        <v>262</v>
      </c>
    </row>
    <row r="177" spans="1:9" s="59" customFormat="1">
      <c r="A177" s="60" t="s">
        <v>146</v>
      </c>
      <c r="B177" s="74" t="s">
        <v>121</v>
      </c>
      <c r="C177" s="60" t="s">
        <v>122</v>
      </c>
      <c r="D177" s="92">
        <v>43251</v>
      </c>
      <c r="E177" s="87">
        <v>22</v>
      </c>
      <c r="F177" s="60" t="s">
        <v>121</v>
      </c>
      <c r="G177" s="60" t="s">
        <v>156</v>
      </c>
      <c r="H177" s="60" t="s">
        <v>142</v>
      </c>
      <c r="I177" s="75" t="s">
        <v>262</v>
      </c>
    </row>
    <row r="178" spans="1:9" s="59" customFormat="1">
      <c r="A178" s="60" t="s">
        <v>147</v>
      </c>
      <c r="B178" s="74" t="s">
        <v>121</v>
      </c>
      <c r="C178" s="60" t="s">
        <v>122</v>
      </c>
      <c r="D178" s="92">
        <v>43251</v>
      </c>
      <c r="E178" s="87">
        <v>22</v>
      </c>
      <c r="F178" s="60" t="s">
        <v>121</v>
      </c>
      <c r="G178" s="60" t="s">
        <v>157</v>
      </c>
      <c r="H178" s="60" t="s">
        <v>142</v>
      </c>
      <c r="I178" s="75" t="s">
        <v>262</v>
      </c>
    </row>
    <row r="179" spans="1:9" s="59" customFormat="1" ht="15.75" thickBot="1">
      <c r="A179" s="77" t="s">
        <v>148</v>
      </c>
      <c r="B179" s="76" t="s">
        <v>121</v>
      </c>
      <c r="C179" s="77" t="s">
        <v>122</v>
      </c>
      <c r="D179" s="93">
        <v>43251</v>
      </c>
      <c r="E179" s="89">
        <v>22</v>
      </c>
      <c r="F179" s="77" t="s">
        <v>121</v>
      </c>
      <c r="G179" s="77" t="s">
        <v>313</v>
      </c>
      <c r="H179" s="77" t="s">
        <v>142</v>
      </c>
      <c r="I179" s="78" t="s">
        <v>262</v>
      </c>
    </row>
    <row r="180" spans="1:9" ht="15.75" thickBot="1">
      <c r="A180" s="98" t="s">
        <v>138</v>
      </c>
      <c r="B180" s="97" t="s">
        <v>121</v>
      </c>
      <c r="C180" s="98" t="s">
        <v>122</v>
      </c>
      <c r="D180" s="99">
        <v>43258</v>
      </c>
      <c r="E180" s="100">
        <v>22</v>
      </c>
      <c r="F180" s="98" t="s">
        <v>121</v>
      </c>
      <c r="G180" s="98" t="s">
        <v>138</v>
      </c>
      <c r="H180" s="98" t="s">
        <v>142</v>
      </c>
      <c r="I180" s="101" t="s">
        <v>266</v>
      </c>
    </row>
    <row r="181" spans="1:9" s="59" customFormat="1" ht="15.75" thickBot="1">
      <c r="A181" s="98" t="s">
        <v>138</v>
      </c>
      <c r="B181" s="97" t="s">
        <v>121</v>
      </c>
      <c r="C181" s="98" t="s">
        <v>122</v>
      </c>
      <c r="D181" s="99">
        <v>43266</v>
      </c>
      <c r="E181" s="100">
        <v>22</v>
      </c>
      <c r="F181" s="98" t="s">
        <v>121</v>
      </c>
      <c r="G181" s="98" t="s">
        <v>138</v>
      </c>
      <c r="H181" s="98" t="s">
        <v>142</v>
      </c>
      <c r="I181" s="101" t="s">
        <v>268</v>
      </c>
    </row>
    <row r="182" spans="1:9" s="59" customFormat="1" ht="15.75" thickBot="1">
      <c r="A182" s="98" t="s">
        <v>138</v>
      </c>
      <c r="B182" s="97" t="s">
        <v>121</v>
      </c>
      <c r="C182" s="98" t="s">
        <v>122</v>
      </c>
      <c r="D182" s="99">
        <v>43279</v>
      </c>
      <c r="E182" s="100">
        <v>22</v>
      </c>
      <c r="F182" s="98" t="s">
        <v>121</v>
      </c>
      <c r="G182" s="98" t="s">
        <v>138</v>
      </c>
      <c r="H182" s="98" t="s">
        <v>142</v>
      </c>
      <c r="I182" s="101" t="s">
        <v>267</v>
      </c>
    </row>
    <row r="183" spans="1:9">
      <c r="A183" s="47" t="s">
        <v>138</v>
      </c>
      <c r="B183" s="47" t="s">
        <v>299</v>
      </c>
      <c r="C183" s="50" t="s">
        <v>270</v>
      </c>
      <c r="D183" s="90">
        <v>43363</v>
      </c>
      <c r="E183" s="83">
        <v>38</v>
      </c>
      <c r="F183" s="47" t="s">
        <v>123</v>
      </c>
      <c r="G183" s="47" t="s">
        <v>138</v>
      </c>
      <c r="H183" s="47" t="s">
        <v>140</v>
      </c>
      <c r="I183" s="55" t="s">
        <v>294</v>
      </c>
    </row>
    <row r="184" spans="1:9" s="59" customFormat="1">
      <c r="A184" s="47" t="s">
        <v>143</v>
      </c>
      <c r="B184" s="47" t="s">
        <v>299</v>
      </c>
      <c r="C184" s="50" t="s">
        <v>270</v>
      </c>
      <c r="D184" s="90">
        <v>43363</v>
      </c>
      <c r="E184" s="83">
        <v>38</v>
      </c>
      <c r="F184" s="47" t="s">
        <v>123</v>
      </c>
      <c r="G184" s="47" t="s">
        <v>153</v>
      </c>
      <c r="H184" s="47" t="s">
        <v>140</v>
      </c>
      <c r="I184" s="55" t="s">
        <v>293</v>
      </c>
    </row>
    <row r="185" spans="1:9">
      <c r="A185" s="47" t="s">
        <v>296</v>
      </c>
      <c r="B185" s="47" t="s">
        <v>299</v>
      </c>
      <c r="C185" s="50" t="s">
        <v>270</v>
      </c>
      <c r="D185" s="90">
        <v>43390</v>
      </c>
      <c r="E185" s="83">
        <v>42</v>
      </c>
      <c r="F185" s="47" t="s">
        <v>317</v>
      </c>
      <c r="G185" s="47" t="s">
        <v>327</v>
      </c>
      <c r="H185" s="47" t="s">
        <v>140</v>
      </c>
      <c r="I185" s="55" t="s">
        <v>297</v>
      </c>
    </row>
    <row r="186" spans="1:9">
      <c r="A186" s="47" t="s">
        <v>326</v>
      </c>
      <c r="B186" s="47" t="s">
        <v>299</v>
      </c>
      <c r="C186" s="50" t="s">
        <v>270</v>
      </c>
      <c r="D186" s="90">
        <v>43390</v>
      </c>
      <c r="E186" s="83">
        <v>42</v>
      </c>
      <c r="F186" s="47" t="s">
        <v>299</v>
      </c>
      <c r="G186" s="47" t="s">
        <v>327</v>
      </c>
      <c r="H186" s="47" t="s">
        <v>140</v>
      </c>
      <c r="I186" s="55" t="s">
        <v>298</v>
      </c>
    </row>
    <row r="187" spans="1:9">
      <c r="A187" s="47" t="s">
        <v>141</v>
      </c>
      <c r="B187" s="47" t="s">
        <v>269</v>
      </c>
      <c r="C187" s="50" t="s">
        <v>270</v>
      </c>
      <c r="D187" s="90">
        <v>43404</v>
      </c>
      <c r="F187" s="47" t="s">
        <v>269</v>
      </c>
      <c r="G187" s="47" t="s">
        <v>152</v>
      </c>
      <c r="H187" s="47" t="s">
        <v>142</v>
      </c>
      <c r="I187" s="55" t="s">
        <v>312</v>
      </c>
    </row>
    <row r="188" spans="1:9" s="59" customFormat="1">
      <c r="A188" s="47" t="s">
        <v>148</v>
      </c>
      <c r="B188" s="47" t="s">
        <v>269</v>
      </c>
      <c r="C188" s="50" t="s">
        <v>270</v>
      </c>
      <c r="D188" s="90">
        <v>43404</v>
      </c>
      <c r="E188" s="83"/>
      <c r="F188" s="47" t="s">
        <v>269</v>
      </c>
      <c r="G188" s="47" t="s">
        <v>313</v>
      </c>
      <c r="H188" s="47" t="s">
        <v>142</v>
      </c>
      <c r="I188" s="55" t="s">
        <v>312</v>
      </c>
    </row>
    <row r="189" spans="1:9" s="59" customFormat="1">
      <c r="A189" s="47" t="s">
        <v>141</v>
      </c>
      <c r="B189" s="47" t="s">
        <v>269</v>
      </c>
      <c r="C189" s="50" t="s">
        <v>270</v>
      </c>
      <c r="D189" s="90">
        <v>43404</v>
      </c>
      <c r="E189" s="83"/>
      <c r="F189" s="47" t="s">
        <v>269</v>
      </c>
      <c r="G189" s="47" t="s">
        <v>152</v>
      </c>
      <c r="H189" s="47" t="s">
        <v>140</v>
      </c>
      <c r="I189" s="55" t="s">
        <v>315</v>
      </c>
    </row>
    <row r="190" spans="1:9" s="59" customFormat="1">
      <c r="A190" s="47" t="s">
        <v>143</v>
      </c>
      <c r="B190" s="47" t="s">
        <v>316</v>
      </c>
      <c r="C190" s="50" t="s">
        <v>270</v>
      </c>
      <c r="D190" s="90">
        <v>43404</v>
      </c>
      <c r="E190" s="83"/>
      <c r="F190" s="47" t="s">
        <v>317</v>
      </c>
      <c r="G190" s="47" t="s">
        <v>153</v>
      </c>
      <c r="H190" s="47" t="s">
        <v>140</v>
      </c>
      <c r="I190" s="55" t="s">
        <v>318</v>
      </c>
    </row>
    <row r="191" spans="1:9" s="59" customFormat="1">
      <c r="A191" s="47" t="s">
        <v>144</v>
      </c>
      <c r="B191" s="47" t="s">
        <v>121</v>
      </c>
      <c r="C191" s="50" t="s">
        <v>270</v>
      </c>
      <c r="D191" s="90">
        <v>43404</v>
      </c>
      <c r="E191" s="83"/>
      <c r="F191" s="47" t="s">
        <v>121</v>
      </c>
      <c r="G191" s="47" t="s">
        <v>154</v>
      </c>
      <c r="H191" s="47" t="s">
        <v>140</v>
      </c>
      <c r="I191" s="55" t="s">
        <v>319</v>
      </c>
    </row>
    <row r="192" spans="1:9" s="59" customFormat="1">
      <c r="A192" s="47" t="s">
        <v>145</v>
      </c>
      <c r="B192" s="47" t="s">
        <v>316</v>
      </c>
      <c r="C192" s="50" t="s">
        <v>270</v>
      </c>
      <c r="D192" s="90">
        <v>43404</v>
      </c>
      <c r="E192" s="83"/>
      <c r="F192" s="47" t="s">
        <v>317</v>
      </c>
      <c r="G192" s="47" t="s">
        <v>155</v>
      </c>
      <c r="H192" s="47" t="s">
        <v>140</v>
      </c>
      <c r="I192" s="55" t="s">
        <v>320</v>
      </c>
    </row>
    <row r="193" spans="1:9" s="59" customFormat="1">
      <c r="A193" s="47" t="s">
        <v>146</v>
      </c>
      <c r="B193" s="47" t="s">
        <v>316</v>
      </c>
      <c r="C193" s="50" t="s">
        <v>270</v>
      </c>
      <c r="D193" s="90">
        <v>43404</v>
      </c>
      <c r="E193" s="83"/>
      <c r="F193" s="47" t="s">
        <v>317</v>
      </c>
      <c r="G193" s="47" t="s">
        <v>321</v>
      </c>
      <c r="H193" s="47" t="s">
        <v>140</v>
      </c>
      <c r="I193" s="55" t="s">
        <v>320</v>
      </c>
    </row>
    <row r="194" spans="1:9" s="59" customFormat="1">
      <c r="A194" s="47" t="s">
        <v>322</v>
      </c>
      <c r="B194" s="47" t="s">
        <v>316</v>
      </c>
      <c r="C194" s="50" t="s">
        <v>270</v>
      </c>
      <c r="D194" s="90">
        <v>43404</v>
      </c>
      <c r="E194" s="83"/>
      <c r="F194" s="47" t="s">
        <v>317</v>
      </c>
      <c r="G194" s="47" t="s">
        <v>327</v>
      </c>
      <c r="H194" s="47" t="s">
        <v>140</v>
      </c>
      <c r="I194" s="55" t="s">
        <v>331</v>
      </c>
    </row>
    <row r="195" spans="1:9" s="59" customFormat="1">
      <c r="A195" s="47" t="s">
        <v>147</v>
      </c>
      <c r="B195" s="47" t="s">
        <v>301</v>
      </c>
      <c r="C195" s="50" t="s">
        <v>270</v>
      </c>
      <c r="D195" s="90">
        <v>43404</v>
      </c>
      <c r="E195" s="83"/>
      <c r="F195" s="47" t="s">
        <v>24</v>
      </c>
      <c r="G195" s="47" t="s">
        <v>157</v>
      </c>
      <c r="H195" s="47" t="s">
        <v>140</v>
      </c>
      <c r="I195" s="55" t="s">
        <v>323</v>
      </c>
    </row>
    <row r="196" spans="1:9" s="59" customFormat="1">
      <c r="A196" s="47" t="s">
        <v>148</v>
      </c>
      <c r="B196" s="47" t="s">
        <v>269</v>
      </c>
      <c r="C196" s="50" t="s">
        <v>270</v>
      </c>
      <c r="D196" s="90">
        <v>43404</v>
      </c>
      <c r="E196" s="83"/>
      <c r="F196" s="47" t="s">
        <v>269</v>
      </c>
      <c r="G196" s="47" t="s">
        <v>313</v>
      </c>
      <c r="H196" s="47" t="s">
        <v>140</v>
      </c>
      <c r="I196" s="55" t="s">
        <v>324</v>
      </c>
    </row>
    <row r="197" spans="1:9" s="59" customFormat="1">
      <c r="A197" s="47" t="s">
        <v>143</v>
      </c>
      <c r="B197" s="47" t="s">
        <v>316</v>
      </c>
      <c r="C197" s="50" t="s">
        <v>270</v>
      </c>
      <c r="D197" s="90">
        <v>43410</v>
      </c>
      <c r="E197" s="83"/>
      <c r="F197" s="47" t="s">
        <v>317</v>
      </c>
      <c r="G197" s="47" t="s">
        <v>153</v>
      </c>
      <c r="H197" s="47" t="s">
        <v>140</v>
      </c>
      <c r="I197" s="55" t="s">
        <v>329</v>
      </c>
    </row>
    <row r="198" spans="1:9" s="59" customFormat="1">
      <c r="A198" s="47" t="s">
        <v>144</v>
      </c>
      <c r="B198" s="47" t="s">
        <v>121</v>
      </c>
      <c r="C198" s="50" t="s">
        <v>270</v>
      </c>
      <c r="D198" s="90">
        <v>43410</v>
      </c>
      <c r="E198" s="83"/>
      <c r="F198" s="47" t="s">
        <v>121</v>
      </c>
      <c r="G198" s="47" t="s">
        <v>154</v>
      </c>
      <c r="H198" s="47" t="s">
        <v>140</v>
      </c>
      <c r="I198" s="55" t="s">
        <v>330</v>
      </c>
    </row>
    <row r="199" spans="1:9">
      <c r="A199" s="47" t="s">
        <v>147</v>
      </c>
      <c r="B199" s="47" t="s">
        <v>301</v>
      </c>
      <c r="C199" s="50" t="s">
        <v>270</v>
      </c>
      <c r="D199" s="90">
        <v>43410</v>
      </c>
      <c r="F199" s="47" t="s">
        <v>123</v>
      </c>
      <c r="G199" s="47" t="s">
        <v>157</v>
      </c>
      <c r="H199" s="47" t="s">
        <v>140</v>
      </c>
      <c r="I199" s="55" t="s">
        <v>325</v>
      </c>
    </row>
    <row r="200" spans="1:9" s="59" customFormat="1">
      <c r="A200" s="47" t="s">
        <v>148</v>
      </c>
      <c r="B200" s="47" t="s">
        <v>269</v>
      </c>
      <c r="C200" s="50" t="s">
        <v>270</v>
      </c>
      <c r="D200" s="90">
        <v>43410</v>
      </c>
      <c r="E200" s="83"/>
      <c r="F200" s="47" t="s">
        <v>269</v>
      </c>
      <c r="G200" s="47" t="s">
        <v>313</v>
      </c>
      <c r="H200" s="47" t="s">
        <v>140</v>
      </c>
      <c r="I200" s="55" t="s">
        <v>328</v>
      </c>
    </row>
    <row r="201" spans="1:9" s="59" customFormat="1">
      <c r="A201" s="47" t="s">
        <v>141</v>
      </c>
      <c r="B201" s="47" t="s">
        <v>269</v>
      </c>
      <c r="C201" s="50" t="s">
        <v>270</v>
      </c>
      <c r="D201" s="90">
        <v>43417</v>
      </c>
      <c r="E201" s="83"/>
      <c r="F201" s="47" t="s">
        <v>269</v>
      </c>
      <c r="G201" s="47" t="s">
        <v>152</v>
      </c>
      <c r="H201" s="47" t="s">
        <v>142</v>
      </c>
      <c r="I201" s="55" t="s">
        <v>332</v>
      </c>
    </row>
    <row r="202" spans="1:9" s="59" customFormat="1">
      <c r="A202" s="47" t="s">
        <v>144</v>
      </c>
      <c r="B202" s="47" t="s">
        <v>121</v>
      </c>
      <c r="C202" s="50" t="s">
        <v>270</v>
      </c>
      <c r="D202" s="90">
        <v>43417</v>
      </c>
      <c r="E202" s="83"/>
      <c r="F202" s="47" t="s">
        <v>121</v>
      </c>
      <c r="G202" s="47" t="s">
        <v>154</v>
      </c>
      <c r="H202" s="47" t="s">
        <v>142</v>
      </c>
      <c r="I202" s="55" t="s">
        <v>333</v>
      </c>
    </row>
    <row r="203" spans="1:9" s="59" customFormat="1">
      <c r="A203" s="47" t="s">
        <v>148</v>
      </c>
      <c r="B203" s="47" t="s">
        <v>269</v>
      </c>
      <c r="C203" s="50" t="s">
        <v>270</v>
      </c>
      <c r="D203" s="90">
        <v>43417</v>
      </c>
      <c r="E203" s="83"/>
      <c r="F203" s="47" t="s">
        <v>269</v>
      </c>
      <c r="G203" s="47" t="s">
        <v>313</v>
      </c>
      <c r="H203" s="47" t="s">
        <v>142</v>
      </c>
      <c r="I203" s="55" t="s">
        <v>332</v>
      </c>
    </row>
    <row r="204" spans="1:9" s="59" customFormat="1">
      <c r="A204" s="47" t="s">
        <v>141</v>
      </c>
      <c r="B204" s="47" t="s">
        <v>269</v>
      </c>
      <c r="C204" s="50" t="s">
        <v>270</v>
      </c>
      <c r="D204" s="90">
        <v>43417</v>
      </c>
      <c r="E204" s="83"/>
      <c r="F204" s="47" t="s">
        <v>269</v>
      </c>
      <c r="G204" s="47" t="s">
        <v>152</v>
      </c>
      <c r="H204" s="47" t="s">
        <v>140</v>
      </c>
      <c r="I204" s="55" t="s">
        <v>337</v>
      </c>
    </row>
    <row r="205" spans="1:9" s="59" customFormat="1">
      <c r="A205" s="47" t="s">
        <v>141</v>
      </c>
      <c r="B205" s="47" t="s">
        <v>269</v>
      </c>
      <c r="C205" s="50" t="s">
        <v>270</v>
      </c>
      <c r="D205" s="90">
        <v>43427</v>
      </c>
      <c r="E205" s="83"/>
      <c r="F205" s="47" t="s">
        <v>269</v>
      </c>
      <c r="G205" s="47" t="s">
        <v>152</v>
      </c>
      <c r="H205" s="47" t="s">
        <v>142</v>
      </c>
      <c r="I205" s="55" t="s">
        <v>334</v>
      </c>
    </row>
    <row r="206" spans="1:9" s="59" customFormat="1">
      <c r="A206" s="47" t="s">
        <v>144</v>
      </c>
      <c r="B206" s="47" t="s">
        <v>121</v>
      </c>
      <c r="C206" s="50" t="s">
        <v>270</v>
      </c>
      <c r="D206" s="90">
        <v>43427</v>
      </c>
      <c r="E206" s="83"/>
      <c r="F206" s="47" t="s">
        <v>121</v>
      </c>
      <c r="G206" s="47" t="s">
        <v>154</v>
      </c>
      <c r="H206" s="47" t="s">
        <v>142</v>
      </c>
      <c r="I206" s="55" t="s">
        <v>335</v>
      </c>
    </row>
    <row r="207" spans="1:9" s="59" customFormat="1">
      <c r="A207" s="47" t="s">
        <v>148</v>
      </c>
      <c r="B207" s="47" t="s">
        <v>269</v>
      </c>
      <c r="C207" s="50" t="s">
        <v>270</v>
      </c>
      <c r="D207" s="90">
        <v>43427</v>
      </c>
      <c r="E207" s="83"/>
      <c r="F207" s="47" t="s">
        <v>269</v>
      </c>
      <c r="G207" s="47" t="s">
        <v>313</v>
      </c>
      <c r="H207" s="47" t="s">
        <v>142</v>
      </c>
      <c r="I207" s="55" t="s">
        <v>334</v>
      </c>
    </row>
    <row r="208" spans="1:9">
      <c r="A208" s="47" t="s">
        <v>147</v>
      </c>
      <c r="B208" s="47" t="s">
        <v>301</v>
      </c>
      <c r="C208" s="50" t="s">
        <v>270</v>
      </c>
      <c r="D208" s="90">
        <v>43439</v>
      </c>
      <c r="F208" s="47" t="s">
        <v>301</v>
      </c>
      <c r="G208" s="47" t="s">
        <v>157</v>
      </c>
      <c r="H208" s="47" t="s">
        <v>142</v>
      </c>
      <c r="I208" s="55" t="s">
        <v>332</v>
      </c>
    </row>
    <row r="209" spans="1:9" s="59" customFormat="1">
      <c r="A209" s="47" t="s">
        <v>144</v>
      </c>
      <c r="B209" s="47" t="s">
        <v>121</v>
      </c>
      <c r="C209" s="50" t="s">
        <v>270</v>
      </c>
      <c r="D209" s="90">
        <v>43441</v>
      </c>
      <c r="E209" s="83"/>
      <c r="F209" s="47" t="s">
        <v>121</v>
      </c>
      <c r="G209" s="47" t="s">
        <v>154</v>
      </c>
      <c r="H209" s="47" t="s">
        <v>140</v>
      </c>
      <c r="I209" s="55" t="s">
        <v>356</v>
      </c>
    </row>
    <row r="210" spans="1:9">
      <c r="A210" s="47" t="s">
        <v>148</v>
      </c>
      <c r="B210" s="47" t="s">
        <v>269</v>
      </c>
      <c r="C210" s="50" t="s">
        <v>270</v>
      </c>
      <c r="D210" s="90">
        <v>43454</v>
      </c>
      <c r="F210" s="47" t="s">
        <v>269</v>
      </c>
      <c r="G210" s="47" t="s">
        <v>313</v>
      </c>
      <c r="H210" s="47" t="s">
        <v>507</v>
      </c>
      <c r="I210" s="55" t="s">
        <v>357</v>
      </c>
    </row>
    <row r="211" spans="1:9">
      <c r="A211" s="47" t="s">
        <v>141</v>
      </c>
      <c r="B211" s="47" t="s">
        <v>269</v>
      </c>
      <c r="C211" s="50" t="s">
        <v>270</v>
      </c>
      <c r="D211" s="90">
        <v>43468</v>
      </c>
      <c r="F211" s="47" t="s">
        <v>269</v>
      </c>
      <c r="G211" s="47" t="s">
        <v>152</v>
      </c>
      <c r="H211" s="47" t="s">
        <v>140</v>
      </c>
      <c r="I211" s="55" t="s">
        <v>385</v>
      </c>
    </row>
    <row r="212" spans="1:9">
      <c r="A212" s="47" t="s">
        <v>147</v>
      </c>
      <c r="B212" s="47" t="s">
        <v>301</v>
      </c>
      <c r="C212" s="50" t="s">
        <v>270</v>
      </c>
      <c r="D212" s="90">
        <v>43468</v>
      </c>
      <c r="F212" s="47" t="s">
        <v>301</v>
      </c>
      <c r="G212" s="47" t="s">
        <v>157</v>
      </c>
      <c r="H212" s="47" t="s">
        <v>507</v>
      </c>
      <c r="I212" s="55" t="s">
        <v>386</v>
      </c>
    </row>
    <row r="213" spans="1:9">
      <c r="A213" s="47" t="s">
        <v>148</v>
      </c>
      <c r="B213" s="47" t="s">
        <v>269</v>
      </c>
      <c r="C213" s="50" t="s">
        <v>270</v>
      </c>
      <c r="D213" s="90">
        <v>43468</v>
      </c>
      <c r="F213" s="47" t="s">
        <v>269</v>
      </c>
      <c r="G213" s="47" t="s">
        <v>313</v>
      </c>
      <c r="H213" s="47" t="s">
        <v>140</v>
      </c>
      <c r="I213" s="55" t="s">
        <v>387</v>
      </c>
    </row>
    <row r="214" spans="1:9">
      <c r="A214" s="47" t="s">
        <v>388</v>
      </c>
      <c r="B214" s="47" t="s">
        <v>299</v>
      </c>
      <c r="C214" s="50" t="s">
        <v>270</v>
      </c>
      <c r="D214" s="90">
        <v>43468</v>
      </c>
      <c r="F214" s="47" t="s">
        <v>299</v>
      </c>
      <c r="G214" s="47" t="s">
        <v>389</v>
      </c>
      <c r="H214" s="47" t="s">
        <v>507</v>
      </c>
      <c r="I214" s="55" t="s">
        <v>390</v>
      </c>
    </row>
    <row r="215" spans="1:9" s="59" customFormat="1">
      <c r="A215" s="47" t="s">
        <v>141</v>
      </c>
      <c r="B215" s="47" t="s">
        <v>269</v>
      </c>
      <c r="C215" s="50" t="s">
        <v>270</v>
      </c>
      <c r="D215" s="90">
        <v>43482</v>
      </c>
      <c r="E215" s="83"/>
      <c r="F215" s="47" t="s">
        <v>269</v>
      </c>
      <c r="G215" s="47" t="s">
        <v>152</v>
      </c>
      <c r="H215" s="47" t="s">
        <v>142</v>
      </c>
      <c r="I215" s="55" t="s">
        <v>391</v>
      </c>
    </row>
    <row r="216" spans="1:9" s="59" customFormat="1">
      <c r="A216" s="47" t="s">
        <v>144</v>
      </c>
      <c r="B216" s="47" t="s">
        <v>121</v>
      </c>
      <c r="C216" s="50" t="s">
        <v>270</v>
      </c>
      <c r="D216" s="90">
        <v>43482</v>
      </c>
      <c r="E216" s="83"/>
      <c r="F216" s="47" t="s">
        <v>121</v>
      </c>
      <c r="G216" s="47" t="s">
        <v>154</v>
      </c>
      <c r="H216" s="47" t="s">
        <v>142</v>
      </c>
      <c r="I216" s="55" t="s">
        <v>391</v>
      </c>
    </row>
    <row r="217" spans="1:9" s="59" customFormat="1">
      <c r="A217" s="47" t="s">
        <v>148</v>
      </c>
      <c r="B217" s="47" t="s">
        <v>269</v>
      </c>
      <c r="C217" s="50" t="s">
        <v>270</v>
      </c>
      <c r="D217" s="90">
        <v>43482</v>
      </c>
      <c r="E217" s="83"/>
      <c r="F217" s="47" t="s">
        <v>269</v>
      </c>
      <c r="G217" s="47" t="s">
        <v>313</v>
      </c>
      <c r="H217" s="47" t="s">
        <v>142</v>
      </c>
      <c r="I217" s="55" t="s">
        <v>393</v>
      </c>
    </row>
    <row r="218" spans="1:9" s="59" customFormat="1">
      <c r="A218" s="47" t="s">
        <v>147</v>
      </c>
      <c r="B218" s="47" t="s">
        <v>301</v>
      </c>
      <c r="C218" s="50" t="s">
        <v>270</v>
      </c>
      <c r="D218" s="90">
        <v>43482</v>
      </c>
      <c r="E218" s="83"/>
      <c r="F218" s="47" t="s">
        <v>301</v>
      </c>
      <c r="G218" s="47" t="s">
        <v>157</v>
      </c>
      <c r="H218" s="47" t="s">
        <v>142</v>
      </c>
      <c r="I218" s="55" t="s">
        <v>392</v>
      </c>
    </row>
    <row r="219" spans="1:9" s="59" customFormat="1">
      <c r="A219" s="47" t="s">
        <v>144</v>
      </c>
      <c r="B219" s="47" t="s">
        <v>121</v>
      </c>
      <c r="C219" s="50" t="s">
        <v>270</v>
      </c>
      <c r="D219" s="90">
        <v>43482</v>
      </c>
      <c r="E219" s="83"/>
      <c r="F219" s="47" t="s">
        <v>121</v>
      </c>
      <c r="G219" s="47" t="s">
        <v>154</v>
      </c>
      <c r="H219" s="47" t="s">
        <v>140</v>
      </c>
      <c r="I219" s="55" t="s">
        <v>552</v>
      </c>
    </row>
    <row r="220" spans="1:9" s="59" customFormat="1">
      <c r="A220" s="47" t="s">
        <v>138</v>
      </c>
      <c r="B220" s="47" t="s">
        <v>299</v>
      </c>
      <c r="C220" s="50" t="s">
        <v>270</v>
      </c>
      <c r="D220" s="90">
        <v>43482</v>
      </c>
      <c r="E220" s="83"/>
      <c r="F220" s="47" t="s">
        <v>299</v>
      </c>
      <c r="G220" s="47" t="s">
        <v>138</v>
      </c>
      <c r="H220" s="47" t="s">
        <v>140</v>
      </c>
      <c r="I220" s="55" t="s">
        <v>394</v>
      </c>
    </row>
    <row r="221" spans="1:9">
      <c r="A221" s="47" t="s">
        <v>143</v>
      </c>
      <c r="B221" s="47" t="s">
        <v>316</v>
      </c>
      <c r="C221" s="50" t="s">
        <v>270</v>
      </c>
      <c r="D221" s="90">
        <v>43482</v>
      </c>
      <c r="F221" s="47" t="s">
        <v>317</v>
      </c>
      <c r="G221" s="47" t="s">
        <v>153</v>
      </c>
      <c r="H221" s="47" t="s">
        <v>140</v>
      </c>
      <c r="I221" s="55" t="s">
        <v>395</v>
      </c>
    </row>
    <row r="222" spans="1:9">
      <c r="A222" s="47" t="s">
        <v>145</v>
      </c>
      <c r="B222" s="47" t="s">
        <v>316</v>
      </c>
      <c r="C222" s="50" t="s">
        <v>270</v>
      </c>
      <c r="D222" s="90">
        <v>43482</v>
      </c>
      <c r="F222" s="47" t="s">
        <v>317</v>
      </c>
      <c r="G222" s="47" t="s">
        <v>155</v>
      </c>
      <c r="H222" s="47" t="s">
        <v>140</v>
      </c>
      <c r="I222" s="55" t="s">
        <v>395</v>
      </c>
    </row>
    <row r="223" spans="1:9">
      <c r="A223" s="47" t="s">
        <v>146</v>
      </c>
      <c r="B223" s="47" t="s">
        <v>316</v>
      </c>
      <c r="C223" s="50" t="s">
        <v>270</v>
      </c>
      <c r="D223" s="90">
        <v>43482</v>
      </c>
      <c r="F223" s="47" t="s">
        <v>317</v>
      </c>
      <c r="G223" s="47" t="s">
        <v>156</v>
      </c>
      <c r="H223" s="47" t="s">
        <v>140</v>
      </c>
      <c r="I223" s="55" t="s">
        <v>395</v>
      </c>
    </row>
    <row r="224" spans="1:9" s="59" customFormat="1">
      <c r="A224" s="47" t="s">
        <v>141</v>
      </c>
      <c r="B224" s="47" t="s">
        <v>269</v>
      </c>
      <c r="C224" s="50" t="s">
        <v>270</v>
      </c>
      <c r="D224" s="90">
        <v>43508</v>
      </c>
      <c r="E224" s="83"/>
      <c r="F224" s="47" t="s">
        <v>269</v>
      </c>
      <c r="G224" s="47" t="s">
        <v>152</v>
      </c>
      <c r="H224" s="47" t="s">
        <v>142</v>
      </c>
      <c r="I224" s="55" t="s">
        <v>396</v>
      </c>
    </row>
    <row r="225" spans="1:9" s="59" customFormat="1">
      <c r="A225" s="47" t="s">
        <v>144</v>
      </c>
      <c r="B225" s="47" t="s">
        <v>121</v>
      </c>
      <c r="C225" s="50" t="s">
        <v>270</v>
      </c>
      <c r="D225" s="90">
        <v>43508</v>
      </c>
      <c r="E225" s="83"/>
      <c r="F225" s="47" t="s">
        <v>121</v>
      </c>
      <c r="G225" s="47" t="s">
        <v>154</v>
      </c>
      <c r="H225" s="47" t="s">
        <v>142</v>
      </c>
      <c r="I225" s="55" t="s">
        <v>393</v>
      </c>
    </row>
    <row r="226" spans="1:9" s="59" customFormat="1">
      <c r="A226" s="47" t="s">
        <v>148</v>
      </c>
      <c r="B226" s="47" t="s">
        <v>269</v>
      </c>
      <c r="C226" s="50" t="s">
        <v>270</v>
      </c>
      <c r="D226" s="90">
        <v>43508</v>
      </c>
      <c r="E226" s="83"/>
      <c r="F226" s="47" t="s">
        <v>269</v>
      </c>
      <c r="G226" s="47" t="s">
        <v>313</v>
      </c>
      <c r="H226" s="47" t="s">
        <v>142</v>
      </c>
      <c r="I226" s="55" t="s">
        <v>397</v>
      </c>
    </row>
    <row r="227" spans="1:9" s="59" customFormat="1">
      <c r="A227" s="47" t="s">
        <v>147</v>
      </c>
      <c r="B227" s="47" t="s">
        <v>301</v>
      </c>
      <c r="C227" s="50" t="s">
        <v>270</v>
      </c>
      <c r="D227" s="90">
        <v>43508</v>
      </c>
      <c r="E227" s="83"/>
      <c r="F227" s="47" t="s">
        <v>301</v>
      </c>
      <c r="G227" s="47" t="s">
        <v>157</v>
      </c>
      <c r="H227" s="47" t="s">
        <v>142</v>
      </c>
      <c r="I227" s="55" t="s">
        <v>396</v>
      </c>
    </row>
    <row r="228" spans="1:9" s="59" customFormat="1">
      <c r="A228" s="47" t="s">
        <v>143</v>
      </c>
      <c r="B228" s="47" t="s">
        <v>316</v>
      </c>
      <c r="C228" s="50" t="s">
        <v>270</v>
      </c>
      <c r="D228" s="90">
        <v>43508</v>
      </c>
      <c r="E228" s="83"/>
      <c r="F228" s="47" t="s">
        <v>317</v>
      </c>
      <c r="G228" s="47" t="s">
        <v>153</v>
      </c>
      <c r="H228" s="47" t="s">
        <v>140</v>
      </c>
      <c r="I228" s="55" t="s">
        <v>398</v>
      </c>
    </row>
    <row r="229" spans="1:9" s="59" customFormat="1">
      <c r="A229" s="47" t="s">
        <v>145</v>
      </c>
      <c r="B229" s="47" t="s">
        <v>316</v>
      </c>
      <c r="C229" s="50" t="s">
        <v>270</v>
      </c>
      <c r="D229" s="90">
        <v>43508</v>
      </c>
      <c r="E229" s="83"/>
      <c r="F229" s="47" t="s">
        <v>317</v>
      </c>
      <c r="G229" s="47" t="s">
        <v>155</v>
      </c>
      <c r="H229" s="47" t="s">
        <v>140</v>
      </c>
      <c r="I229" s="55" t="s">
        <v>399</v>
      </c>
    </row>
    <row r="230" spans="1:9" s="59" customFormat="1">
      <c r="A230" s="47" t="s">
        <v>146</v>
      </c>
      <c r="B230" s="47" t="s">
        <v>316</v>
      </c>
      <c r="C230" s="50" t="s">
        <v>270</v>
      </c>
      <c r="D230" s="90">
        <v>43508</v>
      </c>
      <c r="E230" s="83"/>
      <c r="F230" s="47" t="s">
        <v>317</v>
      </c>
      <c r="G230" s="47" t="s">
        <v>156</v>
      </c>
      <c r="H230" s="47" t="s">
        <v>140</v>
      </c>
      <c r="I230" s="55" t="s">
        <v>399</v>
      </c>
    </row>
    <row r="231" spans="1:9">
      <c r="A231" s="47" t="s">
        <v>144</v>
      </c>
      <c r="B231" s="47" t="s">
        <v>121</v>
      </c>
      <c r="C231" s="50" t="s">
        <v>270</v>
      </c>
      <c r="D231" s="90">
        <v>43518</v>
      </c>
      <c r="F231" s="47" t="s">
        <v>121</v>
      </c>
      <c r="G231" s="47" t="s">
        <v>154</v>
      </c>
      <c r="H231" s="47" t="s">
        <v>140</v>
      </c>
      <c r="I231" s="55" t="s">
        <v>409</v>
      </c>
    </row>
    <row r="232" spans="1:9">
      <c r="A232" s="47" t="s">
        <v>148</v>
      </c>
      <c r="B232" s="47" t="s">
        <v>269</v>
      </c>
      <c r="C232" s="50" t="s">
        <v>270</v>
      </c>
      <c r="D232" s="90">
        <v>43521</v>
      </c>
      <c r="F232" s="47" t="s">
        <v>269</v>
      </c>
      <c r="G232" s="47" t="s">
        <v>313</v>
      </c>
      <c r="H232" s="47" t="s">
        <v>140</v>
      </c>
      <c r="I232" s="55" t="s">
        <v>410</v>
      </c>
    </row>
    <row r="233" spans="1:9" s="59" customFormat="1">
      <c r="A233" s="47" t="s">
        <v>141</v>
      </c>
      <c r="B233" s="47" t="s">
        <v>269</v>
      </c>
      <c r="C233" s="50" t="s">
        <v>270</v>
      </c>
      <c r="D233" s="90">
        <v>43523</v>
      </c>
      <c r="E233" s="83"/>
      <c r="F233" s="47" t="s">
        <v>269</v>
      </c>
      <c r="G233" s="47" t="s">
        <v>152</v>
      </c>
      <c r="H233" s="47" t="s">
        <v>142</v>
      </c>
      <c r="I233" s="55" t="s">
        <v>393</v>
      </c>
    </row>
    <row r="234" spans="1:9" s="59" customFormat="1">
      <c r="A234" s="47" t="s">
        <v>144</v>
      </c>
      <c r="B234" s="47" t="s">
        <v>121</v>
      </c>
      <c r="C234" s="50" t="s">
        <v>270</v>
      </c>
      <c r="D234" s="90">
        <v>43523</v>
      </c>
      <c r="E234" s="83"/>
      <c r="F234" s="47" t="s">
        <v>121</v>
      </c>
      <c r="G234" s="47" t="s">
        <v>154</v>
      </c>
      <c r="H234" s="47" t="s">
        <v>142</v>
      </c>
      <c r="I234" s="55" t="s">
        <v>397</v>
      </c>
    </row>
    <row r="235" spans="1:9" s="59" customFormat="1">
      <c r="A235" s="47" t="s">
        <v>148</v>
      </c>
      <c r="B235" s="47" t="s">
        <v>269</v>
      </c>
      <c r="C235" s="50" t="s">
        <v>270</v>
      </c>
      <c r="D235" s="90">
        <v>43523</v>
      </c>
      <c r="E235" s="83"/>
      <c r="F235" s="47" t="s">
        <v>269</v>
      </c>
      <c r="G235" s="47" t="s">
        <v>313</v>
      </c>
      <c r="H235" s="47" t="s">
        <v>142</v>
      </c>
      <c r="I235" s="55" t="s">
        <v>418</v>
      </c>
    </row>
    <row r="236" spans="1:9" s="59" customFormat="1">
      <c r="A236" s="47" t="s">
        <v>147</v>
      </c>
      <c r="B236" s="47" t="s">
        <v>301</v>
      </c>
      <c r="C236" s="50" t="s">
        <v>270</v>
      </c>
      <c r="D236" s="90">
        <v>43523</v>
      </c>
      <c r="E236" s="83"/>
      <c r="F236" s="47" t="s">
        <v>301</v>
      </c>
      <c r="G236" s="47" t="s">
        <v>157</v>
      </c>
      <c r="H236" s="47" t="s">
        <v>142</v>
      </c>
      <c r="I236" s="55" t="s">
        <v>397</v>
      </c>
    </row>
    <row r="237" spans="1:9" s="59" customFormat="1">
      <c r="A237" s="47" t="s">
        <v>419</v>
      </c>
      <c r="B237" s="47" t="s">
        <v>269</v>
      </c>
      <c r="C237" s="50" t="s">
        <v>270</v>
      </c>
      <c r="D237" s="90">
        <v>43523</v>
      </c>
      <c r="E237" s="83"/>
      <c r="F237" s="47" t="s">
        <v>269</v>
      </c>
      <c r="G237" s="47" t="s">
        <v>313</v>
      </c>
      <c r="H237" s="47" t="s">
        <v>140</v>
      </c>
      <c r="I237" s="55" t="s">
        <v>420</v>
      </c>
    </row>
    <row r="238" spans="1:9" s="59" customFormat="1">
      <c r="A238" s="47" t="s">
        <v>421</v>
      </c>
      <c r="B238" s="47" t="s">
        <v>316</v>
      </c>
      <c r="C238" s="50" t="s">
        <v>270</v>
      </c>
      <c r="D238" s="90">
        <v>43535</v>
      </c>
      <c r="E238" s="83"/>
      <c r="F238" s="47" t="s">
        <v>316</v>
      </c>
      <c r="G238" s="47" t="s">
        <v>153</v>
      </c>
      <c r="H238" s="47" t="s">
        <v>140</v>
      </c>
      <c r="I238" s="55" t="s">
        <v>430</v>
      </c>
    </row>
    <row r="239" spans="1:9" s="59" customFormat="1">
      <c r="A239" s="47" t="s">
        <v>141</v>
      </c>
      <c r="B239" s="47" t="s">
        <v>269</v>
      </c>
      <c r="C239" s="50" t="s">
        <v>270</v>
      </c>
      <c r="D239" s="90">
        <v>43537</v>
      </c>
      <c r="E239" s="83"/>
      <c r="F239" s="47" t="s">
        <v>269</v>
      </c>
      <c r="G239" s="47" t="s">
        <v>152</v>
      </c>
      <c r="H239" s="47" t="s">
        <v>142</v>
      </c>
      <c r="I239" s="55" t="s">
        <v>397</v>
      </c>
    </row>
    <row r="240" spans="1:9" s="59" customFormat="1">
      <c r="A240" s="47" t="s">
        <v>143</v>
      </c>
      <c r="B240" s="47" t="s">
        <v>316</v>
      </c>
      <c r="C240" s="50" t="s">
        <v>270</v>
      </c>
      <c r="D240" s="90">
        <v>43537</v>
      </c>
      <c r="E240" s="83"/>
      <c r="F240" s="47" t="s">
        <v>316</v>
      </c>
      <c r="G240" s="47" t="s">
        <v>153</v>
      </c>
      <c r="H240" s="47" t="s">
        <v>142</v>
      </c>
      <c r="I240" s="55" t="s">
        <v>422</v>
      </c>
    </row>
    <row r="241" spans="1:9" s="59" customFormat="1">
      <c r="A241" s="47" t="s">
        <v>144</v>
      </c>
      <c r="B241" s="47" t="s">
        <v>121</v>
      </c>
      <c r="C241" s="50" t="s">
        <v>270</v>
      </c>
      <c r="D241" s="90">
        <v>43537</v>
      </c>
      <c r="E241" s="83"/>
      <c r="F241" s="47" t="s">
        <v>121</v>
      </c>
      <c r="G241" s="47" t="s">
        <v>154</v>
      </c>
      <c r="H241" s="47" t="s">
        <v>142</v>
      </c>
      <c r="I241" s="55" t="s">
        <v>423</v>
      </c>
    </row>
    <row r="242" spans="1:9" s="59" customFormat="1">
      <c r="A242" s="47" t="s">
        <v>145</v>
      </c>
      <c r="B242" s="47" t="s">
        <v>316</v>
      </c>
      <c r="C242" s="50" t="s">
        <v>270</v>
      </c>
      <c r="D242" s="90">
        <v>43537</v>
      </c>
      <c r="E242" s="83"/>
      <c r="F242" s="47" t="s">
        <v>316</v>
      </c>
      <c r="G242" s="47" t="s">
        <v>155</v>
      </c>
      <c r="H242" s="47" t="s">
        <v>142</v>
      </c>
      <c r="I242" s="55" t="s">
        <v>422</v>
      </c>
    </row>
    <row r="243" spans="1:9" s="59" customFormat="1">
      <c r="A243" s="47" t="s">
        <v>146</v>
      </c>
      <c r="B243" s="47" t="s">
        <v>316</v>
      </c>
      <c r="C243" s="50" t="s">
        <v>270</v>
      </c>
      <c r="D243" s="90">
        <v>43537</v>
      </c>
      <c r="E243" s="83"/>
      <c r="F243" s="47" t="s">
        <v>316</v>
      </c>
      <c r="G243" s="47" t="s">
        <v>156</v>
      </c>
      <c r="H243" s="47" t="s">
        <v>142</v>
      </c>
      <c r="I243" s="55" t="s">
        <v>422</v>
      </c>
    </row>
    <row r="244" spans="1:9" s="59" customFormat="1">
      <c r="A244" s="47" t="s">
        <v>147</v>
      </c>
      <c r="B244" s="47" t="s">
        <v>301</v>
      </c>
      <c r="C244" s="50" t="s">
        <v>270</v>
      </c>
      <c r="D244" s="90">
        <v>43537</v>
      </c>
      <c r="E244" s="83"/>
      <c r="F244" s="47" t="s">
        <v>301</v>
      </c>
      <c r="G244" s="47" t="s">
        <v>157</v>
      </c>
      <c r="H244" s="47" t="s">
        <v>142</v>
      </c>
      <c r="I244" s="55" t="s">
        <v>418</v>
      </c>
    </row>
    <row r="245" spans="1:9" s="59" customFormat="1">
      <c r="A245" s="47" t="s">
        <v>148</v>
      </c>
      <c r="B245" s="47" t="s">
        <v>269</v>
      </c>
      <c r="C245" s="50" t="s">
        <v>270</v>
      </c>
      <c r="D245" s="90">
        <v>43537</v>
      </c>
      <c r="E245" s="83"/>
      <c r="F245" s="47" t="s">
        <v>269</v>
      </c>
      <c r="G245" s="47" t="s">
        <v>313</v>
      </c>
      <c r="H245" s="47" t="s">
        <v>142</v>
      </c>
      <c r="I245" s="55" t="s">
        <v>424</v>
      </c>
    </row>
    <row r="246" spans="1:9" s="59" customFormat="1">
      <c r="A246" s="47" t="s">
        <v>147</v>
      </c>
      <c r="B246" s="47" t="s">
        <v>301</v>
      </c>
      <c r="C246" s="50" t="s">
        <v>270</v>
      </c>
      <c r="D246" s="90">
        <v>43537</v>
      </c>
      <c r="E246" s="83"/>
      <c r="F246" s="47" t="s">
        <v>301</v>
      </c>
      <c r="G246" s="47" t="s">
        <v>157</v>
      </c>
      <c r="H246" s="47" t="s">
        <v>140</v>
      </c>
      <c r="I246" s="55" t="s">
        <v>425</v>
      </c>
    </row>
    <row r="247" spans="1:9" s="59" customFormat="1">
      <c r="A247" s="47" t="s">
        <v>148</v>
      </c>
      <c r="B247" s="47" t="s">
        <v>269</v>
      </c>
      <c r="C247" s="50" t="s">
        <v>270</v>
      </c>
      <c r="D247" s="90">
        <v>43537</v>
      </c>
      <c r="E247" s="83"/>
      <c r="F247" s="47" t="s">
        <v>269</v>
      </c>
      <c r="G247" s="47" t="s">
        <v>313</v>
      </c>
      <c r="H247" s="47" t="s">
        <v>140</v>
      </c>
      <c r="I247" s="55" t="s">
        <v>426</v>
      </c>
    </row>
    <row r="248" spans="1:9" s="59" customFormat="1">
      <c r="A248" s="47" t="s">
        <v>141</v>
      </c>
      <c r="B248" s="47" t="s">
        <v>269</v>
      </c>
      <c r="C248" s="50" t="s">
        <v>270</v>
      </c>
      <c r="D248" s="90">
        <v>43539</v>
      </c>
      <c r="E248" s="83"/>
      <c r="F248" s="47" t="s">
        <v>269</v>
      </c>
      <c r="G248" s="47" t="s">
        <v>152</v>
      </c>
      <c r="H248" s="47" t="s">
        <v>140</v>
      </c>
      <c r="I248" s="55" t="s">
        <v>420</v>
      </c>
    </row>
    <row r="249" spans="1:9" s="59" customFormat="1">
      <c r="A249" s="47" t="s">
        <v>144</v>
      </c>
      <c r="B249" s="47" t="s">
        <v>121</v>
      </c>
      <c r="C249" s="50" t="s">
        <v>270</v>
      </c>
      <c r="D249" s="90">
        <v>43539</v>
      </c>
      <c r="E249" s="83"/>
      <c r="F249" s="47" t="s">
        <v>121</v>
      </c>
      <c r="G249" s="47" t="s">
        <v>154</v>
      </c>
      <c r="H249" s="47" t="s">
        <v>140</v>
      </c>
      <c r="I249" s="55" t="s">
        <v>420</v>
      </c>
    </row>
    <row r="250" spans="1:9" s="59" customFormat="1">
      <c r="A250" s="47" t="s">
        <v>145</v>
      </c>
      <c r="B250" s="47" t="s">
        <v>316</v>
      </c>
      <c r="C250" s="50" t="s">
        <v>270</v>
      </c>
      <c r="D250" s="90">
        <v>43542</v>
      </c>
      <c r="E250" s="83"/>
      <c r="F250" s="47" t="s">
        <v>316</v>
      </c>
      <c r="G250" s="47" t="s">
        <v>155</v>
      </c>
      <c r="H250" s="47" t="s">
        <v>140</v>
      </c>
      <c r="I250" s="55" t="s">
        <v>428</v>
      </c>
    </row>
    <row r="251" spans="1:9">
      <c r="A251" s="47" t="s">
        <v>431</v>
      </c>
      <c r="B251" s="47" t="s">
        <v>316</v>
      </c>
      <c r="C251" s="50" t="s">
        <v>270</v>
      </c>
      <c r="D251" s="90">
        <v>43544</v>
      </c>
      <c r="F251" s="47" t="s">
        <v>316</v>
      </c>
      <c r="G251" s="47" t="s">
        <v>327</v>
      </c>
      <c r="H251" s="47" t="s">
        <v>140</v>
      </c>
      <c r="I251" s="55" t="s">
        <v>429</v>
      </c>
    </row>
    <row r="252" spans="1:9" s="59" customFormat="1">
      <c r="A252" s="47" t="s">
        <v>141</v>
      </c>
      <c r="B252" s="47" t="s">
        <v>269</v>
      </c>
      <c r="C252" s="50" t="s">
        <v>270</v>
      </c>
      <c r="D252" s="90">
        <v>43549</v>
      </c>
      <c r="E252" s="83"/>
      <c r="F252" s="47" t="s">
        <v>269</v>
      </c>
      <c r="G252" s="47" t="s">
        <v>152</v>
      </c>
      <c r="H252" s="47" t="s">
        <v>142</v>
      </c>
      <c r="I252" s="55" t="s">
        <v>433</v>
      </c>
    </row>
    <row r="253" spans="1:9" s="59" customFormat="1">
      <c r="A253" s="47" t="s">
        <v>143</v>
      </c>
      <c r="B253" s="47" t="s">
        <v>316</v>
      </c>
      <c r="C253" s="50" t="s">
        <v>270</v>
      </c>
      <c r="D253" s="90">
        <v>43549</v>
      </c>
      <c r="E253" s="83"/>
      <c r="F253" s="47" t="s">
        <v>316</v>
      </c>
      <c r="G253" s="47" t="s">
        <v>153</v>
      </c>
      <c r="H253" s="47" t="s">
        <v>142</v>
      </c>
      <c r="I253" s="55" t="s">
        <v>334</v>
      </c>
    </row>
    <row r="254" spans="1:9" s="59" customFormat="1">
      <c r="A254" s="47" t="s">
        <v>144</v>
      </c>
      <c r="B254" s="47" t="s">
        <v>121</v>
      </c>
      <c r="C254" s="50" t="s">
        <v>270</v>
      </c>
      <c r="D254" s="90">
        <v>43549</v>
      </c>
      <c r="E254" s="83"/>
      <c r="F254" s="47" t="s">
        <v>121</v>
      </c>
      <c r="G254" s="47" t="s">
        <v>154</v>
      </c>
      <c r="H254" s="47" t="s">
        <v>142</v>
      </c>
      <c r="I254" s="55" t="s">
        <v>433</v>
      </c>
    </row>
    <row r="255" spans="1:9" s="59" customFormat="1">
      <c r="A255" s="47" t="s">
        <v>145</v>
      </c>
      <c r="B255" s="47" t="s">
        <v>316</v>
      </c>
      <c r="C255" s="50" t="s">
        <v>270</v>
      </c>
      <c r="D255" s="90">
        <v>43549</v>
      </c>
      <c r="E255" s="83"/>
      <c r="F255" s="47" t="s">
        <v>316</v>
      </c>
      <c r="G255" s="47" t="s">
        <v>155</v>
      </c>
      <c r="H255" s="47" t="s">
        <v>142</v>
      </c>
      <c r="I255" s="55" t="s">
        <v>334</v>
      </c>
    </row>
    <row r="256" spans="1:9" s="59" customFormat="1">
      <c r="A256" s="47" t="s">
        <v>146</v>
      </c>
      <c r="B256" s="47" t="s">
        <v>316</v>
      </c>
      <c r="C256" s="50" t="s">
        <v>270</v>
      </c>
      <c r="D256" s="90">
        <v>43549</v>
      </c>
      <c r="E256" s="83"/>
      <c r="F256" s="47" t="s">
        <v>316</v>
      </c>
      <c r="G256" s="47" t="s">
        <v>156</v>
      </c>
      <c r="H256" s="47" t="s">
        <v>142</v>
      </c>
      <c r="I256" s="55" t="s">
        <v>334</v>
      </c>
    </row>
    <row r="257" spans="1:9" s="59" customFormat="1">
      <c r="A257" s="47" t="s">
        <v>147</v>
      </c>
      <c r="B257" s="47" t="s">
        <v>301</v>
      </c>
      <c r="C257" s="50" t="s">
        <v>270</v>
      </c>
      <c r="D257" s="90">
        <v>43549</v>
      </c>
      <c r="E257" s="83"/>
      <c r="F257" s="47" t="s">
        <v>301</v>
      </c>
      <c r="G257" s="47" t="s">
        <v>157</v>
      </c>
      <c r="H257" s="47" t="s">
        <v>142</v>
      </c>
      <c r="I257" s="55" t="s">
        <v>433</v>
      </c>
    </row>
    <row r="258" spans="1:9" s="59" customFormat="1">
      <c r="A258" s="47" t="s">
        <v>148</v>
      </c>
      <c r="B258" s="47" t="s">
        <v>269</v>
      </c>
      <c r="C258" s="50" t="s">
        <v>270</v>
      </c>
      <c r="D258" s="90">
        <v>43544</v>
      </c>
      <c r="E258" s="83"/>
      <c r="F258" s="47" t="s">
        <v>269</v>
      </c>
      <c r="G258" s="47" t="s">
        <v>313</v>
      </c>
      <c r="H258" s="47" t="s">
        <v>142</v>
      </c>
      <c r="I258" s="55" t="s">
        <v>432</v>
      </c>
    </row>
    <row r="259" spans="1:9">
      <c r="A259" s="47" t="s">
        <v>143</v>
      </c>
      <c r="B259" s="47" t="s">
        <v>316</v>
      </c>
      <c r="C259" s="50" t="s">
        <v>270</v>
      </c>
      <c r="D259" s="90">
        <v>43551</v>
      </c>
      <c r="F259" s="47" t="s">
        <v>316</v>
      </c>
      <c r="G259" s="47" t="s">
        <v>153</v>
      </c>
      <c r="H259" s="47" t="s">
        <v>140</v>
      </c>
      <c r="I259" s="55" t="s">
        <v>434</v>
      </c>
    </row>
    <row r="260" spans="1:9" s="59" customFormat="1">
      <c r="A260" s="47" t="s">
        <v>235</v>
      </c>
      <c r="B260" s="47" t="s">
        <v>316</v>
      </c>
      <c r="C260" s="50" t="s">
        <v>270</v>
      </c>
      <c r="D260" s="90">
        <v>43551</v>
      </c>
      <c r="E260" s="83"/>
      <c r="F260" s="47" t="s">
        <v>316</v>
      </c>
      <c r="G260" s="47" t="s">
        <v>153</v>
      </c>
      <c r="H260" s="47" t="s">
        <v>140</v>
      </c>
      <c r="I260" s="55" t="s">
        <v>420</v>
      </c>
    </row>
    <row r="261" spans="1:9" s="59" customFormat="1">
      <c r="A261" s="47" t="s">
        <v>144</v>
      </c>
      <c r="B261" s="47" t="s">
        <v>121</v>
      </c>
      <c r="C261" s="50" t="s">
        <v>270</v>
      </c>
      <c r="D261" s="90">
        <v>43551</v>
      </c>
      <c r="E261" s="83"/>
      <c r="F261" s="47" t="s">
        <v>121</v>
      </c>
      <c r="G261" s="47" t="s">
        <v>154</v>
      </c>
      <c r="H261" s="47" t="s">
        <v>140</v>
      </c>
      <c r="I261" s="55" t="s">
        <v>435</v>
      </c>
    </row>
    <row r="262" spans="1:9" s="59" customFormat="1">
      <c r="A262" s="47" t="s">
        <v>239</v>
      </c>
      <c r="B262" s="47" t="s">
        <v>301</v>
      </c>
      <c r="C262" s="50" t="s">
        <v>270</v>
      </c>
      <c r="D262" s="90">
        <v>43551</v>
      </c>
      <c r="E262" s="83"/>
      <c r="F262" s="47" t="s">
        <v>301</v>
      </c>
      <c r="G262" s="47" t="s">
        <v>157</v>
      </c>
      <c r="H262" s="47" t="s">
        <v>140</v>
      </c>
      <c r="I262" s="55" t="s">
        <v>436</v>
      </c>
    </row>
    <row r="263" spans="1:9" s="59" customFormat="1">
      <c r="A263" s="47" t="s">
        <v>148</v>
      </c>
      <c r="B263" s="47" t="s">
        <v>269</v>
      </c>
      <c r="C263" s="50" t="s">
        <v>270</v>
      </c>
      <c r="D263" s="90">
        <v>43551</v>
      </c>
      <c r="E263" s="83"/>
      <c r="F263" s="47" t="s">
        <v>269</v>
      </c>
      <c r="G263" s="47" t="s">
        <v>313</v>
      </c>
      <c r="H263" s="47" t="s">
        <v>507</v>
      </c>
      <c r="I263" s="55" t="s">
        <v>437</v>
      </c>
    </row>
    <row r="264" spans="1:9" s="59" customFormat="1">
      <c r="A264" s="47" t="s">
        <v>141</v>
      </c>
      <c r="B264" s="47" t="s">
        <v>269</v>
      </c>
      <c r="C264" s="50" t="s">
        <v>270</v>
      </c>
      <c r="D264" s="90">
        <v>43553</v>
      </c>
      <c r="E264" s="83"/>
      <c r="F264" s="47" t="s">
        <v>269</v>
      </c>
      <c r="G264" s="47" t="s">
        <v>152</v>
      </c>
      <c r="H264" s="47" t="s">
        <v>142</v>
      </c>
      <c r="I264" s="55" t="s">
        <v>432</v>
      </c>
    </row>
    <row r="265" spans="1:9" s="59" customFormat="1">
      <c r="A265" s="47" t="s">
        <v>147</v>
      </c>
      <c r="B265" s="47" t="s">
        <v>301</v>
      </c>
      <c r="C265" s="50" t="s">
        <v>270</v>
      </c>
      <c r="D265" s="90">
        <v>43553</v>
      </c>
      <c r="E265" s="83"/>
      <c r="F265" s="47" t="s">
        <v>301</v>
      </c>
      <c r="G265" s="47" t="s">
        <v>157</v>
      </c>
      <c r="H265" s="47" t="s">
        <v>142</v>
      </c>
      <c r="I265" s="55" t="s">
        <v>432</v>
      </c>
    </row>
    <row r="266" spans="1:9" s="59" customFormat="1">
      <c r="A266" s="47" t="s">
        <v>143</v>
      </c>
      <c r="B266" s="47" t="s">
        <v>316</v>
      </c>
      <c r="C266" s="50" t="s">
        <v>270</v>
      </c>
      <c r="D266" s="90">
        <v>43558</v>
      </c>
      <c r="E266" s="83"/>
      <c r="F266" s="47" t="s">
        <v>316</v>
      </c>
      <c r="G266" s="47" t="s">
        <v>153</v>
      </c>
      <c r="H266" s="47" t="s">
        <v>142</v>
      </c>
      <c r="I266" s="55" t="s">
        <v>439</v>
      </c>
    </row>
    <row r="267" spans="1:9" s="59" customFormat="1">
      <c r="A267" s="47" t="s">
        <v>145</v>
      </c>
      <c r="B267" s="47" t="s">
        <v>316</v>
      </c>
      <c r="C267" s="50" t="s">
        <v>270</v>
      </c>
      <c r="D267" s="90">
        <v>43558</v>
      </c>
      <c r="E267" s="83"/>
      <c r="F267" s="47" t="s">
        <v>316</v>
      </c>
      <c r="G267" s="47" t="s">
        <v>155</v>
      </c>
      <c r="H267" s="47" t="s">
        <v>142</v>
      </c>
      <c r="I267" s="55" t="s">
        <v>439</v>
      </c>
    </row>
    <row r="268" spans="1:9" s="59" customFormat="1">
      <c r="A268" s="47" t="s">
        <v>146</v>
      </c>
      <c r="B268" s="47" t="s">
        <v>316</v>
      </c>
      <c r="C268" s="50" t="s">
        <v>270</v>
      </c>
      <c r="D268" s="90">
        <v>43558</v>
      </c>
      <c r="E268" s="83"/>
      <c r="F268" s="47" t="s">
        <v>316</v>
      </c>
      <c r="G268" s="47" t="s">
        <v>156</v>
      </c>
      <c r="H268" s="47" t="s">
        <v>142</v>
      </c>
      <c r="I268" s="55" t="s">
        <v>439</v>
      </c>
    </row>
    <row r="269" spans="1:9" s="59" customFormat="1">
      <c r="A269" s="47" t="s">
        <v>143</v>
      </c>
      <c r="B269" s="47" t="s">
        <v>316</v>
      </c>
      <c r="C269" s="50" t="s">
        <v>270</v>
      </c>
      <c r="D269" s="90">
        <v>43558</v>
      </c>
      <c r="E269" s="83"/>
      <c r="F269" s="47" t="s">
        <v>316</v>
      </c>
      <c r="G269" s="47" t="s">
        <v>153</v>
      </c>
      <c r="H269" s="47" t="s">
        <v>507</v>
      </c>
      <c r="I269" s="55" t="s">
        <v>440</v>
      </c>
    </row>
    <row r="270" spans="1:9" s="59" customFormat="1">
      <c r="A270" s="47" t="s">
        <v>145</v>
      </c>
      <c r="B270" s="47" t="s">
        <v>316</v>
      </c>
      <c r="C270" s="50" t="s">
        <v>270</v>
      </c>
      <c r="D270" s="90">
        <v>43558</v>
      </c>
      <c r="E270" s="83"/>
      <c r="F270" s="47" t="s">
        <v>316</v>
      </c>
      <c r="G270" s="47" t="s">
        <v>155</v>
      </c>
      <c r="H270" s="47" t="s">
        <v>507</v>
      </c>
      <c r="I270" s="55" t="s">
        <v>440</v>
      </c>
    </row>
    <row r="271" spans="1:9" s="59" customFormat="1">
      <c r="A271" s="47" t="s">
        <v>146</v>
      </c>
      <c r="B271" s="47" t="s">
        <v>316</v>
      </c>
      <c r="C271" s="50" t="s">
        <v>270</v>
      </c>
      <c r="D271" s="90">
        <v>43558</v>
      </c>
      <c r="E271" s="83"/>
      <c r="F271" s="47" t="s">
        <v>316</v>
      </c>
      <c r="G271" s="47" t="s">
        <v>156</v>
      </c>
      <c r="H271" s="47" t="s">
        <v>507</v>
      </c>
      <c r="I271" s="55" t="s">
        <v>440</v>
      </c>
    </row>
    <row r="272" spans="1:9">
      <c r="A272" s="47" t="s">
        <v>148</v>
      </c>
      <c r="B272" s="47" t="s">
        <v>269</v>
      </c>
      <c r="C272" s="50" t="s">
        <v>270</v>
      </c>
      <c r="D272" s="90">
        <v>43558</v>
      </c>
      <c r="F272" s="47" t="s">
        <v>269</v>
      </c>
      <c r="G272" s="47" t="s">
        <v>313</v>
      </c>
      <c r="H272" s="47" t="s">
        <v>507</v>
      </c>
      <c r="I272" s="55" t="s">
        <v>441</v>
      </c>
    </row>
    <row r="273" spans="1:9" s="59" customFormat="1">
      <c r="A273" s="47" t="s">
        <v>144</v>
      </c>
      <c r="B273" s="47" t="s">
        <v>121</v>
      </c>
      <c r="C273" s="50" t="s">
        <v>270</v>
      </c>
      <c r="D273" s="90">
        <v>43560</v>
      </c>
      <c r="E273" s="83"/>
      <c r="F273" s="47" t="s">
        <v>121</v>
      </c>
      <c r="G273" s="47" t="s">
        <v>154</v>
      </c>
      <c r="H273" s="47" t="s">
        <v>142</v>
      </c>
      <c r="I273" s="55" t="s">
        <v>432</v>
      </c>
    </row>
    <row r="274" spans="1:9" s="59" customFormat="1">
      <c r="A274" s="47" t="s">
        <v>143</v>
      </c>
      <c r="B274" s="47" t="s">
        <v>316</v>
      </c>
      <c r="C274" s="50" t="s">
        <v>270</v>
      </c>
      <c r="D274" s="90">
        <v>43564</v>
      </c>
      <c r="E274" s="83"/>
      <c r="F274" s="47" t="s">
        <v>316</v>
      </c>
      <c r="G274" s="47" t="s">
        <v>153</v>
      </c>
      <c r="H274" s="47" t="s">
        <v>142</v>
      </c>
      <c r="I274" s="55" t="s">
        <v>442</v>
      </c>
    </row>
    <row r="275" spans="1:9" s="59" customFormat="1">
      <c r="A275" s="47" t="s">
        <v>145</v>
      </c>
      <c r="B275" s="47" t="s">
        <v>316</v>
      </c>
      <c r="C275" s="50" t="s">
        <v>270</v>
      </c>
      <c r="D275" s="90">
        <v>43564</v>
      </c>
      <c r="E275" s="83"/>
      <c r="F275" s="47" t="s">
        <v>316</v>
      </c>
      <c r="G275" s="47" t="s">
        <v>155</v>
      </c>
      <c r="H275" s="47" t="s">
        <v>142</v>
      </c>
      <c r="I275" s="55" t="s">
        <v>443</v>
      </c>
    </row>
    <row r="276" spans="1:9" s="59" customFormat="1">
      <c r="A276" s="47" t="s">
        <v>146</v>
      </c>
      <c r="B276" s="47" t="s">
        <v>316</v>
      </c>
      <c r="C276" s="50" t="s">
        <v>270</v>
      </c>
      <c r="D276" s="90">
        <v>43564</v>
      </c>
      <c r="E276" s="83"/>
      <c r="F276" s="47" t="s">
        <v>316</v>
      </c>
      <c r="G276" s="47" t="s">
        <v>156</v>
      </c>
      <c r="H276" s="47" t="s">
        <v>142</v>
      </c>
      <c r="I276" s="55" t="s">
        <v>443</v>
      </c>
    </row>
    <row r="277" spans="1:9" s="59" customFormat="1">
      <c r="A277" s="47" t="s">
        <v>141</v>
      </c>
      <c r="B277" s="47" t="s">
        <v>269</v>
      </c>
      <c r="C277" s="50" t="s">
        <v>270</v>
      </c>
      <c r="D277" s="90">
        <v>43564</v>
      </c>
      <c r="E277" s="83"/>
      <c r="F277" s="47" t="s">
        <v>269</v>
      </c>
      <c r="G277" s="47" t="s">
        <v>152</v>
      </c>
      <c r="H277" s="47" t="s">
        <v>142</v>
      </c>
      <c r="I277" s="55">
        <v>32</v>
      </c>
    </row>
    <row r="278" spans="1:9" s="59" customFormat="1">
      <c r="A278" s="47" t="s">
        <v>144</v>
      </c>
      <c r="B278" s="47" t="s">
        <v>121</v>
      </c>
      <c r="C278" s="50" t="s">
        <v>270</v>
      </c>
      <c r="D278" s="90">
        <v>43564</v>
      </c>
      <c r="E278" s="83"/>
      <c r="F278" s="47" t="s">
        <v>121</v>
      </c>
      <c r="G278" s="47" t="s">
        <v>154</v>
      </c>
      <c r="H278" s="47" t="s">
        <v>142</v>
      </c>
      <c r="I278" s="55">
        <v>31</v>
      </c>
    </row>
    <row r="279" spans="1:9" s="59" customFormat="1">
      <c r="A279" s="47" t="s">
        <v>147</v>
      </c>
      <c r="B279" s="47" t="s">
        <v>301</v>
      </c>
      <c r="C279" s="50" t="s">
        <v>270</v>
      </c>
      <c r="D279" s="90">
        <v>43564</v>
      </c>
      <c r="E279" s="83"/>
      <c r="F279" s="47" t="s">
        <v>301</v>
      </c>
      <c r="G279" s="47" t="s">
        <v>157</v>
      </c>
      <c r="H279" s="47" t="s">
        <v>142</v>
      </c>
      <c r="I279" s="55" t="s">
        <v>444</v>
      </c>
    </row>
    <row r="280" spans="1:9" s="59" customFormat="1">
      <c r="A280" s="47" t="s">
        <v>148</v>
      </c>
      <c r="B280" s="47" t="s">
        <v>269</v>
      </c>
      <c r="C280" s="50" t="s">
        <v>270</v>
      </c>
      <c r="D280" s="90">
        <v>43564</v>
      </c>
      <c r="E280" s="83"/>
      <c r="F280" s="47" t="s">
        <v>269</v>
      </c>
      <c r="G280" s="47" t="s">
        <v>313</v>
      </c>
      <c r="H280" s="47" t="s">
        <v>142</v>
      </c>
      <c r="I280" s="55">
        <v>32</v>
      </c>
    </row>
    <row r="281" spans="1:9" s="59" customFormat="1">
      <c r="A281" s="47" t="s">
        <v>141</v>
      </c>
      <c r="B281" s="47" t="s">
        <v>269</v>
      </c>
      <c r="C281" s="50" t="s">
        <v>270</v>
      </c>
      <c r="D281" s="90">
        <v>43564</v>
      </c>
      <c r="E281" s="83"/>
      <c r="F281" s="47" t="s">
        <v>269</v>
      </c>
      <c r="G281" s="47" t="s">
        <v>152</v>
      </c>
      <c r="H281" s="47" t="s">
        <v>140</v>
      </c>
      <c r="I281" s="55" t="s">
        <v>445</v>
      </c>
    </row>
    <row r="282" spans="1:9" s="59" customFormat="1">
      <c r="A282" s="47" t="s">
        <v>141</v>
      </c>
      <c r="B282" s="47" t="s">
        <v>269</v>
      </c>
      <c r="C282" s="50" t="s">
        <v>270</v>
      </c>
      <c r="D282" s="90">
        <v>43564</v>
      </c>
      <c r="E282" s="83"/>
      <c r="F282" s="47" t="s">
        <v>269</v>
      </c>
      <c r="G282" s="47" t="s">
        <v>152</v>
      </c>
      <c r="H282" s="47" t="s">
        <v>140</v>
      </c>
      <c r="I282" s="55" t="s">
        <v>446</v>
      </c>
    </row>
    <row r="283" spans="1:9" s="59" customFormat="1">
      <c r="A283" s="47" t="s">
        <v>237</v>
      </c>
      <c r="B283" s="47" t="s">
        <v>316</v>
      </c>
      <c r="C283" s="50" t="s">
        <v>270</v>
      </c>
      <c r="D283" s="90">
        <v>43564</v>
      </c>
      <c r="E283" s="83"/>
      <c r="F283" s="47" t="s">
        <v>316</v>
      </c>
      <c r="G283" s="47" t="s">
        <v>155</v>
      </c>
      <c r="H283" s="47" t="s">
        <v>140</v>
      </c>
      <c r="I283" s="55" t="s">
        <v>436</v>
      </c>
    </row>
    <row r="284" spans="1:9" s="59" customFormat="1">
      <c r="A284" s="47" t="s">
        <v>238</v>
      </c>
      <c r="B284" s="47" t="s">
        <v>316</v>
      </c>
      <c r="C284" s="50" t="s">
        <v>270</v>
      </c>
      <c r="D284" s="90">
        <v>43564</v>
      </c>
      <c r="E284" s="83"/>
      <c r="F284" s="47" t="s">
        <v>316</v>
      </c>
      <c r="G284" s="47" t="s">
        <v>156</v>
      </c>
      <c r="H284" s="47" t="s">
        <v>140</v>
      </c>
      <c r="I284" s="55" t="s">
        <v>436</v>
      </c>
    </row>
    <row r="285" spans="1:9" s="59" customFormat="1">
      <c r="A285" s="47" t="s">
        <v>143</v>
      </c>
      <c r="B285" s="47" t="s">
        <v>316</v>
      </c>
      <c r="C285" s="50" t="s">
        <v>270</v>
      </c>
      <c r="D285" s="90">
        <v>43578</v>
      </c>
      <c r="E285" s="83"/>
      <c r="F285" s="47" t="s">
        <v>316</v>
      </c>
      <c r="G285" s="47" t="s">
        <v>153</v>
      </c>
      <c r="H285" s="47" t="s">
        <v>142</v>
      </c>
      <c r="I285" s="55" t="s">
        <v>447</v>
      </c>
    </row>
    <row r="286" spans="1:9" s="59" customFormat="1">
      <c r="A286" s="47" t="s">
        <v>145</v>
      </c>
      <c r="B286" s="47" t="s">
        <v>316</v>
      </c>
      <c r="C286" s="50" t="s">
        <v>270</v>
      </c>
      <c r="D286" s="90">
        <v>43578</v>
      </c>
      <c r="E286" s="83"/>
      <c r="F286" s="47" t="s">
        <v>316</v>
      </c>
      <c r="G286" s="47" t="s">
        <v>155</v>
      </c>
      <c r="H286" s="47" t="s">
        <v>142</v>
      </c>
      <c r="I286" s="55" t="s">
        <v>452</v>
      </c>
    </row>
    <row r="287" spans="1:9" s="59" customFormat="1">
      <c r="A287" s="47" t="s">
        <v>146</v>
      </c>
      <c r="B287" s="47" t="s">
        <v>316</v>
      </c>
      <c r="C287" s="50" t="s">
        <v>270</v>
      </c>
      <c r="D287" s="90">
        <v>43578</v>
      </c>
      <c r="E287" s="83"/>
      <c r="F287" s="47" t="s">
        <v>316</v>
      </c>
      <c r="G287" s="47" t="s">
        <v>156</v>
      </c>
      <c r="H287" s="47" t="s">
        <v>142</v>
      </c>
      <c r="I287" s="55" t="s">
        <v>452</v>
      </c>
    </row>
    <row r="288" spans="1:9" s="59" customFormat="1">
      <c r="A288" s="47" t="s">
        <v>141</v>
      </c>
      <c r="B288" s="47" t="s">
        <v>269</v>
      </c>
      <c r="C288" s="50" t="s">
        <v>270</v>
      </c>
      <c r="D288" s="90">
        <v>43578</v>
      </c>
      <c r="E288" s="83"/>
      <c r="F288" s="47" t="s">
        <v>269</v>
      </c>
      <c r="G288" s="47" t="s">
        <v>152</v>
      </c>
      <c r="H288" s="47" t="s">
        <v>142</v>
      </c>
      <c r="I288" s="55">
        <v>33</v>
      </c>
    </row>
    <row r="289" spans="1:9" s="59" customFormat="1">
      <c r="A289" s="47" t="s">
        <v>144</v>
      </c>
      <c r="B289" s="47" t="s">
        <v>121</v>
      </c>
      <c r="C289" s="50" t="s">
        <v>270</v>
      </c>
      <c r="D289" s="90">
        <v>43578</v>
      </c>
      <c r="E289" s="83"/>
      <c r="F289" s="47" t="s">
        <v>121</v>
      </c>
      <c r="G289" s="47" t="s">
        <v>154</v>
      </c>
      <c r="H289" s="47" t="s">
        <v>142</v>
      </c>
      <c r="I289" s="55">
        <v>32</v>
      </c>
    </row>
    <row r="290" spans="1:9" s="59" customFormat="1">
      <c r="A290" s="47" t="s">
        <v>147</v>
      </c>
      <c r="B290" s="47" t="s">
        <v>301</v>
      </c>
      <c r="C290" s="50" t="s">
        <v>270</v>
      </c>
      <c r="D290" s="90">
        <v>43578</v>
      </c>
      <c r="E290" s="83"/>
      <c r="F290" s="47" t="s">
        <v>301</v>
      </c>
      <c r="G290" s="47" t="s">
        <v>157</v>
      </c>
      <c r="H290" s="47" t="s">
        <v>142</v>
      </c>
      <c r="I290" s="55">
        <v>33</v>
      </c>
    </row>
    <row r="291" spans="1:9" s="59" customFormat="1">
      <c r="A291" s="47" t="s">
        <v>148</v>
      </c>
      <c r="B291" s="47" t="s">
        <v>269</v>
      </c>
      <c r="C291" s="50" t="s">
        <v>270</v>
      </c>
      <c r="D291" s="90">
        <v>43578</v>
      </c>
      <c r="E291" s="83"/>
      <c r="F291" s="47" t="s">
        <v>269</v>
      </c>
      <c r="G291" s="47" t="s">
        <v>313</v>
      </c>
      <c r="H291" s="47" t="s">
        <v>142</v>
      </c>
      <c r="I291" s="55">
        <v>33</v>
      </c>
    </row>
    <row r="292" spans="1:9" s="59" customFormat="1">
      <c r="A292" s="47" t="s">
        <v>144</v>
      </c>
      <c r="B292" s="47" t="s">
        <v>121</v>
      </c>
      <c r="C292" s="50" t="s">
        <v>270</v>
      </c>
      <c r="D292" s="90">
        <v>43578</v>
      </c>
      <c r="E292" s="83"/>
      <c r="F292" s="47" t="s">
        <v>121</v>
      </c>
      <c r="G292" s="47" t="s">
        <v>154</v>
      </c>
      <c r="H292" s="47" t="s">
        <v>507</v>
      </c>
      <c r="I292" s="55" t="s">
        <v>448</v>
      </c>
    </row>
    <row r="293" spans="1:9" s="59" customFormat="1">
      <c r="A293" s="47" t="s">
        <v>449</v>
      </c>
      <c r="B293" s="47" t="s">
        <v>269</v>
      </c>
      <c r="C293" s="50" t="s">
        <v>270</v>
      </c>
      <c r="D293" s="90">
        <v>43578</v>
      </c>
      <c r="E293" s="83"/>
      <c r="F293" s="47" t="s">
        <v>269</v>
      </c>
      <c r="G293" s="47" t="s">
        <v>313</v>
      </c>
      <c r="H293" s="47" t="s">
        <v>507</v>
      </c>
      <c r="I293" s="55" t="s">
        <v>450</v>
      </c>
    </row>
    <row r="294" spans="1:9" s="59" customFormat="1">
      <c r="A294" s="47" t="s">
        <v>143</v>
      </c>
      <c r="B294" s="47" t="s">
        <v>316</v>
      </c>
      <c r="C294" s="50" t="s">
        <v>270</v>
      </c>
      <c r="D294" s="90">
        <v>43585</v>
      </c>
      <c r="E294" s="83"/>
      <c r="F294" s="47" t="s">
        <v>316</v>
      </c>
      <c r="G294" s="47" t="s">
        <v>153</v>
      </c>
      <c r="H294" s="47" t="s">
        <v>142</v>
      </c>
      <c r="I294" s="55">
        <v>31</v>
      </c>
    </row>
    <row r="295" spans="1:9" s="59" customFormat="1">
      <c r="A295" s="47" t="s">
        <v>145</v>
      </c>
      <c r="B295" s="47" t="s">
        <v>316</v>
      </c>
      <c r="C295" s="50" t="s">
        <v>270</v>
      </c>
      <c r="D295" s="90">
        <v>43585</v>
      </c>
      <c r="E295" s="83"/>
      <c r="F295" s="47" t="s">
        <v>316</v>
      </c>
      <c r="G295" s="47" t="s">
        <v>155</v>
      </c>
      <c r="H295" s="47" t="s">
        <v>142</v>
      </c>
      <c r="I295" s="55">
        <v>31</v>
      </c>
    </row>
    <row r="296" spans="1:9" s="59" customFormat="1">
      <c r="A296" s="47" t="s">
        <v>146</v>
      </c>
      <c r="B296" s="47" t="s">
        <v>316</v>
      </c>
      <c r="C296" s="50" t="s">
        <v>270</v>
      </c>
      <c r="D296" s="90">
        <v>43585</v>
      </c>
      <c r="E296" s="83"/>
      <c r="F296" s="47" t="s">
        <v>316</v>
      </c>
      <c r="G296" s="47" t="s">
        <v>156</v>
      </c>
      <c r="H296" s="47" t="s">
        <v>142</v>
      </c>
      <c r="I296" s="55">
        <v>31</v>
      </c>
    </row>
    <row r="297" spans="1:9" s="59" customFormat="1">
      <c r="A297" s="47" t="s">
        <v>141</v>
      </c>
      <c r="B297" s="47" t="s">
        <v>269</v>
      </c>
      <c r="C297" s="50" t="s">
        <v>270</v>
      </c>
      <c r="D297" s="90">
        <v>43585</v>
      </c>
      <c r="E297" s="83"/>
      <c r="F297" s="47" t="s">
        <v>269</v>
      </c>
      <c r="G297" s="47" t="s">
        <v>152</v>
      </c>
      <c r="H297" s="47" t="s">
        <v>142</v>
      </c>
      <c r="I297" s="55" t="s">
        <v>457</v>
      </c>
    </row>
    <row r="298" spans="1:9" s="59" customFormat="1">
      <c r="A298" s="47" t="s">
        <v>144</v>
      </c>
      <c r="B298" s="47" t="s">
        <v>121</v>
      </c>
      <c r="C298" s="50" t="s">
        <v>270</v>
      </c>
      <c r="D298" s="90">
        <v>43585</v>
      </c>
      <c r="E298" s="83"/>
      <c r="F298" s="47" t="s">
        <v>121</v>
      </c>
      <c r="G298" s="47" t="s">
        <v>154</v>
      </c>
      <c r="H298" s="47" t="s">
        <v>142</v>
      </c>
      <c r="I298" s="55" t="s">
        <v>453</v>
      </c>
    </row>
    <row r="299" spans="1:9" s="59" customFormat="1">
      <c r="A299" s="47" t="s">
        <v>147</v>
      </c>
      <c r="B299" s="47" t="s">
        <v>301</v>
      </c>
      <c r="C299" s="50" t="s">
        <v>270</v>
      </c>
      <c r="D299" s="90">
        <v>43585</v>
      </c>
      <c r="E299" s="83"/>
      <c r="F299" s="47" t="s">
        <v>301</v>
      </c>
      <c r="G299" s="47" t="s">
        <v>157</v>
      </c>
      <c r="H299" s="47" t="s">
        <v>142</v>
      </c>
      <c r="I299" s="55" t="s">
        <v>454</v>
      </c>
    </row>
    <row r="300" spans="1:9" s="59" customFormat="1">
      <c r="A300" s="47" t="s">
        <v>148</v>
      </c>
      <c r="B300" s="47" t="s">
        <v>269</v>
      </c>
      <c r="C300" s="50" t="s">
        <v>270</v>
      </c>
      <c r="D300" s="90">
        <v>43585</v>
      </c>
      <c r="E300" s="83"/>
      <c r="F300" s="47" t="s">
        <v>269</v>
      </c>
      <c r="G300" s="47" t="s">
        <v>313</v>
      </c>
      <c r="H300" s="47" t="s">
        <v>142</v>
      </c>
      <c r="I300" s="55" t="s">
        <v>456</v>
      </c>
    </row>
    <row r="301" spans="1:9" s="59" customFormat="1">
      <c r="A301" s="47" t="s">
        <v>143</v>
      </c>
      <c r="B301" s="47" t="s">
        <v>316</v>
      </c>
      <c r="C301" s="50" t="s">
        <v>270</v>
      </c>
      <c r="D301" s="90">
        <v>43591</v>
      </c>
      <c r="E301" s="83"/>
      <c r="F301" s="47" t="s">
        <v>316</v>
      </c>
      <c r="G301" s="47" t="s">
        <v>153</v>
      </c>
      <c r="H301" s="47" t="s">
        <v>142</v>
      </c>
      <c r="I301" s="55" t="s">
        <v>455</v>
      </c>
    </row>
    <row r="302" spans="1:9" s="59" customFormat="1">
      <c r="A302" s="47" t="s">
        <v>145</v>
      </c>
      <c r="B302" s="47" t="s">
        <v>316</v>
      </c>
      <c r="C302" s="50" t="s">
        <v>270</v>
      </c>
      <c r="D302" s="90">
        <v>43591</v>
      </c>
      <c r="E302" s="83"/>
      <c r="F302" s="47" t="s">
        <v>316</v>
      </c>
      <c r="G302" s="47" t="s">
        <v>155</v>
      </c>
      <c r="H302" s="47" t="s">
        <v>142</v>
      </c>
      <c r="I302" s="55">
        <v>32</v>
      </c>
    </row>
    <row r="303" spans="1:9" s="59" customFormat="1">
      <c r="A303" s="47" t="s">
        <v>146</v>
      </c>
      <c r="B303" s="47" t="s">
        <v>316</v>
      </c>
      <c r="C303" s="50" t="s">
        <v>270</v>
      </c>
      <c r="D303" s="90">
        <v>43591</v>
      </c>
      <c r="E303" s="83"/>
      <c r="F303" s="47" t="s">
        <v>316</v>
      </c>
      <c r="G303" s="47" t="s">
        <v>156</v>
      </c>
      <c r="H303" s="47" t="s">
        <v>142</v>
      </c>
      <c r="I303" s="55">
        <v>32</v>
      </c>
    </row>
    <row r="304" spans="1:9" s="59" customFormat="1">
      <c r="A304" s="47" t="s">
        <v>141</v>
      </c>
      <c r="B304" s="47" t="s">
        <v>269</v>
      </c>
      <c r="C304" s="50" t="s">
        <v>270</v>
      </c>
      <c r="D304" s="90">
        <v>43591</v>
      </c>
      <c r="E304" s="83"/>
      <c r="F304" s="47" t="s">
        <v>269</v>
      </c>
      <c r="G304" s="47" t="s">
        <v>152</v>
      </c>
      <c r="H304" s="47" t="s">
        <v>142</v>
      </c>
      <c r="I304" s="55" t="s">
        <v>456</v>
      </c>
    </row>
    <row r="305" spans="1:9" s="59" customFormat="1">
      <c r="A305" s="47" t="s">
        <v>144</v>
      </c>
      <c r="B305" s="47" t="s">
        <v>121</v>
      </c>
      <c r="C305" s="50" t="s">
        <v>270</v>
      </c>
      <c r="D305" s="90">
        <v>43591</v>
      </c>
      <c r="E305" s="83"/>
      <c r="F305" s="47" t="s">
        <v>121</v>
      </c>
      <c r="G305" s="47" t="s">
        <v>154</v>
      </c>
      <c r="H305" s="47" t="s">
        <v>142</v>
      </c>
      <c r="I305" s="55" t="s">
        <v>458</v>
      </c>
    </row>
    <row r="306" spans="1:9" s="59" customFormat="1">
      <c r="A306" s="47" t="s">
        <v>147</v>
      </c>
      <c r="B306" s="47" t="s">
        <v>301</v>
      </c>
      <c r="C306" s="50" t="s">
        <v>270</v>
      </c>
      <c r="D306" s="90">
        <v>43591</v>
      </c>
      <c r="E306" s="83"/>
      <c r="F306" s="47" t="s">
        <v>301</v>
      </c>
      <c r="G306" s="47" t="s">
        <v>157</v>
      </c>
      <c r="H306" s="47" t="s">
        <v>142</v>
      </c>
      <c r="I306" s="55" t="s">
        <v>459</v>
      </c>
    </row>
    <row r="307" spans="1:9" s="59" customFormat="1">
      <c r="A307" s="47" t="s">
        <v>148</v>
      </c>
      <c r="B307" s="47" t="s">
        <v>269</v>
      </c>
      <c r="C307" s="50" t="s">
        <v>270</v>
      </c>
      <c r="D307" s="90">
        <v>43591</v>
      </c>
      <c r="E307" s="83"/>
      <c r="F307" s="47" t="s">
        <v>269</v>
      </c>
      <c r="G307" s="47" t="s">
        <v>313</v>
      </c>
      <c r="H307" s="47" t="s">
        <v>142</v>
      </c>
      <c r="I307" s="55">
        <v>55</v>
      </c>
    </row>
    <row r="308" spans="1:9" s="59" customFormat="1">
      <c r="A308" s="47" t="s">
        <v>143</v>
      </c>
      <c r="B308" s="47" t="s">
        <v>316</v>
      </c>
      <c r="C308" s="50" t="s">
        <v>270</v>
      </c>
      <c r="D308" s="90">
        <v>43598</v>
      </c>
      <c r="E308" s="83"/>
      <c r="F308" s="47" t="s">
        <v>316</v>
      </c>
      <c r="G308" s="47" t="s">
        <v>153</v>
      </c>
      <c r="H308" s="47" t="s">
        <v>142</v>
      </c>
      <c r="I308" s="55">
        <v>34</v>
      </c>
    </row>
    <row r="309" spans="1:9" s="59" customFormat="1">
      <c r="A309" s="47" t="s">
        <v>145</v>
      </c>
      <c r="B309" s="47" t="s">
        <v>316</v>
      </c>
      <c r="C309" s="50" t="s">
        <v>270</v>
      </c>
      <c r="D309" s="90">
        <v>43598</v>
      </c>
      <c r="E309" s="83"/>
      <c r="F309" s="47" t="s">
        <v>316</v>
      </c>
      <c r="G309" s="47" t="s">
        <v>155</v>
      </c>
      <c r="H309" s="47" t="s">
        <v>142</v>
      </c>
      <c r="I309" s="55">
        <v>33</v>
      </c>
    </row>
    <row r="310" spans="1:9" s="59" customFormat="1">
      <c r="A310" s="47" t="s">
        <v>146</v>
      </c>
      <c r="B310" s="47" t="s">
        <v>316</v>
      </c>
      <c r="C310" s="50" t="s">
        <v>270</v>
      </c>
      <c r="D310" s="90">
        <v>43598</v>
      </c>
      <c r="E310" s="83"/>
      <c r="F310" s="47" t="s">
        <v>316</v>
      </c>
      <c r="G310" s="47" t="s">
        <v>156</v>
      </c>
      <c r="H310" s="47" t="s">
        <v>142</v>
      </c>
      <c r="I310" s="55">
        <v>33</v>
      </c>
    </row>
    <row r="311" spans="1:9" s="59" customFormat="1">
      <c r="A311" s="47" t="s">
        <v>141</v>
      </c>
      <c r="B311" s="47" t="s">
        <v>269</v>
      </c>
      <c r="C311" s="50" t="s">
        <v>270</v>
      </c>
      <c r="D311" s="90">
        <v>43598</v>
      </c>
      <c r="E311" s="83"/>
      <c r="F311" s="47" t="s">
        <v>269</v>
      </c>
      <c r="G311" s="47" t="s">
        <v>152</v>
      </c>
      <c r="H311" s="47" t="s">
        <v>142</v>
      </c>
      <c r="I311" s="55" t="s">
        <v>495</v>
      </c>
    </row>
    <row r="312" spans="1:9" s="59" customFormat="1">
      <c r="A312" s="47" t="s">
        <v>144</v>
      </c>
      <c r="B312" s="47" t="s">
        <v>121</v>
      </c>
      <c r="C312" s="50" t="s">
        <v>270</v>
      </c>
      <c r="D312" s="90">
        <v>43598</v>
      </c>
      <c r="E312" s="83"/>
      <c r="F312" s="47" t="s">
        <v>121</v>
      </c>
      <c r="G312" s="47" t="s">
        <v>154</v>
      </c>
      <c r="H312" s="47" t="s">
        <v>142</v>
      </c>
      <c r="I312" s="55" t="s">
        <v>496</v>
      </c>
    </row>
    <row r="313" spans="1:9" s="59" customFormat="1">
      <c r="A313" s="47" t="s">
        <v>147</v>
      </c>
      <c r="B313" s="47" t="s">
        <v>301</v>
      </c>
      <c r="C313" s="50" t="s">
        <v>270</v>
      </c>
      <c r="D313" s="90">
        <v>43598</v>
      </c>
      <c r="E313" s="83"/>
      <c r="F313" s="47" t="s">
        <v>301</v>
      </c>
      <c r="G313" s="47" t="s">
        <v>157</v>
      </c>
      <c r="H313" s="47" t="s">
        <v>142</v>
      </c>
      <c r="I313" s="55">
        <v>58</v>
      </c>
    </row>
    <row r="314" spans="1:9" s="59" customFormat="1">
      <c r="A314" s="47" t="s">
        <v>148</v>
      </c>
      <c r="B314" s="47" t="s">
        <v>269</v>
      </c>
      <c r="C314" s="50" t="s">
        <v>270</v>
      </c>
      <c r="D314" s="90">
        <v>43598</v>
      </c>
      <c r="E314" s="83"/>
      <c r="F314" s="47" t="s">
        <v>269</v>
      </c>
      <c r="G314" s="47" t="s">
        <v>313</v>
      </c>
      <c r="H314" s="47" t="s">
        <v>142</v>
      </c>
      <c r="I314" s="55" t="s">
        <v>497</v>
      </c>
    </row>
    <row r="315" spans="1:9">
      <c r="A315" s="47" t="s">
        <v>141</v>
      </c>
      <c r="B315" s="47" t="s">
        <v>269</v>
      </c>
      <c r="C315" s="50" t="s">
        <v>270</v>
      </c>
      <c r="D315" s="90">
        <v>43609</v>
      </c>
      <c r="F315" s="47" t="s">
        <v>269</v>
      </c>
      <c r="G315" s="47" t="s">
        <v>152</v>
      </c>
      <c r="H315" s="47" t="s">
        <v>142</v>
      </c>
      <c r="I315" s="55" t="s">
        <v>503</v>
      </c>
    </row>
    <row r="316" spans="1:9">
      <c r="A316" s="47" t="s">
        <v>143</v>
      </c>
      <c r="B316" s="47" t="s">
        <v>316</v>
      </c>
      <c r="C316" s="50" t="s">
        <v>270</v>
      </c>
      <c r="D316" s="90">
        <v>43609</v>
      </c>
      <c r="F316" s="47" t="s">
        <v>316</v>
      </c>
      <c r="G316" s="47" t="s">
        <v>153</v>
      </c>
      <c r="H316" s="47" t="s">
        <v>142</v>
      </c>
      <c r="I316" s="55" t="s">
        <v>504</v>
      </c>
    </row>
    <row r="317" spans="1:9">
      <c r="A317" s="47" t="s">
        <v>144</v>
      </c>
      <c r="B317" s="47" t="s">
        <v>121</v>
      </c>
      <c r="C317" s="50" t="s">
        <v>270</v>
      </c>
      <c r="D317" s="90">
        <v>43609</v>
      </c>
      <c r="F317" s="47" t="s">
        <v>121</v>
      </c>
      <c r="G317" s="47" t="s">
        <v>154</v>
      </c>
      <c r="H317" s="47" t="s">
        <v>142</v>
      </c>
      <c r="I317" s="55" t="s">
        <v>505</v>
      </c>
    </row>
    <row r="318" spans="1:9">
      <c r="A318" s="47" t="s">
        <v>145</v>
      </c>
      <c r="B318" s="47" t="s">
        <v>316</v>
      </c>
      <c r="C318" s="50" t="s">
        <v>270</v>
      </c>
      <c r="D318" s="90">
        <v>43609</v>
      </c>
      <c r="F318" s="47" t="s">
        <v>316</v>
      </c>
      <c r="G318" s="47" t="s">
        <v>155</v>
      </c>
      <c r="H318" s="47" t="s">
        <v>142</v>
      </c>
      <c r="I318" s="55" t="s">
        <v>504</v>
      </c>
    </row>
    <row r="319" spans="1:9">
      <c r="A319" s="47" t="s">
        <v>146</v>
      </c>
      <c r="B319" s="47" t="s">
        <v>316</v>
      </c>
      <c r="C319" s="50" t="s">
        <v>270</v>
      </c>
      <c r="D319" s="90">
        <v>43609</v>
      </c>
      <c r="F319" s="47" t="s">
        <v>316</v>
      </c>
      <c r="G319" s="47" t="s">
        <v>156</v>
      </c>
      <c r="H319" s="47" t="s">
        <v>142</v>
      </c>
      <c r="I319" s="55" t="s">
        <v>504</v>
      </c>
    </row>
    <row r="320" spans="1:9">
      <c r="A320" s="47" t="s">
        <v>147</v>
      </c>
      <c r="B320" s="47" t="s">
        <v>301</v>
      </c>
      <c r="C320" s="50" t="s">
        <v>270</v>
      </c>
      <c r="D320" s="90">
        <v>43609</v>
      </c>
      <c r="F320" s="47" t="s">
        <v>301</v>
      </c>
      <c r="G320" s="47" t="s">
        <v>157</v>
      </c>
      <c r="H320" s="47" t="s">
        <v>142</v>
      </c>
      <c r="I320" s="55">
        <v>69</v>
      </c>
    </row>
    <row r="321" spans="1:9">
      <c r="A321" s="47" t="s">
        <v>148</v>
      </c>
      <c r="B321" s="47" t="s">
        <v>269</v>
      </c>
      <c r="C321" s="50" t="s">
        <v>270</v>
      </c>
      <c r="D321" s="90">
        <v>43609</v>
      </c>
      <c r="F321" s="47" t="s">
        <v>269</v>
      </c>
      <c r="G321" s="47" t="s">
        <v>313</v>
      </c>
      <c r="H321" s="47" t="s">
        <v>142</v>
      </c>
      <c r="I321" s="55" t="s">
        <v>503</v>
      </c>
    </row>
    <row r="322" spans="1:9">
      <c r="A322" s="47" t="s">
        <v>141</v>
      </c>
      <c r="B322" s="47" t="s">
        <v>269</v>
      </c>
      <c r="C322" s="50" t="s">
        <v>270</v>
      </c>
      <c r="D322" s="90">
        <v>43612</v>
      </c>
      <c r="F322" s="47" t="s">
        <v>269</v>
      </c>
      <c r="G322" s="47" t="s">
        <v>152</v>
      </c>
      <c r="H322" s="47" t="s">
        <v>142</v>
      </c>
      <c r="I322" s="55">
        <v>71</v>
      </c>
    </row>
    <row r="323" spans="1:9">
      <c r="A323" s="47" t="s">
        <v>143</v>
      </c>
      <c r="B323" s="47" t="s">
        <v>316</v>
      </c>
      <c r="C323" s="50" t="s">
        <v>270</v>
      </c>
      <c r="D323" s="90">
        <v>43612</v>
      </c>
      <c r="F323" s="47" t="s">
        <v>316</v>
      </c>
      <c r="G323" s="47" t="s">
        <v>153</v>
      </c>
      <c r="H323" s="47" t="s">
        <v>142</v>
      </c>
      <c r="I323" s="55">
        <v>55</v>
      </c>
    </row>
    <row r="324" spans="1:9">
      <c r="A324" s="47" t="s">
        <v>144</v>
      </c>
      <c r="B324" s="47" t="s">
        <v>121</v>
      </c>
      <c r="C324" s="50" t="s">
        <v>270</v>
      </c>
      <c r="D324" s="90">
        <v>43612</v>
      </c>
      <c r="F324" s="47" t="s">
        <v>121</v>
      </c>
      <c r="G324" s="47" t="s">
        <v>154</v>
      </c>
      <c r="H324" s="47" t="s">
        <v>142</v>
      </c>
      <c r="I324" s="55">
        <v>58</v>
      </c>
    </row>
    <row r="325" spans="1:9">
      <c r="A325" s="47" t="s">
        <v>145</v>
      </c>
      <c r="B325" s="47" t="s">
        <v>316</v>
      </c>
      <c r="C325" s="50" t="s">
        <v>270</v>
      </c>
      <c r="D325" s="90">
        <v>43612</v>
      </c>
      <c r="F325" s="47" t="s">
        <v>316</v>
      </c>
      <c r="G325" s="47" t="s">
        <v>155</v>
      </c>
      <c r="H325" s="47" t="s">
        <v>142</v>
      </c>
      <c r="I325" s="55">
        <v>52</v>
      </c>
    </row>
    <row r="326" spans="1:9">
      <c r="A326" s="47" t="s">
        <v>146</v>
      </c>
      <c r="B326" s="47" t="s">
        <v>316</v>
      </c>
      <c r="C326" s="50" t="s">
        <v>270</v>
      </c>
      <c r="D326" s="90">
        <v>43612</v>
      </c>
      <c r="F326" s="47" t="s">
        <v>316</v>
      </c>
      <c r="G326" s="47" t="s">
        <v>156</v>
      </c>
      <c r="H326" s="47" t="s">
        <v>142</v>
      </c>
      <c r="I326" s="55">
        <v>53</v>
      </c>
    </row>
    <row r="327" spans="1:9">
      <c r="A327" s="47" t="s">
        <v>147</v>
      </c>
      <c r="B327" s="47" t="s">
        <v>301</v>
      </c>
      <c r="C327" s="50" t="s">
        <v>270</v>
      </c>
      <c r="D327" s="90">
        <v>43612</v>
      </c>
      <c r="F327" s="47" t="s">
        <v>301</v>
      </c>
      <c r="G327" s="47" t="s">
        <v>157</v>
      </c>
      <c r="H327" s="47" t="s">
        <v>142</v>
      </c>
      <c r="I327" s="55">
        <v>69</v>
      </c>
    </row>
    <row r="328" spans="1:9">
      <c r="A328" s="47" t="s">
        <v>148</v>
      </c>
      <c r="B328" s="47" t="s">
        <v>269</v>
      </c>
      <c r="C328" s="50" t="s">
        <v>270</v>
      </c>
      <c r="D328" s="90">
        <v>43612</v>
      </c>
      <c r="F328" s="47" t="s">
        <v>269</v>
      </c>
      <c r="G328" s="47" t="s">
        <v>313</v>
      </c>
      <c r="H328" s="47" t="s">
        <v>142</v>
      </c>
      <c r="I328" s="55">
        <v>71</v>
      </c>
    </row>
    <row r="329" spans="1:9" s="59" customFormat="1">
      <c r="A329" s="47" t="s">
        <v>431</v>
      </c>
      <c r="B329" s="47" t="s">
        <v>316</v>
      </c>
      <c r="C329" s="50" t="s">
        <v>270</v>
      </c>
      <c r="D329" s="90">
        <v>43612</v>
      </c>
      <c r="E329" s="83"/>
      <c r="F329" s="47" t="s">
        <v>316</v>
      </c>
      <c r="G329" s="47" t="s">
        <v>327</v>
      </c>
      <c r="H329" s="47" t="s">
        <v>507</v>
      </c>
      <c r="I329" s="55" t="s">
        <v>506</v>
      </c>
    </row>
    <row r="330" spans="1:9" s="59" customFormat="1">
      <c r="A330" s="47" t="s">
        <v>144</v>
      </c>
      <c r="B330" s="47" t="s">
        <v>121</v>
      </c>
      <c r="C330" s="50" t="s">
        <v>270</v>
      </c>
      <c r="D330" s="90">
        <v>43612</v>
      </c>
      <c r="E330" s="83"/>
      <c r="F330" s="47" t="s">
        <v>121</v>
      </c>
      <c r="G330" s="47" t="s">
        <v>154</v>
      </c>
      <c r="H330" s="47" t="s">
        <v>507</v>
      </c>
      <c r="I330" s="55" t="s">
        <v>508</v>
      </c>
    </row>
    <row r="331" spans="1:9" s="59" customFormat="1">
      <c r="A331" s="47" t="s">
        <v>148</v>
      </c>
      <c r="B331" s="47" t="s">
        <v>269</v>
      </c>
      <c r="C331" s="50" t="s">
        <v>270</v>
      </c>
      <c r="D331" s="90">
        <v>43614</v>
      </c>
      <c r="E331" s="83"/>
      <c r="F331" s="47" t="s">
        <v>269</v>
      </c>
      <c r="G331" s="47" t="s">
        <v>313</v>
      </c>
      <c r="H331" s="47" t="s">
        <v>140</v>
      </c>
      <c r="I331" s="55" t="s">
        <v>511</v>
      </c>
    </row>
    <row r="332" spans="1:9" s="59" customFormat="1">
      <c r="A332" s="47" t="s">
        <v>144</v>
      </c>
      <c r="B332" s="47" t="s">
        <v>121</v>
      </c>
      <c r="C332" s="50" t="s">
        <v>270</v>
      </c>
      <c r="D332" s="90">
        <v>43620</v>
      </c>
      <c r="E332" s="83"/>
      <c r="F332" s="47" t="s">
        <v>121</v>
      </c>
      <c r="G332" s="47" t="s">
        <v>154</v>
      </c>
      <c r="H332" s="47" t="s">
        <v>507</v>
      </c>
      <c r="I332" s="55" t="s">
        <v>513</v>
      </c>
    </row>
    <row r="333" spans="1:9" s="59" customFormat="1">
      <c r="A333" s="47" t="s">
        <v>141</v>
      </c>
      <c r="B333" s="47" t="s">
        <v>269</v>
      </c>
      <c r="C333" s="50" t="s">
        <v>270</v>
      </c>
      <c r="D333" s="90">
        <v>43627</v>
      </c>
      <c r="E333" s="83"/>
      <c r="F333" s="47" t="s">
        <v>269</v>
      </c>
      <c r="G333" s="47" t="s">
        <v>152</v>
      </c>
      <c r="H333" s="47" t="s">
        <v>142</v>
      </c>
      <c r="I333" s="55" t="s">
        <v>509</v>
      </c>
    </row>
    <row r="334" spans="1:9">
      <c r="A334" s="47" t="s">
        <v>143</v>
      </c>
      <c r="B334" s="47" t="s">
        <v>316</v>
      </c>
      <c r="C334" s="50" t="s">
        <v>270</v>
      </c>
      <c r="D334" s="90">
        <v>43627</v>
      </c>
      <c r="F334" s="47" t="s">
        <v>316</v>
      </c>
      <c r="G334" s="47" t="s">
        <v>153</v>
      </c>
      <c r="H334" s="47" t="s">
        <v>142</v>
      </c>
      <c r="I334" s="55" t="s">
        <v>510</v>
      </c>
    </row>
    <row r="335" spans="1:9">
      <c r="A335" s="47" t="s">
        <v>144</v>
      </c>
      <c r="B335" s="47" t="s">
        <v>121</v>
      </c>
      <c r="C335" s="50" t="s">
        <v>270</v>
      </c>
      <c r="D335" s="90">
        <v>43627</v>
      </c>
      <c r="F335" s="47" t="s">
        <v>121</v>
      </c>
      <c r="G335" s="47" t="s">
        <v>154</v>
      </c>
      <c r="H335" s="47" t="s">
        <v>142</v>
      </c>
      <c r="I335" s="55">
        <v>73</v>
      </c>
    </row>
    <row r="336" spans="1:9">
      <c r="A336" s="47" t="s">
        <v>145</v>
      </c>
      <c r="B336" s="47" t="s">
        <v>316</v>
      </c>
      <c r="C336" s="50" t="s">
        <v>270</v>
      </c>
      <c r="D336" s="90">
        <v>43627</v>
      </c>
      <c r="F336" s="47" t="s">
        <v>316</v>
      </c>
      <c r="G336" s="47" t="s">
        <v>155</v>
      </c>
      <c r="H336" s="47" t="s">
        <v>142</v>
      </c>
      <c r="I336" s="55" t="s">
        <v>510</v>
      </c>
    </row>
    <row r="337" spans="1:9">
      <c r="A337" s="47" t="s">
        <v>146</v>
      </c>
      <c r="B337" s="47" t="s">
        <v>316</v>
      </c>
      <c r="C337" s="50" t="s">
        <v>270</v>
      </c>
      <c r="D337" s="90">
        <v>43627</v>
      </c>
      <c r="F337" s="47" t="s">
        <v>316</v>
      </c>
      <c r="G337" s="47" t="s">
        <v>156</v>
      </c>
      <c r="H337" s="47" t="s">
        <v>142</v>
      </c>
      <c r="I337" s="55" t="s">
        <v>510</v>
      </c>
    </row>
    <row r="338" spans="1:9">
      <c r="A338" s="47" t="s">
        <v>147</v>
      </c>
      <c r="B338" s="47" t="s">
        <v>301</v>
      </c>
      <c r="C338" s="50" t="s">
        <v>270</v>
      </c>
      <c r="D338" s="90">
        <v>43627</v>
      </c>
      <c r="F338" s="47" t="s">
        <v>301</v>
      </c>
      <c r="G338" s="47" t="s">
        <v>157</v>
      </c>
      <c r="H338" s="47" t="s">
        <v>142</v>
      </c>
      <c r="I338" s="55">
        <v>73</v>
      </c>
    </row>
    <row r="339" spans="1:9">
      <c r="A339" s="47" t="s">
        <v>148</v>
      </c>
      <c r="B339" s="47" t="s">
        <v>269</v>
      </c>
      <c r="C339" s="50" t="s">
        <v>270</v>
      </c>
      <c r="D339" s="90">
        <v>43627</v>
      </c>
      <c r="F339" s="47" t="s">
        <v>269</v>
      </c>
      <c r="G339" s="47" t="s">
        <v>313</v>
      </c>
      <c r="H339" s="47" t="s">
        <v>142</v>
      </c>
      <c r="I339" s="55" t="s">
        <v>509</v>
      </c>
    </row>
    <row r="340" spans="1:9">
      <c r="A340" s="47" t="s">
        <v>143</v>
      </c>
      <c r="B340" s="47" t="s">
        <v>316</v>
      </c>
      <c r="C340" s="50" t="s">
        <v>270</v>
      </c>
      <c r="D340" s="90">
        <v>43627</v>
      </c>
      <c r="F340" s="47" t="s">
        <v>316</v>
      </c>
      <c r="G340" s="47" t="s">
        <v>153</v>
      </c>
      <c r="H340" s="47" t="s">
        <v>140</v>
      </c>
      <c r="I340" s="55" t="s">
        <v>512</v>
      </c>
    </row>
    <row r="341" spans="1:9" s="59" customFormat="1">
      <c r="A341" s="47" t="s">
        <v>148</v>
      </c>
      <c r="B341" s="47" t="s">
        <v>269</v>
      </c>
      <c r="C341" s="50" t="s">
        <v>270</v>
      </c>
      <c r="D341" s="90">
        <v>43633</v>
      </c>
      <c r="E341" s="83"/>
      <c r="F341" s="47" t="s">
        <v>269</v>
      </c>
      <c r="G341" s="47" t="s">
        <v>313</v>
      </c>
      <c r="H341" s="47" t="s">
        <v>140</v>
      </c>
      <c r="I341" s="55" t="s">
        <v>514</v>
      </c>
    </row>
    <row r="342" spans="1:9" s="59" customFormat="1">
      <c r="A342" s="47" t="s">
        <v>431</v>
      </c>
      <c r="B342" s="47" t="s">
        <v>316</v>
      </c>
      <c r="C342" s="50" t="s">
        <v>270</v>
      </c>
      <c r="D342" s="90">
        <v>43642</v>
      </c>
      <c r="E342" s="83"/>
      <c r="F342" s="47" t="s">
        <v>316</v>
      </c>
      <c r="G342" s="47" t="s">
        <v>327</v>
      </c>
      <c r="H342" s="47" t="s">
        <v>140</v>
      </c>
      <c r="I342" s="55" t="s">
        <v>515</v>
      </c>
    </row>
    <row r="343" spans="1:9">
      <c r="A343" s="47" t="s">
        <v>141</v>
      </c>
      <c r="B343" s="47" t="s">
        <v>269</v>
      </c>
      <c r="C343" s="50" t="s">
        <v>270</v>
      </c>
      <c r="D343" s="90">
        <v>43644</v>
      </c>
      <c r="F343" s="47" t="s">
        <v>269</v>
      </c>
      <c r="G343" s="47" t="s">
        <v>152</v>
      </c>
      <c r="H343" s="47" t="s">
        <v>140</v>
      </c>
      <c r="I343" s="55" t="s">
        <v>516</v>
      </c>
    </row>
    <row r="344" spans="1:9">
      <c r="A344" s="47" t="s">
        <v>138</v>
      </c>
      <c r="B344" s="47"/>
      <c r="C344" s="50" t="s">
        <v>270</v>
      </c>
      <c r="D344" s="90">
        <v>43644</v>
      </c>
      <c r="I344" s="55" t="s">
        <v>517</v>
      </c>
    </row>
    <row r="345" spans="1:9">
      <c r="A345" s="47" t="s">
        <v>520</v>
      </c>
      <c r="B345" s="47" t="s">
        <v>269</v>
      </c>
      <c r="C345" s="50" t="s">
        <v>270</v>
      </c>
      <c r="D345" s="90">
        <v>43644</v>
      </c>
      <c r="F345" s="47" t="s">
        <v>269</v>
      </c>
      <c r="G345" s="47" t="s">
        <v>327</v>
      </c>
      <c r="H345" s="47" t="s">
        <v>140</v>
      </c>
      <c r="I345" s="55" t="s">
        <v>518</v>
      </c>
    </row>
    <row r="346" spans="1:9" ht="23.25">
      <c r="A346" s="47" t="s">
        <v>431</v>
      </c>
      <c r="B346" s="47" t="s">
        <v>316</v>
      </c>
      <c r="C346" s="50" t="s">
        <v>270</v>
      </c>
      <c r="D346" s="90">
        <v>43644</v>
      </c>
      <c r="F346" s="47" t="s">
        <v>316</v>
      </c>
      <c r="G346" s="47" t="s">
        <v>327</v>
      </c>
      <c r="H346" s="47" t="s">
        <v>140</v>
      </c>
      <c r="I346" s="105" t="s">
        <v>522</v>
      </c>
    </row>
    <row r="347" spans="1:9">
      <c r="A347" s="47" t="s">
        <v>144</v>
      </c>
      <c r="B347" s="47" t="s">
        <v>121</v>
      </c>
      <c r="C347" s="50" t="s">
        <v>270</v>
      </c>
      <c r="D347" s="90">
        <v>43644</v>
      </c>
      <c r="F347" s="47" t="s">
        <v>121</v>
      </c>
      <c r="G347" s="47" t="s">
        <v>154</v>
      </c>
      <c r="H347" s="47" t="s">
        <v>140</v>
      </c>
      <c r="I347" s="55" t="s">
        <v>519</v>
      </c>
    </row>
    <row r="348" spans="1:9">
      <c r="A348" s="47" t="s">
        <v>147</v>
      </c>
      <c r="B348" s="47" t="s">
        <v>301</v>
      </c>
      <c r="C348" s="50" t="s">
        <v>270</v>
      </c>
      <c r="D348" s="90">
        <v>43644</v>
      </c>
      <c r="F348" s="47" t="s">
        <v>301</v>
      </c>
      <c r="G348" s="47" t="s">
        <v>157</v>
      </c>
      <c r="H348" s="47" t="s">
        <v>140</v>
      </c>
      <c r="I348" s="55" t="s">
        <v>521</v>
      </c>
    </row>
    <row r="349" spans="1:9">
      <c r="A349" s="47" t="s">
        <v>523</v>
      </c>
      <c r="B349" s="47" t="s">
        <v>299</v>
      </c>
      <c r="C349" s="50" t="s">
        <v>270</v>
      </c>
      <c r="D349" s="90">
        <v>43657</v>
      </c>
      <c r="F349" s="47" t="s">
        <v>299</v>
      </c>
      <c r="G349" s="47" t="s">
        <v>299</v>
      </c>
      <c r="H349" s="47" t="s">
        <v>524</v>
      </c>
      <c r="I349" s="55" t="s">
        <v>525</v>
      </c>
    </row>
    <row r="350" spans="1:9">
      <c r="A350" s="47" t="s">
        <v>523</v>
      </c>
      <c r="B350" s="47" t="s">
        <v>299</v>
      </c>
      <c r="C350" s="50" t="s">
        <v>270</v>
      </c>
      <c r="D350" s="90">
        <v>43657</v>
      </c>
      <c r="F350" s="47" t="s">
        <v>299</v>
      </c>
      <c r="G350" s="47" t="s">
        <v>299</v>
      </c>
      <c r="H350" s="47" t="s">
        <v>524</v>
      </c>
      <c r="I350" s="55" t="s">
        <v>526</v>
      </c>
    </row>
    <row r="351" spans="1:9" s="59" customFormat="1">
      <c r="A351" s="47" t="s">
        <v>147</v>
      </c>
      <c r="B351" s="47" t="s">
        <v>301</v>
      </c>
      <c r="C351" s="50" t="s">
        <v>270</v>
      </c>
      <c r="D351" s="90">
        <v>43657</v>
      </c>
      <c r="E351" s="83"/>
      <c r="F351" s="47" t="s">
        <v>301</v>
      </c>
      <c r="G351" s="47" t="s">
        <v>157</v>
      </c>
      <c r="H351" s="47" t="s">
        <v>524</v>
      </c>
      <c r="I351" s="55" t="s">
        <v>527</v>
      </c>
    </row>
    <row r="352" spans="1:9">
      <c r="A352" s="47" t="s">
        <v>141</v>
      </c>
      <c r="B352" s="47" t="s">
        <v>553</v>
      </c>
      <c r="C352" s="50" t="s">
        <v>554</v>
      </c>
      <c r="D352" s="90">
        <v>43703</v>
      </c>
      <c r="F352" s="47" t="s">
        <v>553</v>
      </c>
      <c r="G352" s="47" t="s">
        <v>152</v>
      </c>
      <c r="H352" s="47" t="s">
        <v>142</v>
      </c>
      <c r="I352" s="55" t="s">
        <v>312</v>
      </c>
    </row>
    <row r="353" spans="1:9">
      <c r="A353" s="47" t="s">
        <v>143</v>
      </c>
      <c r="B353" s="47" t="s">
        <v>553</v>
      </c>
      <c r="C353" s="50" t="s">
        <v>554</v>
      </c>
      <c r="D353" s="90">
        <v>43703</v>
      </c>
      <c r="F353" s="47" t="s">
        <v>553</v>
      </c>
      <c r="G353" s="47" t="s">
        <v>153</v>
      </c>
      <c r="H353" s="47" t="s">
        <v>142</v>
      </c>
      <c r="I353" s="55" t="s">
        <v>312</v>
      </c>
    </row>
    <row r="354" spans="1:9">
      <c r="A354" s="47" t="s">
        <v>144</v>
      </c>
      <c r="B354" s="47" t="s">
        <v>553</v>
      </c>
      <c r="C354" s="50" t="s">
        <v>554</v>
      </c>
      <c r="D354" s="90">
        <v>43703</v>
      </c>
      <c r="F354" s="47" t="s">
        <v>553</v>
      </c>
      <c r="G354" s="47" t="s">
        <v>154</v>
      </c>
      <c r="H354" s="47" t="s">
        <v>142</v>
      </c>
      <c r="I354" s="55" t="s">
        <v>555</v>
      </c>
    </row>
    <row r="355" spans="1:9">
      <c r="A355" s="47" t="s">
        <v>145</v>
      </c>
      <c r="B355" s="47" t="s">
        <v>553</v>
      </c>
      <c r="C355" s="50" t="s">
        <v>554</v>
      </c>
      <c r="D355" s="90">
        <v>43703</v>
      </c>
      <c r="F355" s="47" t="s">
        <v>553</v>
      </c>
      <c r="G355" s="47" t="s">
        <v>155</v>
      </c>
      <c r="H355" s="47" t="s">
        <v>142</v>
      </c>
      <c r="I355" s="55" t="s">
        <v>312</v>
      </c>
    </row>
    <row r="356" spans="1:9">
      <c r="A356" s="47" t="s">
        <v>146</v>
      </c>
      <c r="B356" s="47" t="s">
        <v>553</v>
      </c>
      <c r="C356" s="50" t="s">
        <v>554</v>
      </c>
      <c r="D356" s="90">
        <v>43703</v>
      </c>
      <c r="F356" s="47" t="s">
        <v>553</v>
      </c>
      <c r="G356" s="47" t="s">
        <v>156</v>
      </c>
      <c r="H356" s="47" t="s">
        <v>142</v>
      </c>
      <c r="I356" s="55" t="s">
        <v>312</v>
      </c>
    </row>
    <row r="357" spans="1:9">
      <c r="A357" s="47" t="s">
        <v>148</v>
      </c>
      <c r="B357" s="47" t="s">
        <v>553</v>
      </c>
      <c r="C357" s="50" t="s">
        <v>554</v>
      </c>
      <c r="D357" s="90">
        <v>43703</v>
      </c>
      <c r="F357" s="47" t="s">
        <v>553</v>
      </c>
      <c r="G357" s="47" t="s">
        <v>313</v>
      </c>
      <c r="H357" s="47" t="s">
        <v>142</v>
      </c>
      <c r="I357" s="55" t="s">
        <v>556</v>
      </c>
    </row>
    <row r="358" spans="1:9">
      <c r="A358" s="47" t="s">
        <v>143</v>
      </c>
      <c r="B358" s="47" t="s">
        <v>553</v>
      </c>
      <c r="C358" s="50" t="s">
        <v>554</v>
      </c>
      <c r="D358" s="90">
        <v>43696</v>
      </c>
      <c r="F358" s="47" t="s">
        <v>553</v>
      </c>
      <c r="G358" s="47" t="s">
        <v>153</v>
      </c>
      <c r="H358" s="47" t="s">
        <v>140</v>
      </c>
      <c r="I358" s="105" t="s">
        <v>557</v>
      </c>
    </row>
    <row r="359" spans="1:9" s="59" customFormat="1">
      <c r="A359" s="47" t="s">
        <v>559</v>
      </c>
      <c r="B359" s="47" t="s">
        <v>553</v>
      </c>
      <c r="C359" s="50" t="s">
        <v>554</v>
      </c>
      <c r="D359" s="90">
        <v>43696</v>
      </c>
      <c r="E359" s="83"/>
      <c r="F359" s="47" t="s">
        <v>553</v>
      </c>
      <c r="G359" s="47" t="s">
        <v>299</v>
      </c>
      <c r="H359" s="47" t="s">
        <v>140</v>
      </c>
      <c r="I359" s="105" t="s">
        <v>560</v>
      </c>
    </row>
    <row r="360" spans="1:9" s="59" customFormat="1">
      <c r="A360" s="47" t="s">
        <v>148</v>
      </c>
      <c r="B360" s="47" t="s">
        <v>553</v>
      </c>
      <c r="C360" s="50" t="s">
        <v>554</v>
      </c>
      <c r="D360" s="90">
        <v>43710</v>
      </c>
      <c r="E360" s="83"/>
      <c r="F360" s="47" t="s">
        <v>553</v>
      </c>
      <c r="G360" s="47" t="s">
        <v>313</v>
      </c>
      <c r="H360" s="47" t="s">
        <v>140</v>
      </c>
      <c r="I360" s="105" t="s">
        <v>558</v>
      </c>
    </row>
    <row r="361" spans="1:9" s="59" customFormat="1">
      <c r="A361" s="47" t="s">
        <v>571</v>
      </c>
      <c r="B361" s="47" t="s">
        <v>299</v>
      </c>
      <c r="C361" s="50" t="s">
        <v>554</v>
      </c>
      <c r="D361" s="90">
        <v>43711</v>
      </c>
      <c r="E361" s="83"/>
      <c r="F361" s="47" t="s">
        <v>299</v>
      </c>
      <c r="G361" s="47" t="s">
        <v>138</v>
      </c>
      <c r="H361" s="47" t="s">
        <v>140</v>
      </c>
      <c r="I361" s="105" t="s">
        <v>572</v>
      </c>
    </row>
    <row r="362" spans="1:9" s="59" customFormat="1">
      <c r="A362" s="47" t="s">
        <v>148</v>
      </c>
      <c r="B362" s="47" t="s">
        <v>553</v>
      </c>
      <c r="C362" s="50" t="s">
        <v>554</v>
      </c>
      <c r="D362" s="90">
        <v>43713</v>
      </c>
      <c r="E362" s="83"/>
      <c r="F362" s="47" t="s">
        <v>553</v>
      </c>
      <c r="G362" s="47" t="s">
        <v>313</v>
      </c>
      <c r="H362" s="47" t="s">
        <v>140</v>
      </c>
      <c r="I362" s="105" t="s">
        <v>573</v>
      </c>
    </row>
    <row r="363" spans="1:9" s="59" customFormat="1">
      <c r="A363" s="47" t="s">
        <v>141</v>
      </c>
      <c r="B363" s="47" t="s">
        <v>553</v>
      </c>
      <c r="C363" s="50" t="s">
        <v>554</v>
      </c>
      <c r="D363" s="90">
        <v>43714</v>
      </c>
      <c r="E363" s="83"/>
      <c r="F363" s="47" t="s">
        <v>553</v>
      </c>
      <c r="G363" s="47" t="s">
        <v>152</v>
      </c>
      <c r="H363" s="47" t="s">
        <v>142</v>
      </c>
      <c r="I363" s="55">
        <v>13</v>
      </c>
    </row>
    <row r="364" spans="1:9" s="59" customFormat="1">
      <c r="A364" s="47" t="s">
        <v>143</v>
      </c>
      <c r="B364" s="47" t="s">
        <v>553</v>
      </c>
      <c r="C364" s="50" t="s">
        <v>554</v>
      </c>
      <c r="D364" s="90">
        <v>43714</v>
      </c>
      <c r="E364" s="83"/>
      <c r="F364" s="47" t="s">
        <v>553</v>
      </c>
      <c r="G364" s="47" t="s">
        <v>153</v>
      </c>
      <c r="H364" s="47" t="s">
        <v>142</v>
      </c>
      <c r="I364" s="55">
        <v>12</v>
      </c>
    </row>
    <row r="365" spans="1:9" s="59" customFormat="1">
      <c r="A365" s="47" t="s">
        <v>144</v>
      </c>
      <c r="B365" s="47" t="s">
        <v>553</v>
      </c>
      <c r="C365" s="50" t="s">
        <v>554</v>
      </c>
      <c r="D365" s="90">
        <v>43714</v>
      </c>
      <c r="E365" s="83"/>
      <c r="F365" s="47" t="s">
        <v>553</v>
      </c>
      <c r="G365" s="47" t="s">
        <v>154</v>
      </c>
      <c r="H365" s="47" t="s">
        <v>142</v>
      </c>
      <c r="I365" s="55">
        <v>12</v>
      </c>
    </row>
    <row r="366" spans="1:9" s="59" customFormat="1">
      <c r="A366" s="47" t="s">
        <v>145</v>
      </c>
      <c r="B366" s="47" t="s">
        <v>553</v>
      </c>
      <c r="C366" s="50" t="s">
        <v>554</v>
      </c>
      <c r="D366" s="90">
        <v>43714</v>
      </c>
      <c r="E366" s="83"/>
      <c r="F366" s="47" t="s">
        <v>553</v>
      </c>
      <c r="G366" s="47" t="s">
        <v>155</v>
      </c>
      <c r="H366" s="47" t="s">
        <v>142</v>
      </c>
      <c r="I366" s="55">
        <v>11</v>
      </c>
    </row>
    <row r="367" spans="1:9" s="59" customFormat="1">
      <c r="A367" s="47" t="s">
        <v>146</v>
      </c>
      <c r="B367" s="47" t="s">
        <v>553</v>
      </c>
      <c r="C367" s="50" t="s">
        <v>554</v>
      </c>
      <c r="D367" s="90">
        <v>43714</v>
      </c>
      <c r="E367" s="83"/>
      <c r="F367" s="47" t="s">
        <v>553</v>
      </c>
      <c r="G367" s="47" t="s">
        <v>156</v>
      </c>
      <c r="H367" s="47" t="s">
        <v>142</v>
      </c>
      <c r="I367" s="55">
        <v>11</v>
      </c>
    </row>
    <row r="368" spans="1:9" s="59" customFormat="1">
      <c r="A368" s="47" t="s">
        <v>148</v>
      </c>
      <c r="B368" s="47" t="s">
        <v>553</v>
      </c>
      <c r="C368" s="50" t="s">
        <v>554</v>
      </c>
      <c r="D368" s="90">
        <v>43714</v>
      </c>
      <c r="E368" s="83"/>
      <c r="F368" s="47" t="s">
        <v>553</v>
      </c>
      <c r="G368" s="47" t="s">
        <v>313</v>
      </c>
      <c r="H368" s="47" t="s">
        <v>142</v>
      </c>
      <c r="I368" s="55">
        <v>12</v>
      </c>
    </row>
    <row r="369" spans="1:9" s="59" customFormat="1">
      <c r="A369" s="47" t="s">
        <v>141</v>
      </c>
      <c r="B369" s="47" t="s">
        <v>553</v>
      </c>
      <c r="C369" s="50" t="s">
        <v>554</v>
      </c>
      <c r="D369" s="90">
        <v>43726</v>
      </c>
      <c r="E369" s="83"/>
      <c r="F369" s="47" t="s">
        <v>553</v>
      </c>
      <c r="G369" s="47" t="s">
        <v>152</v>
      </c>
      <c r="H369" s="47" t="s">
        <v>142</v>
      </c>
      <c r="I369" s="55">
        <v>15</v>
      </c>
    </row>
    <row r="370" spans="1:9" s="59" customFormat="1">
      <c r="A370" s="47" t="s">
        <v>143</v>
      </c>
      <c r="B370" s="47" t="s">
        <v>553</v>
      </c>
      <c r="C370" s="50" t="s">
        <v>554</v>
      </c>
      <c r="D370" s="90">
        <v>43726</v>
      </c>
      <c r="E370" s="83"/>
      <c r="F370" s="47" t="s">
        <v>553</v>
      </c>
      <c r="G370" s="47" t="s">
        <v>153</v>
      </c>
      <c r="H370" s="47" t="s">
        <v>142</v>
      </c>
      <c r="I370" s="55">
        <v>14</v>
      </c>
    </row>
    <row r="371" spans="1:9" s="59" customFormat="1">
      <c r="A371" s="47" t="s">
        <v>144</v>
      </c>
      <c r="B371" s="47" t="s">
        <v>553</v>
      </c>
      <c r="C371" s="50" t="s">
        <v>554</v>
      </c>
      <c r="D371" s="90">
        <v>43726</v>
      </c>
      <c r="E371" s="83"/>
      <c r="F371" s="47" t="s">
        <v>553</v>
      </c>
      <c r="G371" s="47" t="s">
        <v>154</v>
      </c>
      <c r="H371" s="47" t="s">
        <v>142</v>
      </c>
      <c r="I371" s="55">
        <v>14</v>
      </c>
    </row>
    <row r="372" spans="1:9" s="59" customFormat="1">
      <c r="A372" s="47" t="s">
        <v>145</v>
      </c>
      <c r="B372" s="47" t="s">
        <v>553</v>
      </c>
      <c r="C372" s="50" t="s">
        <v>554</v>
      </c>
      <c r="D372" s="90">
        <v>43726</v>
      </c>
      <c r="E372" s="83"/>
      <c r="F372" s="47" t="s">
        <v>553</v>
      </c>
      <c r="G372" s="47" t="s">
        <v>155</v>
      </c>
      <c r="H372" s="47" t="s">
        <v>142</v>
      </c>
      <c r="I372" s="55">
        <v>14</v>
      </c>
    </row>
    <row r="373" spans="1:9" s="59" customFormat="1">
      <c r="A373" s="47" t="s">
        <v>146</v>
      </c>
      <c r="B373" s="47" t="s">
        <v>553</v>
      </c>
      <c r="C373" s="50" t="s">
        <v>554</v>
      </c>
      <c r="D373" s="90">
        <v>43726</v>
      </c>
      <c r="E373" s="83"/>
      <c r="F373" s="47" t="s">
        <v>553</v>
      </c>
      <c r="G373" s="47" t="s">
        <v>156</v>
      </c>
      <c r="H373" s="47" t="s">
        <v>142</v>
      </c>
      <c r="I373" s="55">
        <v>14</v>
      </c>
    </row>
    <row r="374" spans="1:9" s="59" customFormat="1">
      <c r="A374" s="47" t="s">
        <v>148</v>
      </c>
      <c r="B374" s="47" t="s">
        <v>553</v>
      </c>
      <c r="C374" s="50" t="s">
        <v>554</v>
      </c>
      <c r="D374" s="90">
        <v>43726</v>
      </c>
      <c r="E374" s="83"/>
      <c r="F374" s="47" t="s">
        <v>553</v>
      </c>
      <c r="G374" s="47" t="s">
        <v>313</v>
      </c>
      <c r="H374" s="47" t="s">
        <v>142</v>
      </c>
      <c r="I374" s="55">
        <v>14</v>
      </c>
    </row>
    <row r="375" spans="1:9" s="59" customFormat="1">
      <c r="A375" s="47" t="s">
        <v>141</v>
      </c>
      <c r="B375" s="47" t="s">
        <v>553</v>
      </c>
      <c r="C375" s="50" t="s">
        <v>554</v>
      </c>
      <c r="D375" s="90">
        <v>43726</v>
      </c>
      <c r="E375" s="83"/>
      <c r="F375" s="47" t="s">
        <v>553</v>
      </c>
      <c r="G375" s="47" t="s">
        <v>152</v>
      </c>
      <c r="H375" s="47" t="s">
        <v>140</v>
      </c>
      <c r="I375" s="55" t="s">
        <v>576</v>
      </c>
    </row>
    <row r="376" spans="1:9" s="59" customFormat="1">
      <c r="A376" s="47" t="s">
        <v>144</v>
      </c>
      <c r="B376" s="47" t="s">
        <v>553</v>
      </c>
      <c r="C376" s="50" t="s">
        <v>554</v>
      </c>
      <c r="D376" s="90">
        <v>43727</v>
      </c>
      <c r="E376" s="83"/>
      <c r="F376" s="47" t="s">
        <v>553</v>
      </c>
      <c r="G376" s="47" t="s">
        <v>154</v>
      </c>
      <c r="H376" s="47" t="s">
        <v>140</v>
      </c>
      <c r="I376" s="55" t="s">
        <v>577</v>
      </c>
    </row>
    <row r="377" spans="1:9">
      <c r="A377" s="47" t="s">
        <v>141</v>
      </c>
      <c r="B377" s="47" t="s">
        <v>553</v>
      </c>
      <c r="C377" s="50" t="s">
        <v>554</v>
      </c>
      <c r="D377" s="90">
        <v>43727</v>
      </c>
      <c r="F377" s="47" t="s">
        <v>553</v>
      </c>
      <c r="G377" s="47" t="s">
        <v>152</v>
      </c>
      <c r="H377" s="47" t="s">
        <v>140</v>
      </c>
      <c r="I377" s="55" t="s">
        <v>574</v>
      </c>
    </row>
    <row r="378" spans="1:9">
      <c r="A378" s="47" t="s">
        <v>143</v>
      </c>
      <c r="B378" s="47" t="s">
        <v>553</v>
      </c>
      <c r="C378" s="50" t="s">
        <v>554</v>
      </c>
      <c r="D378" s="90">
        <v>43727</v>
      </c>
      <c r="F378" s="47" t="s">
        <v>553</v>
      </c>
      <c r="G378" s="47" t="s">
        <v>153</v>
      </c>
      <c r="H378" s="47" t="s">
        <v>140</v>
      </c>
      <c r="I378" s="55" t="s">
        <v>575</v>
      </c>
    </row>
    <row r="379" spans="1:9">
      <c r="A379" s="47" t="s">
        <v>578</v>
      </c>
      <c r="B379" s="47" t="s">
        <v>553</v>
      </c>
      <c r="C379" s="50" t="s">
        <v>554</v>
      </c>
      <c r="D379" s="90">
        <v>43727</v>
      </c>
      <c r="F379" s="47" t="s">
        <v>553</v>
      </c>
      <c r="G379" s="47" t="s">
        <v>299</v>
      </c>
      <c r="H379" s="47" t="s">
        <v>140</v>
      </c>
      <c r="I379" s="55" t="s">
        <v>579</v>
      </c>
    </row>
    <row r="380" spans="1:9" ht="15" customHeight="1">
      <c r="A380" s="47" t="s">
        <v>580</v>
      </c>
      <c r="B380" s="47" t="s">
        <v>553</v>
      </c>
      <c r="C380" s="50" t="s">
        <v>554</v>
      </c>
      <c r="D380" s="90">
        <v>43727</v>
      </c>
      <c r="F380" s="47" t="s">
        <v>553</v>
      </c>
      <c r="G380" s="47" t="s">
        <v>299</v>
      </c>
      <c r="H380" s="47" t="s">
        <v>140</v>
      </c>
      <c r="I380" s="55" t="s">
        <v>581</v>
      </c>
    </row>
    <row r="381" spans="1:9">
      <c r="A381" s="47" t="s">
        <v>588</v>
      </c>
      <c r="B381" s="47" t="s">
        <v>553</v>
      </c>
      <c r="C381" s="50" t="s">
        <v>554</v>
      </c>
      <c r="D381" s="90">
        <v>43738</v>
      </c>
      <c r="F381" s="47" t="s">
        <v>553</v>
      </c>
      <c r="G381" s="47" t="s">
        <v>299</v>
      </c>
      <c r="H381" s="47" t="s">
        <v>140</v>
      </c>
      <c r="I381" s="55" t="s">
        <v>589</v>
      </c>
    </row>
    <row r="382" spans="1:9">
      <c r="A382" s="47" t="s">
        <v>591</v>
      </c>
      <c r="B382" s="47" t="s">
        <v>553</v>
      </c>
      <c r="C382" s="50" t="s">
        <v>554</v>
      </c>
      <c r="D382" s="90">
        <v>43741</v>
      </c>
      <c r="F382" s="47" t="s">
        <v>553</v>
      </c>
      <c r="G382" s="47" t="s">
        <v>299</v>
      </c>
      <c r="H382" s="47" t="s">
        <v>140</v>
      </c>
      <c r="I382" s="55" t="s">
        <v>590</v>
      </c>
    </row>
    <row r="383" spans="1:9">
      <c r="A383" s="47" t="s">
        <v>593</v>
      </c>
      <c r="B383" s="47" t="s">
        <v>553</v>
      </c>
      <c r="C383" s="50" t="s">
        <v>554</v>
      </c>
      <c r="D383" s="90">
        <v>43741</v>
      </c>
      <c r="F383" s="47" t="s">
        <v>553</v>
      </c>
      <c r="G383" s="47" t="s">
        <v>299</v>
      </c>
      <c r="H383" s="47" t="s">
        <v>142</v>
      </c>
      <c r="I383" s="55" t="s">
        <v>592</v>
      </c>
    </row>
    <row r="384" spans="1:9" s="59" customFormat="1">
      <c r="A384" s="47" t="s">
        <v>141</v>
      </c>
      <c r="B384" s="47" t="s">
        <v>553</v>
      </c>
      <c r="C384" s="50" t="s">
        <v>554</v>
      </c>
      <c r="D384" s="90">
        <v>43747</v>
      </c>
      <c r="E384" s="83"/>
      <c r="F384" s="47" t="s">
        <v>553</v>
      </c>
      <c r="G384" s="47" t="s">
        <v>152</v>
      </c>
      <c r="H384" s="47" t="s">
        <v>142</v>
      </c>
      <c r="I384" s="55">
        <v>16</v>
      </c>
    </row>
    <row r="385" spans="1:9" s="59" customFormat="1">
      <c r="A385" s="47" t="s">
        <v>143</v>
      </c>
      <c r="B385" s="47" t="s">
        <v>553</v>
      </c>
      <c r="C385" s="50" t="s">
        <v>554</v>
      </c>
      <c r="D385" s="90">
        <v>43747</v>
      </c>
      <c r="E385" s="83"/>
      <c r="F385" s="47" t="s">
        <v>553</v>
      </c>
      <c r="G385" s="47" t="s">
        <v>153</v>
      </c>
      <c r="H385" s="47" t="s">
        <v>142</v>
      </c>
      <c r="I385" s="55">
        <v>17</v>
      </c>
    </row>
    <row r="386" spans="1:9" s="59" customFormat="1">
      <c r="A386" s="47" t="s">
        <v>144</v>
      </c>
      <c r="B386" s="47" t="s">
        <v>553</v>
      </c>
      <c r="C386" s="50" t="s">
        <v>554</v>
      </c>
      <c r="D386" s="90">
        <v>43747</v>
      </c>
      <c r="E386" s="83"/>
      <c r="F386" s="47" t="s">
        <v>553</v>
      </c>
      <c r="G386" s="47" t="s">
        <v>154</v>
      </c>
      <c r="H386" s="47" t="s">
        <v>142</v>
      </c>
      <c r="I386" s="55">
        <v>17</v>
      </c>
    </row>
    <row r="387" spans="1:9" s="59" customFormat="1">
      <c r="A387" s="47" t="s">
        <v>145</v>
      </c>
      <c r="B387" s="47" t="s">
        <v>553</v>
      </c>
      <c r="C387" s="50" t="s">
        <v>554</v>
      </c>
      <c r="D387" s="90">
        <v>43747</v>
      </c>
      <c r="E387" s="83"/>
      <c r="F387" s="47" t="s">
        <v>553</v>
      </c>
      <c r="G387" s="47" t="s">
        <v>155</v>
      </c>
      <c r="H387" s="47" t="s">
        <v>142</v>
      </c>
      <c r="I387" s="55">
        <v>17</v>
      </c>
    </row>
    <row r="388" spans="1:9" s="59" customFormat="1">
      <c r="A388" s="47" t="s">
        <v>146</v>
      </c>
      <c r="B388" s="47" t="s">
        <v>553</v>
      </c>
      <c r="C388" s="50" t="s">
        <v>554</v>
      </c>
      <c r="D388" s="90">
        <v>43747</v>
      </c>
      <c r="E388" s="83"/>
      <c r="F388" s="47" t="s">
        <v>553</v>
      </c>
      <c r="G388" s="47" t="s">
        <v>156</v>
      </c>
      <c r="H388" s="47" t="s">
        <v>142</v>
      </c>
      <c r="I388" s="55">
        <v>17</v>
      </c>
    </row>
    <row r="389" spans="1:9" s="59" customFormat="1">
      <c r="A389" s="47" t="s">
        <v>148</v>
      </c>
      <c r="B389" s="47" t="s">
        <v>553</v>
      </c>
      <c r="C389" s="50" t="s">
        <v>554</v>
      </c>
      <c r="D389" s="90">
        <v>43747</v>
      </c>
      <c r="E389" s="83"/>
      <c r="F389" s="47" t="s">
        <v>553</v>
      </c>
      <c r="G389" s="47" t="s">
        <v>313</v>
      </c>
      <c r="H389" s="47" t="s">
        <v>142</v>
      </c>
      <c r="I389" s="55">
        <v>18</v>
      </c>
    </row>
    <row r="390" spans="1:9">
      <c r="A390" s="47" t="s">
        <v>593</v>
      </c>
      <c r="B390" s="47" t="s">
        <v>553</v>
      </c>
      <c r="C390" s="50" t="s">
        <v>554</v>
      </c>
      <c r="D390" s="90">
        <v>43752</v>
      </c>
      <c r="F390" s="47" t="s">
        <v>553</v>
      </c>
      <c r="G390" s="47" t="s">
        <v>299</v>
      </c>
      <c r="H390" s="47" t="s">
        <v>140</v>
      </c>
      <c r="I390" s="55" t="s">
        <v>657</v>
      </c>
    </row>
    <row r="391" spans="1:9" s="59" customFormat="1">
      <c r="A391" s="47" t="s">
        <v>141</v>
      </c>
      <c r="B391" s="47" t="s">
        <v>553</v>
      </c>
      <c r="C391" s="50" t="s">
        <v>554</v>
      </c>
      <c r="D391" s="90">
        <v>43761</v>
      </c>
      <c r="E391" s="83"/>
      <c r="F391" s="47" t="s">
        <v>553</v>
      </c>
      <c r="G391" s="47" t="s">
        <v>152</v>
      </c>
      <c r="H391" s="47" t="s">
        <v>142</v>
      </c>
      <c r="I391" s="55">
        <v>18</v>
      </c>
    </row>
    <row r="392" spans="1:9" s="59" customFormat="1">
      <c r="A392" s="47" t="s">
        <v>143</v>
      </c>
      <c r="B392" s="47" t="s">
        <v>553</v>
      </c>
      <c r="C392" s="50" t="s">
        <v>554</v>
      </c>
      <c r="D392" s="90">
        <v>43761</v>
      </c>
      <c r="E392" s="83"/>
      <c r="F392" s="47" t="s">
        <v>553</v>
      </c>
      <c r="G392" s="47" t="s">
        <v>153</v>
      </c>
      <c r="H392" s="47" t="s">
        <v>142</v>
      </c>
      <c r="I392" s="55">
        <v>18</v>
      </c>
    </row>
    <row r="393" spans="1:9" s="59" customFormat="1">
      <c r="A393" s="47" t="s">
        <v>144</v>
      </c>
      <c r="B393" s="47" t="s">
        <v>553</v>
      </c>
      <c r="C393" s="50" t="s">
        <v>554</v>
      </c>
      <c r="D393" s="90">
        <v>43761</v>
      </c>
      <c r="E393" s="83"/>
      <c r="F393" s="47" t="s">
        <v>553</v>
      </c>
      <c r="G393" s="47" t="s">
        <v>154</v>
      </c>
      <c r="H393" s="47" t="s">
        <v>142</v>
      </c>
      <c r="I393" s="55" t="s">
        <v>659</v>
      </c>
    </row>
    <row r="394" spans="1:9" s="59" customFormat="1">
      <c r="A394" s="47" t="s">
        <v>145</v>
      </c>
      <c r="B394" s="47" t="s">
        <v>553</v>
      </c>
      <c r="C394" s="50" t="s">
        <v>554</v>
      </c>
      <c r="D394" s="90">
        <v>43761</v>
      </c>
      <c r="E394" s="83"/>
      <c r="F394" s="47" t="s">
        <v>553</v>
      </c>
      <c r="G394" s="47" t="s">
        <v>155</v>
      </c>
      <c r="H394" s="47" t="s">
        <v>142</v>
      </c>
      <c r="I394" s="55">
        <v>18</v>
      </c>
    </row>
    <row r="395" spans="1:9" s="59" customFormat="1">
      <c r="A395" s="47" t="s">
        <v>146</v>
      </c>
      <c r="B395" s="47" t="s">
        <v>553</v>
      </c>
      <c r="C395" s="50" t="s">
        <v>554</v>
      </c>
      <c r="D395" s="90">
        <v>43761</v>
      </c>
      <c r="E395" s="83"/>
      <c r="F395" s="47" t="s">
        <v>553</v>
      </c>
      <c r="G395" s="47" t="s">
        <v>156</v>
      </c>
      <c r="H395" s="47" t="s">
        <v>142</v>
      </c>
      <c r="I395" s="55">
        <v>18</v>
      </c>
    </row>
    <row r="396" spans="1:9" s="59" customFormat="1">
      <c r="A396" s="47" t="s">
        <v>148</v>
      </c>
      <c r="B396" s="47" t="s">
        <v>553</v>
      </c>
      <c r="C396" s="50" t="s">
        <v>554</v>
      </c>
      <c r="D396" s="90">
        <v>43761</v>
      </c>
      <c r="E396" s="83"/>
      <c r="F396" s="47" t="s">
        <v>553</v>
      </c>
      <c r="G396" s="47" t="s">
        <v>313</v>
      </c>
      <c r="H396" s="47" t="s">
        <v>142</v>
      </c>
      <c r="I396" s="55" t="s">
        <v>660</v>
      </c>
    </row>
    <row r="397" spans="1:9">
      <c r="A397" s="47" t="s">
        <v>143</v>
      </c>
      <c r="B397" s="47" t="s">
        <v>553</v>
      </c>
      <c r="C397" s="50" t="s">
        <v>554</v>
      </c>
      <c r="D397" s="90">
        <v>43774</v>
      </c>
      <c r="F397" s="47" t="s">
        <v>553</v>
      </c>
      <c r="G397" s="47" t="s">
        <v>153</v>
      </c>
      <c r="H397" s="47" t="s">
        <v>140</v>
      </c>
      <c r="I397" s="55" t="s">
        <v>662</v>
      </c>
    </row>
    <row r="398" spans="1:9">
      <c r="A398" s="47" t="s">
        <v>144</v>
      </c>
      <c r="B398" s="47" t="s">
        <v>553</v>
      </c>
      <c r="C398" s="50" t="s">
        <v>554</v>
      </c>
      <c r="D398" s="90">
        <v>43774</v>
      </c>
      <c r="F398" s="47" t="s">
        <v>553</v>
      </c>
      <c r="G398" s="47" t="s">
        <v>154</v>
      </c>
      <c r="H398" s="47" t="s">
        <v>140</v>
      </c>
      <c r="I398" s="55" t="s">
        <v>663</v>
      </c>
    </row>
    <row r="399" spans="1:9" s="59" customFormat="1">
      <c r="A399" s="47" t="s">
        <v>141</v>
      </c>
      <c r="B399" s="47" t="s">
        <v>553</v>
      </c>
      <c r="C399" s="50" t="s">
        <v>554</v>
      </c>
      <c r="D399" s="90">
        <v>43783</v>
      </c>
      <c r="E399" s="83"/>
      <c r="F399" s="47" t="s">
        <v>553</v>
      </c>
      <c r="G399" s="47" t="s">
        <v>152</v>
      </c>
      <c r="H399" s="47" t="s">
        <v>142</v>
      </c>
      <c r="I399" s="55">
        <v>18</v>
      </c>
    </row>
    <row r="400" spans="1:9" s="59" customFormat="1">
      <c r="A400" s="47" t="s">
        <v>143</v>
      </c>
      <c r="B400" s="47" t="s">
        <v>553</v>
      </c>
      <c r="C400" s="50" t="s">
        <v>554</v>
      </c>
      <c r="D400" s="90">
        <v>43783</v>
      </c>
      <c r="E400" s="83"/>
      <c r="F400" s="47" t="s">
        <v>553</v>
      </c>
      <c r="G400" s="47" t="s">
        <v>153</v>
      </c>
      <c r="H400" s="47" t="s">
        <v>142</v>
      </c>
      <c r="I400" s="55">
        <v>18</v>
      </c>
    </row>
    <row r="401" spans="1:9" s="59" customFormat="1">
      <c r="A401" s="47" t="s">
        <v>144</v>
      </c>
      <c r="B401" s="47" t="s">
        <v>553</v>
      </c>
      <c r="C401" s="50" t="s">
        <v>554</v>
      </c>
      <c r="D401" s="90">
        <v>43783</v>
      </c>
      <c r="E401" s="83"/>
      <c r="F401" s="47" t="s">
        <v>553</v>
      </c>
      <c r="G401" s="47" t="s">
        <v>154</v>
      </c>
      <c r="H401" s="47" t="s">
        <v>142</v>
      </c>
      <c r="I401" s="55" t="s">
        <v>665</v>
      </c>
    </row>
    <row r="402" spans="1:9" s="59" customFormat="1">
      <c r="A402" s="47" t="s">
        <v>145</v>
      </c>
      <c r="B402" s="47" t="s">
        <v>553</v>
      </c>
      <c r="C402" s="50" t="s">
        <v>554</v>
      </c>
      <c r="D402" s="90">
        <v>43783</v>
      </c>
      <c r="E402" s="83"/>
      <c r="F402" s="47" t="s">
        <v>553</v>
      </c>
      <c r="G402" s="47" t="s">
        <v>155</v>
      </c>
      <c r="H402" s="47" t="s">
        <v>142</v>
      </c>
      <c r="I402" s="55">
        <v>18</v>
      </c>
    </row>
    <row r="403" spans="1:9" s="59" customFormat="1">
      <c r="A403" s="47" t="s">
        <v>146</v>
      </c>
      <c r="B403" s="47" t="s">
        <v>553</v>
      </c>
      <c r="C403" s="50" t="s">
        <v>554</v>
      </c>
      <c r="D403" s="90">
        <v>43783</v>
      </c>
      <c r="E403" s="83"/>
      <c r="F403" s="47" t="s">
        <v>553</v>
      </c>
      <c r="G403" s="47" t="s">
        <v>156</v>
      </c>
      <c r="H403" s="47" t="s">
        <v>142</v>
      </c>
      <c r="I403" s="55">
        <v>18</v>
      </c>
    </row>
    <row r="404" spans="1:9" s="59" customFormat="1">
      <c r="A404" s="47" t="s">
        <v>147</v>
      </c>
      <c r="B404" s="47" t="s">
        <v>664</v>
      </c>
      <c r="C404" s="50" t="s">
        <v>554</v>
      </c>
      <c r="D404" s="90">
        <v>43783</v>
      </c>
      <c r="E404" s="83"/>
      <c r="F404" s="47" t="s">
        <v>123</v>
      </c>
      <c r="G404" s="47" t="s">
        <v>157</v>
      </c>
      <c r="H404" s="47" t="s">
        <v>142</v>
      </c>
      <c r="I404" s="55" t="s">
        <v>666</v>
      </c>
    </row>
    <row r="405" spans="1:9" s="59" customFormat="1">
      <c r="A405" s="47" t="s">
        <v>148</v>
      </c>
      <c r="B405" s="47" t="s">
        <v>553</v>
      </c>
      <c r="C405" s="50" t="s">
        <v>554</v>
      </c>
      <c r="D405" s="90">
        <v>43783</v>
      </c>
      <c r="E405" s="83"/>
      <c r="F405" s="47" t="s">
        <v>553</v>
      </c>
      <c r="G405" s="47" t="s">
        <v>313</v>
      </c>
      <c r="H405" s="47" t="s">
        <v>142</v>
      </c>
      <c r="I405" s="55" t="s">
        <v>667</v>
      </c>
    </row>
    <row r="406" spans="1:9" s="59" customFormat="1">
      <c r="A406" s="47" t="s">
        <v>147</v>
      </c>
      <c r="B406" s="47" t="s">
        <v>664</v>
      </c>
      <c r="C406" s="50" t="s">
        <v>554</v>
      </c>
      <c r="D406" s="90">
        <v>43794</v>
      </c>
      <c r="E406" s="83"/>
      <c r="F406" s="47" t="s">
        <v>664</v>
      </c>
      <c r="G406" s="47" t="s">
        <v>157</v>
      </c>
      <c r="H406" s="47" t="s">
        <v>142</v>
      </c>
      <c r="I406" s="55" t="s">
        <v>668</v>
      </c>
    </row>
    <row r="407" spans="1:9" s="59" customFormat="1">
      <c r="A407" s="47" t="s">
        <v>141</v>
      </c>
      <c r="B407" s="47" t="s">
        <v>553</v>
      </c>
      <c r="C407" s="50" t="s">
        <v>554</v>
      </c>
      <c r="D407" s="90">
        <v>43801</v>
      </c>
      <c r="E407" s="83"/>
      <c r="F407" s="47" t="s">
        <v>553</v>
      </c>
      <c r="G407" s="47" t="s">
        <v>152</v>
      </c>
      <c r="H407" s="47" t="s">
        <v>142</v>
      </c>
      <c r="I407" s="55">
        <v>18</v>
      </c>
    </row>
    <row r="408" spans="1:9" s="59" customFormat="1">
      <c r="A408" s="47" t="s">
        <v>143</v>
      </c>
      <c r="B408" s="47" t="s">
        <v>553</v>
      </c>
      <c r="C408" s="50" t="s">
        <v>554</v>
      </c>
      <c r="D408" s="90">
        <v>43801</v>
      </c>
      <c r="E408" s="83"/>
      <c r="F408" s="47" t="s">
        <v>553</v>
      </c>
      <c r="G408" s="47" t="s">
        <v>153</v>
      </c>
      <c r="H408" s="47" t="s">
        <v>142</v>
      </c>
      <c r="I408" s="55">
        <v>23</v>
      </c>
    </row>
    <row r="409" spans="1:9" s="59" customFormat="1">
      <c r="A409" s="47" t="s">
        <v>144</v>
      </c>
      <c r="B409" s="47" t="s">
        <v>553</v>
      </c>
      <c r="C409" s="50" t="s">
        <v>554</v>
      </c>
      <c r="D409" s="90">
        <v>43801</v>
      </c>
      <c r="E409" s="83"/>
      <c r="F409" s="47" t="s">
        <v>553</v>
      </c>
      <c r="G409" s="47" t="s">
        <v>154</v>
      </c>
      <c r="H409" s="47" t="s">
        <v>142</v>
      </c>
      <c r="I409" s="55">
        <v>23</v>
      </c>
    </row>
    <row r="410" spans="1:9" s="59" customFormat="1">
      <c r="A410" s="47" t="s">
        <v>145</v>
      </c>
      <c r="B410" s="47" t="s">
        <v>553</v>
      </c>
      <c r="C410" s="50" t="s">
        <v>554</v>
      </c>
      <c r="D410" s="90">
        <v>43801</v>
      </c>
      <c r="E410" s="83"/>
      <c r="F410" s="47" t="s">
        <v>553</v>
      </c>
      <c r="G410" s="47" t="s">
        <v>155</v>
      </c>
      <c r="H410" s="47" t="s">
        <v>142</v>
      </c>
      <c r="I410" s="55">
        <v>23</v>
      </c>
    </row>
    <row r="411" spans="1:9" s="59" customFormat="1">
      <c r="A411" s="47" t="s">
        <v>146</v>
      </c>
      <c r="B411" s="47" t="s">
        <v>553</v>
      </c>
      <c r="C411" s="50" t="s">
        <v>554</v>
      </c>
      <c r="D411" s="90">
        <v>43801</v>
      </c>
      <c r="E411" s="83"/>
      <c r="F411" s="47" t="s">
        <v>553</v>
      </c>
      <c r="G411" s="47" t="s">
        <v>156</v>
      </c>
      <c r="H411" s="47" t="s">
        <v>142</v>
      </c>
      <c r="I411" s="55">
        <v>23</v>
      </c>
    </row>
    <row r="412" spans="1:9" s="59" customFormat="1">
      <c r="A412" s="47" t="s">
        <v>147</v>
      </c>
      <c r="B412" s="47" t="s">
        <v>664</v>
      </c>
      <c r="C412" s="50" t="s">
        <v>554</v>
      </c>
      <c r="D412" s="90">
        <v>43801</v>
      </c>
      <c r="E412" s="83"/>
      <c r="F412" s="47" t="s">
        <v>664</v>
      </c>
      <c r="G412" s="47" t="s">
        <v>157</v>
      </c>
      <c r="H412" s="47" t="s">
        <v>142</v>
      </c>
      <c r="I412" s="55" t="s">
        <v>668</v>
      </c>
    </row>
    <row r="413" spans="1:9" s="59" customFormat="1">
      <c r="A413" s="47" t="s">
        <v>148</v>
      </c>
      <c r="B413" s="47" t="s">
        <v>553</v>
      </c>
      <c r="C413" s="50" t="s">
        <v>554</v>
      </c>
      <c r="D413" s="90">
        <v>43801</v>
      </c>
      <c r="E413" s="83"/>
      <c r="F413" s="47" t="s">
        <v>553</v>
      </c>
      <c r="G413" s="47" t="s">
        <v>313</v>
      </c>
      <c r="H413" s="47" t="s">
        <v>142</v>
      </c>
      <c r="I413" s="55">
        <v>24</v>
      </c>
    </row>
    <row r="414" spans="1:9" s="59" customFormat="1">
      <c r="A414" s="47" t="s">
        <v>147</v>
      </c>
      <c r="B414" s="47" t="s">
        <v>664</v>
      </c>
      <c r="C414" s="50" t="s">
        <v>554</v>
      </c>
      <c r="D414" s="90">
        <v>43801</v>
      </c>
      <c r="E414" s="83"/>
      <c r="F414" s="47" t="s">
        <v>664</v>
      </c>
      <c r="G414" s="47" t="s">
        <v>157</v>
      </c>
      <c r="H414" s="47" t="s">
        <v>140</v>
      </c>
      <c r="I414" s="55" t="s">
        <v>672</v>
      </c>
    </row>
    <row r="415" spans="1:9">
      <c r="A415" s="47" t="s">
        <v>141</v>
      </c>
      <c r="B415" s="47" t="s">
        <v>553</v>
      </c>
      <c r="C415" s="50" t="s">
        <v>554</v>
      </c>
      <c r="D415" s="90">
        <v>43801</v>
      </c>
      <c r="F415" s="47" t="s">
        <v>553</v>
      </c>
      <c r="G415" s="47" t="s">
        <v>152</v>
      </c>
      <c r="H415" s="47" t="s">
        <v>140</v>
      </c>
      <c r="I415" s="55" t="s">
        <v>671</v>
      </c>
    </row>
    <row r="416" spans="1:9">
      <c r="A416" s="47" t="s">
        <v>148</v>
      </c>
      <c r="B416" s="47" t="s">
        <v>553</v>
      </c>
      <c r="C416" s="50" t="s">
        <v>554</v>
      </c>
      <c r="D416" s="90">
        <v>43811</v>
      </c>
      <c r="F416" s="47" t="s">
        <v>553</v>
      </c>
      <c r="G416" s="47" t="s">
        <v>313</v>
      </c>
      <c r="H416" s="47" t="s">
        <v>140</v>
      </c>
      <c r="I416" s="105" t="s">
        <v>677</v>
      </c>
    </row>
    <row r="417" spans="1:9" ht="23.25">
      <c r="A417" s="47" t="s">
        <v>148</v>
      </c>
      <c r="B417" s="47" t="s">
        <v>553</v>
      </c>
      <c r="C417" s="50" t="s">
        <v>554</v>
      </c>
      <c r="D417" s="90">
        <v>43811</v>
      </c>
      <c r="F417" s="47" t="s">
        <v>553</v>
      </c>
      <c r="G417" s="47" t="s">
        <v>313</v>
      </c>
      <c r="H417" s="47" t="s">
        <v>140</v>
      </c>
      <c r="I417" s="105" t="s">
        <v>676</v>
      </c>
    </row>
    <row r="418" spans="1:9" s="59" customFormat="1">
      <c r="A418" s="47" t="s">
        <v>147</v>
      </c>
      <c r="B418" s="47" t="s">
        <v>664</v>
      </c>
      <c r="C418" s="50" t="s">
        <v>554</v>
      </c>
      <c r="D418" s="90">
        <v>43811</v>
      </c>
      <c r="E418" s="83"/>
      <c r="F418" s="47" t="s">
        <v>664</v>
      </c>
      <c r="G418" s="47" t="s">
        <v>157</v>
      </c>
      <c r="H418" s="47" t="s">
        <v>142</v>
      </c>
      <c r="I418" s="55" t="s">
        <v>678</v>
      </c>
    </row>
    <row r="419" spans="1:9" s="59" customFormat="1">
      <c r="A419" s="47" t="s">
        <v>141</v>
      </c>
      <c r="B419" s="47" t="s">
        <v>553</v>
      </c>
      <c r="C419" s="50" t="s">
        <v>554</v>
      </c>
      <c r="D419" s="90">
        <v>43822</v>
      </c>
      <c r="E419" s="83"/>
      <c r="F419" s="47" t="s">
        <v>553</v>
      </c>
      <c r="G419" s="47" t="s">
        <v>152</v>
      </c>
      <c r="H419" s="47" t="s">
        <v>142</v>
      </c>
      <c r="I419" s="55">
        <v>20</v>
      </c>
    </row>
    <row r="420" spans="1:9" s="59" customFormat="1">
      <c r="A420" s="47" t="s">
        <v>143</v>
      </c>
      <c r="B420" s="47" t="s">
        <v>553</v>
      </c>
      <c r="C420" s="50" t="s">
        <v>554</v>
      </c>
      <c r="D420" s="90">
        <v>43822</v>
      </c>
      <c r="E420" s="83"/>
      <c r="F420" s="47" t="s">
        <v>553</v>
      </c>
      <c r="G420" s="47" t="s">
        <v>153</v>
      </c>
      <c r="H420" s="47" t="s">
        <v>142</v>
      </c>
      <c r="I420" s="55" t="s">
        <v>679</v>
      </c>
    </row>
    <row r="421" spans="1:9" s="59" customFormat="1">
      <c r="A421" s="47" t="s">
        <v>144</v>
      </c>
      <c r="B421" s="47" t="s">
        <v>553</v>
      </c>
      <c r="C421" s="50" t="s">
        <v>554</v>
      </c>
      <c r="D421" s="90">
        <v>43822</v>
      </c>
      <c r="E421" s="83"/>
      <c r="F421" s="47" t="s">
        <v>553</v>
      </c>
      <c r="G421" s="47" t="s">
        <v>154</v>
      </c>
      <c r="H421" s="47" t="s">
        <v>142</v>
      </c>
      <c r="I421" s="55" t="s">
        <v>680</v>
      </c>
    </row>
    <row r="422" spans="1:9" s="59" customFormat="1">
      <c r="A422" s="47" t="s">
        <v>145</v>
      </c>
      <c r="B422" s="47" t="s">
        <v>553</v>
      </c>
      <c r="C422" s="50" t="s">
        <v>554</v>
      </c>
      <c r="D422" s="90">
        <v>43822</v>
      </c>
      <c r="E422" s="83"/>
      <c r="F422" s="47" t="s">
        <v>553</v>
      </c>
      <c r="G422" s="47" t="s">
        <v>155</v>
      </c>
      <c r="H422" s="47" t="s">
        <v>142</v>
      </c>
      <c r="I422" s="55" t="s">
        <v>679</v>
      </c>
    </row>
    <row r="423" spans="1:9" s="59" customFormat="1">
      <c r="A423" s="47" t="s">
        <v>146</v>
      </c>
      <c r="B423" s="47" t="s">
        <v>553</v>
      </c>
      <c r="C423" s="50" t="s">
        <v>554</v>
      </c>
      <c r="D423" s="90">
        <v>43822</v>
      </c>
      <c r="E423" s="83"/>
      <c r="F423" s="47" t="s">
        <v>553</v>
      </c>
      <c r="G423" s="47" t="s">
        <v>156</v>
      </c>
      <c r="H423" s="47" t="s">
        <v>142</v>
      </c>
      <c r="I423" s="55" t="s">
        <v>679</v>
      </c>
    </row>
    <row r="424" spans="1:9" s="59" customFormat="1">
      <c r="A424" s="47" t="s">
        <v>147</v>
      </c>
      <c r="B424" s="47" t="s">
        <v>664</v>
      </c>
      <c r="C424" s="50" t="s">
        <v>554</v>
      </c>
      <c r="D424" s="90">
        <v>43822</v>
      </c>
      <c r="E424" s="83"/>
      <c r="F424" s="47" t="s">
        <v>664</v>
      </c>
      <c r="G424" s="47" t="s">
        <v>157</v>
      </c>
      <c r="H424" s="47" t="s">
        <v>142</v>
      </c>
      <c r="I424" s="55">
        <v>14</v>
      </c>
    </row>
    <row r="425" spans="1:9" s="59" customFormat="1">
      <c r="A425" s="47" t="s">
        <v>148</v>
      </c>
      <c r="B425" s="47" t="s">
        <v>553</v>
      </c>
      <c r="C425" s="50" t="s">
        <v>554</v>
      </c>
      <c r="D425" s="90">
        <v>43822</v>
      </c>
      <c r="E425" s="83"/>
      <c r="F425" s="47" t="s">
        <v>553</v>
      </c>
      <c r="G425" s="47" t="s">
        <v>313</v>
      </c>
      <c r="H425" s="47" t="s">
        <v>142</v>
      </c>
      <c r="I425" s="55" t="s">
        <v>681</v>
      </c>
    </row>
    <row r="426" spans="1:9" s="59" customFormat="1">
      <c r="A426" s="47" t="s">
        <v>147</v>
      </c>
      <c r="B426" s="47" t="s">
        <v>664</v>
      </c>
      <c r="C426" s="50" t="s">
        <v>554</v>
      </c>
      <c r="D426" s="90">
        <v>43822</v>
      </c>
      <c r="E426" s="83"/>
      <c r="F426" s="47" t="s">
        <v>664</v>
      </c>
      <c r="G426" s="47" t="s">
        <v>157</v>
      </c>
      <c r="H426" s="47" t="s">
        <v>140</v>
      </c>
      <c r="I426" s="55" t="s">
        <v>682</v>
      </c>
    </row>
    <row r="427" spans="1:9" s="59" customFormat="1">
      <c r="A427" s="47" t="s">
        <v>147</v>
      </c>
      <c r="B427" s="47" t="s">
        <v>664</v>
      </c>
      <c r="C427" s="50" t="s">
        <v>554</v>
      </c>
      <c r="D427" s="90">
        <v>43836</v>
      </c>
      <c r="E427" s="83"/>
      <c r="F427" s="47" t="s">
        <v>664</v>
      </c>
      <c r="G427" s="47" t="s">
        <v>157</v>
      </c>
      <c r="H427" s="47" t="s">
        <v>142</v>
      </c>
      <c r="I427" s="55" t="s">
        <v>683</v>
      </c>
    </row>
    <row r="428" spans="1:9" s="59" customFormat="1">
      <c r="A428" s="47" t="s">
        <v>141</v>
      </c>
      <c r="B428" s="47" t="s">
        <v>553</v>
      </c>
      <c r="C428" s="50" t="s">
        <v>554</v>
      </c>
      <c r="D428" s="90">
        <v>43840</v>
      </c>
      <c r="E428" s="83"/>
      <c r="F428" s="47" t="s">
        <v>553</v>
      </c>
      <c r="G428" s="47" t="s">
        <v>152</v>
      </c>
      <c r="H428" s="47" t="s">
        <v>140</v>
      </c>
      <c r="I428" s="55" t="s">
        <v>684</v>
      </c>
    </row>
    <row r="429" spans="1:9" s="59" customFormat="1">
      <c r="A429" s="47" t="s">
        <v>141</v>
      </c>
      <c r="B429" s="47" t="s">
        <v>553</v>
      </c>
      <c r="C429" s="50" t="s">
        <v>554</v>
      </c>
      <c r="D429" s="90">
        <v>43843</v>
      </c>
      <c r="E429" s="83"/>
      <c r="F429" s="47" t="s">
        <v>553</v>
      </c>
      <c r="G429" s="47" t="s">
        <v>152</v>
      </c>
      <c r="H429" s="47" t="s">
        <v>140</v>
      </c>
      <c r="I429" s="55" t="s">
        <v>685</v>
      </c>
    </row>
    <row r="430" spans="1:9" s="59" customFormat="1">
      <c r="A430" s="47" t="s">
        <v>147</v>
      </c>
      <c r="B430" s="47" t="s">
        <v>664</v>
      </c>
      <c r="C430" s="50" t="s">
        <v>554</v>
      </c>
      <c r="D430" s="90">
        <v>43846</v>
      </c>
      <c r="E430" s="83"/>
      <c r="F430" s="47" t="s">
        <v>664</v>
      </c>
      <c r="G430" s="47" t="s">
        <v>157</v>
      </c>
      <c r="H430" s="47" t="s">
        <v>140</v>
      </c>
      <c r="I430" s="55" t="s">
        <v>686</v>
      </c>
    </row>
    <row r="431" spans="1:9" s="59" customFormat="1">
      <c r="A431" s="47" t="s">
        <v>148</v>
      </c>
      <c r="B431" s="47" t="s">
        <v>553</v>
      </c>
      <c r="C431" s="50" t="s">
        <v>554</v>
      </c>
      <c r="D431" s="90">
        <v>43860</v>
      </c>
      <c r="E431" s="83"/>
      <c r="F431" s="47" t="s">
        <v>553</v>
      </c>
      <c r="G431" s="47" t="s">
        <v>313</v>
      </c>
      <c r="H431" s="47" t="s">
        <v>142</v>
      </c>
      <c r="I431" s="55" t="s">
        <v>688</v>
      </c>
    </row>
    <row r="432" spans="1:9" s="59" customFormat="1">
      <c r="A432" s="47" t="s">
        <v>299</v>
      </c>
      <c r="B432" s="47" t="s">
        <v>553</v>
      </c>
      <c r="C432" s="50" t="s">
        <v>554</v>
      </c>
      <c r="D432" s="90">
        <v>43860</v>
      </c>
      <c r="E432" s="83"/>
      <c r="F432" s="47" t="s">
        <v>553</v>
      </c>
      <c r="G432" s="47" t="s">
        <v>299</v>
      </c>
      <c r="H432" s="47" t="s">
        <v>140</v>
      </c>
      <c r="I432" s="55" t="s">
        <v>689</v>
      </c>
    </row>
    <row r="433" spans="1:9" s="59" customFormat="1">
      <c r="A433" s="47" t="s">
        <v>141</v>
      </c>
      <c r="B433" s="47" t="s">
        <v>553</v>
      </c>
      <c r="C433" s="50" t="s">
        <v>554</v>
      </c>
      <c r="D433" s="90">
        <v>43864</v>
      </c>
      <c r="E433" s="83"/>
      <c r="F433" s="47" t="s">
        <v>553</v>
      </c>
      <c r="G433" s="47" t="s">
        <v>152</v>
      </c>
      <c r="H433" s="47" t="s">
        <v>142</v>
      </c>
      <c r="I433" s="55" t="s">
        <v>690</v>
      </c>
    </row>
    <row r="434" spans="1:9" s="59" customFormat="1">
      <c r="A434" s="47" t="s">
        <v>143</v>
      </c>
      <c r="B434" s="47" t="s">
        <v>553</v>
      </c>
      <c r="C434" s="50" t="s">
        <v>554</v>
      </c>
      <c r="D434" s="90">
        <v>43864</v>
      </c>
      <c r="E434" s="83"/>
      <c r="F434" s="47" t="s">
        <v>553</v>
      </c>
      <c r="G434" s="47" t="s">
        <v>153</v>
      </c>
      <c r="H434" s="47" t="s">
        <v>142</v>
      </c>
      <c r="I434" s="55" t="s">
        <v>692</v>
      </c>
    </row>
    <row r="435" spans="1:9" s="59" customFormat="1">
      <c r="A435" s="47" t="s">
        <v>144</v>
      </c>
      <c r="B435" s="47" t="s">
        <v>553</v>
      </c>
      <c r="C435" s="50" t="s">
        <v>554</v>
      </c>
      <c r="D435" s="90">
        <v>43864</v>
      </c>
      <c r="E435" s="83"/>
      <c r="F435" s="47" t="s">
        <v>553</v>
      </c>
      <c r="G435" s="47" t="s">
        <v>154</v>
      </c>
      <c r="H435" s="47" t="s">
        <v>142</v>
      </c>
      <c r="I435" s="55" t="s">
        <v>691</v>
      </c>
    </row>
    <row r="436" spans="1:9" s="59" customFormat="1">
      <c r="A436" s="47" t="s">
        <v>145</v>
      </c>
      <c r="B436" s="47" t="s">
        <v>553</v>
      </c>
      <c r="C436" s="50" t="s">
        <v>554</v>
      </c>
      <c r="D436" s="90">
        <v>43864</v>
      </c>
      <c r="E436" s="83"/>
      <c r="F436" s="47" t="s">
        <v>553</v>
      </c>
      <c r="G436" s="47" t="s">
        <v>155</v>
      </c>
      <c r="H436" s="47" t="s">
        <v>142</v>
      </c>
      <c r="I436" s="55" t="s">
        <v>693</v>
      </c>
    </row>
    <row r="437" spans="1:9" s="59" customFormat="1">
      <c r="A437" s="47" t="s">
        <v>146</v>
      </c>
      <c r="B437" s="47" t="s">
        <v>553</v>
      </c>
      <c r="C437" s="50" t="s">
        <v>554</v>
      </c>
      <c r="D437" s="90">
        <v>43864</v>
      </c>
      <c r="E437" s="83"/>
      <c r="F437" s="47" t="s">
        <v>553</v>
      </c>
      <c r="G437" s="47" t="s">
        <v>156</v>
      </c>
      <c r="H437" s="47" t="s">
        <v>142</v>
      </c>
      <c r="I437" s="55" t="s">
        <v>693</v>
      </c>
    </row>
    <row r="438" spans="1:9" s="59" customFormat="1">
      <c r="A438" s="47" t="s">
        <v>147</v>
      </c>
      <c r="B438" s="47" t="s">
        <v>664</v>
      </c>
      <c r="C438" s="50" t="s">
        <v>554</v>
      </c>
      <c r="D438" s="90">
        <v>43864</v>
      </c>
      <c r="E438" s="83"/>
      <c r="F438" s="47" t="s">
        <v>664</v>
      </c>
      <c r="G438" s="47" t="s">
        <v>157</v>
      </c>
      <c r="H438" s="47" t="s">
        <v>142</v>
      </c>
      <c r="I438" s="55" t="s">
        <v>694</v>
      </c>
    </row>
    <row r="439" spans="1:9" s="59" customFormat="1">
      <c r="A439" s="47" t="s">
        <v>148</v>
      </c>
      <c r="B439" s="47" t="s">
        <v>553</v>
      </c>
      <c r="C439" s="50" t="s">
        <v>554</v>
      </c>
      <c r="D439" s="90">
        <v>43864</v>
      </c>
      <c r="E439" s="83"/>
      <c r="F439" s="47" t="s">
        <v>553</v>
      </c>
      <c r="G439" s="47" t="s">
        <v>313</v>
      </c>
      <c r="H439" s="47" t="s">
        <v>142</v>
      </c>
      <c r="I439" s="55" t="s">
        <v>695</v>
      </c>
    </row>
    <row r="440" spans="1:9" s="59" customFormat="1">
      <c r="A440" s="47" t="s">
        <v>299</v>
      </c>
      <c r="B440" s="47" t="s">
        <v>553</v>
      </c>
      <c r="C440" s="50" t="s">
        <v>554</v>
      </c>
      <c r="D440" s="90">
        <v>43866</v>
      </c>
      <c r="E440" s="83"/>
      <c r="F440" s="47" t="s">
        <v>553</v>
      </c>
      <c r="G440" s="47" t="s">
        <v>299</v>
      </c>
      <c r="H440" s="47" t="s">
        <v>140</v>
      </c>
      <c r="I440" s="55" t="s">
        <v>696</v>
      </c>
    </row>
    <row r="441" spans="1:9" s="59" customFormat="1">
      <c r="A441" s="47" t="s">
        <v>141</v>
      </c>
      <c r="B441" s="47" t="s">
        <v>553</v>
      </c>
      <c r="C441" s="50" t="s">
        <v>554</v>
      </c>
      <c r="D441" s="90">
        <v>43878</v>
      </c>
      <c r="E441" s="83"/>
      <c r="F441" s="47" t="s">
        <v>553</v>
      </c>
      <c r="G441" s="47" t="s">
        <v>152</v>
      </c>
      <c r="H441" s="47" t="s">
        <v>142</v>
      </c>
      <c r="I441" s="55">
        <v>50</v>
      </c>
    </row>
    <row r="442" spans="1:9" s="59" customFormat="1">
      <c r="A442" s="47" t="s">
        <v>143</v>
      </c>
      <c r="B442" s="47" t="s">
        <v>553</v>
      </c>
      <c r="C442" s="50" t="s">
        <v>554</v>
      </c>
      <c r="D442" s="90">
        <v>43878</v>
      </c>
      <c r="E442" s="83"/>
      <c r="F442" s="47" t="s">
        <v>553</v>
      </c>
      <c r="G442" s="47" t="s">
        <v>153</v>
      </c>
      <c r="H442" s="47" t="s">
        <v>142</v>
      </c>
      <c r="I442" s="55">
        <v>51</v>
      </c>
    </row>
    <row r="443" spans="1:9" s="59" customFormat="1">
      <c r="A443" s="47" t="s">
        <v>144</v>
      </c>
      <c r="B443" s="47" t="s">
        <v>553</v>
      </c>
      <c r="C443" s="50" t="s">
        <v>554</v>
      </c>
      <c r="D443" s="90">
        <v>43878</v>
      </c>
      <c r="E443" s="83"/>
      <c r="F443" s="47" t="s">
        <v>553</v>
      </c>
      <c r="G443" s="47" t="s">
        <v>154</v>
      </c>
      <c r="H443" s="47" t="s">
        <v>142</v>
      </c>
      <c r="I443" s="55">
        <v>51</v>
      </c>
    </row>
    <row r="444" spans="1:9" s="59" customFormat="1">
      <c r="A444" s="47" t="s">
        <v>145</v>
      </c>
      <c r="B444" s="47" t="s">
        <v>553</v>
      </c>
      <c r="C444" s="50" t="s">
        <v>554</v>
      </c>
      <c r="D444" s="90">
        <v>43878</v>
      </c>
      <c r="E444" s="83"/>
      <c r="F444" s="47" t="s">
        <v>553</v>
      </c>
      <c r="G444" s="47" t="s">
        <v>155</v>
      </c>
      <c r="H444" s="47" t="s">
        <v>142</v>
      </c>
      <c r="I444" s="55">
        <v>51</v>
      </c>
    </row>
    <row r="445" spans="1:9" s="59" customFormat="1">
      <c r="A445" s="47" t="s">
        <v>146</v>
      </c>
      <c r="B445" s="47" t="s">
        <v>553</v>
      </c>
      <c r="C445" s="50" t="s">
        <v>554</v>
      </c>
      <c r="D445" s="90">
        <v>43878</v>
      </c>
      <c r="E445" s="83"/>
      <c r="F445" s="47" t="s">
        <v>553</v>
      </c>
      <c r="G445" s="47" t="s">
        <v>156</v>
      </c>
      <c r="H445" s="47" t="s">
        <v>142</v>
      </c>
      <c r="I445" s="55">
        <v>51</v>
      </c>
    </row>
    <row r="446" spans="1:9" s="59" customFormat="1">
      <c r="A446" s="47" t="s">
        <v>147</v>
      </c>
      <c r="B446" s="47" t="s">
        <v>664</v>
      </c>
      <c r="C446" s="50" t="s">
        <v>554</v>
      </c>
      <c r="D446" s="90">
        <v>43878</v>
      </c>
      <c r="E446" s="83"/>
      <c r="F446" s="47" t="s">
        <v>664</v>
      </c>
      <c r="G446" s="47" t="s">
        <v>157</v>
      </c>
      <c r="H446" s="47" t="s">
        <v>142</v>
      </c>
      <c r="I446" s="55">
        <v>22</v>
      </c>
    </row>
    <row r="447" spans="1:9" s="59" customFormat="1">
      <c r="A447" s="47" t="s">
        <v>148</v>
      </c>
      <c r="B447" s="47" t="s">
        <v>553</v>
      </c>
      <c r="C447" s="50" t="s">
        <v>554</v>
      </c>
      <c r="D447" s="90">
        <v>43878</v>
      </c>
      <c r="E447" s="83"/>
      <c r="F447" s="47" t="s">
        <v>553</v>
      </c>
      <c r="G447" s="47" t="s">
        <v>313</v>
      </c>
      <c r="H447" s="47" t="s">
        <v>142</v>
      </c>
      <c r="I447" s="55" t="s">
        <v>697</v>
      </c>
    </row>
    <row r="448" spans="1:9" s="59" customFormat="1">
      <c r="A448" s="47" t="s">
        <v>234</v>
      </c>
      <c r="B448" s="47" t="s">
        <v>553</v>
      </c>
      <c r="C448" s="50" t="s">
        <v>554</v>
      </c>
      <c r="D448" s="90">
        <v>43879</v>
      </c>
      <c r="E448" s="83"/>
      <c r="F448" s="47" t="s">
        <v>553</v>
      </c>
      <c r="G448" s="47" t="s">
        <v>152</v>
      </c>
      <c r="H448" s="47" t="s">
        <v>140</v>
      </c>
      <c r="I448" s="55" t="s">
        <v>698</v>
      </c>
    </row>
    <row r="449" spans="1:9" s="59" customFormat="1">
      <c r="A449" s="47" t="s">
        <v>143</v>
      </c>
      <c r="B449" s="47" t="s">
        <v>553</v>
      </c>
      <c r="C449" s="50" t="s">
        <v>554</v>
      </c>
      <c r="D449" s="90">
        <v>43881</v>
      </c>
      <c r="E449" s="83"/>
      <c r="F449" s="47" t="s">
        <v>553</v>
      </c>
      <c r="G449" s="47" t="s">
        <v>153</v>
      </c>
      <c r="H449" s="47" t="s">
        <v>140</v>
      </c>
      <c r="I449" s="55" t="s">
        <v>699</v>
      </c>
    </row>
    <row r="450" spans="1:9" s="59" customFormat="1">
      <c r="A450" s="47" t="s">
        <v>148</v>
      </c>
      <c r="B450" s="47" t="s">
        <v>553</v>
      </c>
      <c r="C450" s="50" t="s">
        <v>554</v>
      </c>
      <c r="D450" s="90">
        <v>43887</v>
      </c>
      <c r="E450" s="83"/>
      <c r="F450" s="47" t="s">
        <v>553</v>
      </c>
      <c r="G450" s="47" t="s">
        <v>313</v>
      </c>
      <c r="H450" s="47" t="s">
        <v>140</v>
      </c>
      <c r="I450" s="55" t="s">
        <v>700</v>
      </c>
    </row>
    <row r="451" spans="1:9" s="59" customFormat="1">
      <c r="A451" s="47" t="s">
        <v>702</v>
      </c>
      <c r="B451" s="47" t="s">
        <v>553</v>
      </c>
      <c r="C451" s="50" t="s">
        <v>554</v>
      </c>
      <c r="D451" s="90">
        <v>43887</v>
      </c>
      <c r="E451" s="83"/>
      <c r="F451" s="47" t="s">
        <v>553</v>
      </c>
      <c r="G451" s="47" t="s">
        <v>313</v>
      </c>
      <c r="H451" s="47" t="s">
        <v>140</v>
      </c>
      <c r="I451" s="55" t="s">
        <v>701</v>
      </c>
    </row>
    <row r="452" spans="1:9" s="59" customFormat="1">
      <c r="A452" s="47" t="s">
        <v>141</v>
      </c>
      <c r="B452" s="47" t="s">
        <v>553</v>
      </c>
      <c r="C452" s="50" t="s">
        <v>554</v>
      </c>
      <c r="D452" s="90">
        <v>43885</v>
      </c>
      <c r="E452" s="83"/>
      <c r="F452" s="47" t="s">
        <v>553</v>
      </c>
      <c r="G452" s="47" t="s">
        <v>152</v>
      </c>
      <c r="H452" s="47" t="s">
        <v>524</v>
      </c>
      <c r="I452" s="55" t="s">
        <v>703</v>
      </c>
    </row>
    <row r="453" spans="1:9" s="59" customFormat="1">
      <c r="A453" s="47" t="s">
        <v>299</v>
      </c>
      <c r="B453" s="47" t="s">
        <v>553</v>
      </c>
      <c r="C453" s="50" t="s">
        <v>554</v>
      </c>
      <c r="D453" s="90">
        <v>43889</v>
      </c>
      <c r="E453" s="83"/>
      <c r="F453" s="47" t="s">
        <v>553</v>
      </c>
      <c r="G453" s="47" t="s">
        <v>299</v>
      </c>
      <c r="H453" s="47" t="s">
        <v>140</v>
      </c>
      <c r="I453" s="55" t="s">
        <v>704</v>
      </c>
    </row>
    <row r="454" spans="1:9" s="59" customFormat="1">
      <c r="A454" s="47" t="s">
        <v>141</v>
      </c>
      <c r="B454" s="47" t="s">
        <v>553</v>
      </c>
      <c r="C454" s="50" t="s">
        <v>554</v>
      </c>
      <c r="D454" s="90">
        <v>43894</v>
      </c>
      <c r="E454" s="83"/>
      <c r="F454" s="47" t="s">
        <v>553</v>
      </c>
      <c r="G454" s="47" t="s">
        <v>152</v>
      </c>
      <c r="H454" s="47" t="s">
        <v>142</v>
      </c>
      <c r="I454" s="55">
        <v>51</v>
      </c>
    </row>
    <row r="455" spans="1:9" s="59" customFormat="1">
      <c r="A455" s="47" t="s">
        <v>143</v>
      </c>
      <c r="B455" s="47" t="s">
        <v>553</v>
      </c>
      <c r="C455" s="50" t="s">
        <v>554</v>
      </c>
      <c r="D455" s="90">
        <v>43894</v>
      </c>
      <c r="E455" s="83"/>
      <c r="F455" s="47" t="s">
        <v>553</v>
      </c>
      <c r="G455" s="47" t="s">
        <v>153</v>
      </c>
      <c r="H455" s="47" t="s">
        <v>142</v>
      </c>
      <c r="I455" s="55">
        <v>52</v>
      </c>
    </row>
    <row r="456" spans="1:9" s="59" customFormat="1">
      <c r="A456" s="47" t="s">
        <v>144</v>
      </c>
      <c r="B456" s="47" t="s">
        <v>553</v>
      </c>
      <c r="C456" s="50" t="s">
        <v>554</v>
      </c>
      <c r="D456" s="90">
        <v>43894</v>
      </c>
      <c r="E456" s="83"/>
      <c r="F456" s="47" t="s">
        <v>553</v>
      </c>
      <c r="G456" s="47" t="s">
        <v>154</v>
      </c>
      <c r="H456" s="47" t="s">
        <v>142</v>
      </c>
      <c r="I456" s="55">
        <v>55</v>
      </c>
    </row>
    <row r="457" spans="1:9" s="59" customFormat="1">
      <c r="A457" s="47" t="s">
        <v>145</v>
      </c>
      <c r="B457" s="47" t="s">
        <v>553</v>
      </c>
      <c r="C457" s="50" t="s">
        <v>554</v>
      </c>
      <c r="D457" s="90">
        <v>43894</v>
      </c>
      <c r="E457" s="83"/>
      <c r="F457" s="47" t="s">
        <v>553</v>
      </c>
      <c r="G457" s="47" t="s">
        <v>155</v>
      </c>
      <c r="H457" s="47" t="s">
        <v>142</v>
      </c>
      <c r="I457" s="55">
        <v>55</v>
      </c>
    </row>
    <row r="458" spans="1:9" s="59" customFormat="1">
      <c r="A458" s="47" t="s">
        <v>146</v>
      </c>
      <c r="B458" s="47" t="s">
        <v>553</v>
      </c>
      <c r="C458" s="50" t="s">
        <v>554</v>
      </c>
      <c r="D458" s="90">
        <v>43894</v>
      </c>
      <c r="E458" s="83"/>
      <c r="F458" s="47" t="s">
        <v>553</v>
      </c>
      <c r="G458" s="47" t="s">
        <v>156</v>
      </c>
      <c r="H458" s="47" t="s">
        <v>142</v>
      </c>
      <c r="I458" s="55">
        <v>55</v>
      </c>
    </row>
    <row r="459" spans="1:9" s="59" customFormat="1">
      <c r="A459" s="47" t="s">
        <v>147</v>
      </c>
      <c r="B459" s="47" t="s">
        <v>664</v>
      </c>
      <c r="C459" s="50" t="s">
        <v>554</v>
      </c>
      <c r="D459" s="90">
        <v>43894</v>
      </c>
      <c r="E459" s="83"/>
      <c r="F459" s="47" t="s">
        <v>664</v>
      </c>
      <c r="G459" s="47" t="s">
        <v>157</v>
      </c>
      <c r="H459" s="47" t="s">
        <v>142</v>
      </c>
      <c r="I459" s="55" t="s">
        <v>705</v>
      </c>
    </row>
    <row r="460" spans="1:9" s="59" customFormat="1">
      <c r="A460" s="47" t="s">
        <v>148</v>
      </c>
      <c r="B460" s="47" t="s">
        <v>553</v>
      </c>
      <c r="C460" s="50" t="s">
        <v>554</v>
      </c>
      <c r="D460" s="90">
        <v>43894</v>
      </c>
      <c r="E460" s="83"/>
      <c r="F460" s="47" t="s">
        <v>553</v>
      </c>
      <c r="G460" s="47" t="s">
        <v>313</v>
      </c>
      <c r="H460" s="47" t="s">
        <v>142</v>
      </c>
      <c r="I460" s="55">
        <v>57</v>
      </c>
    </row>
    <row r="461" spans="1:9" s="59" customFormat="1">
      <c r="A461" s="47" t="s">
        <v>299</v>
      </c>
      <c r="B461" s="47" t="s">
        <v>553</v>
      </c>
      <c r="C461" s="50" t="s">
        <v>554</v>
      </c>
      <c r="D461" s="90">
        <v>43894</v>
      </c>
      <c r="E461" s="83"/>
      <c r="F461" s="47" t="s">
        <v>553</v>
      </c>
      <c r="G461" s="47" t="s">
        <v>299</v>
      </c>
      <c r="H461" s="47" t="s">
        <v>140</v>
      </c>
      <c r="I461" s="55" t="s">
        <v>706</v>
      </c>
    </row>
    <row r="462" spans="1:9" s="59" customFormat="1">
      <c r="A462" s="47" t="s">
        <v>299</v>
      </c>
      <c r="B462" s="47" t="s">
        <v>553</v>
      </c>
      <c r="C462" s="50" t="s">
        <v>554</v>
      </c>
      <c r="D462" s="90">
        <v>43894</v>
      </c>
      <c r="E462" s="83"/>
      <c r="F462" s="47" t="s">
        <v>553</v>
      </c>
      <c r="G462" s="47" t="s">
        <v>299</v>
      </c>
      <c r="H462" s="47" t="s">
        <v>140</v>
      </c>
      <c r="I462" s="55" t="s">
        <v>707</v>
      </c>
    </row>
    <row r="463" spans="1:9" s="59" customFormat="1">
      <c r="A463" s="47" t="s">
        <v>146</v>
      </c>
      <c r="B463" s="47" t="s">
        <v>553</v>
      </c>
      <c r="C463" s="50" t="s">
        <v>554</v>
      </c>
      <c r="D463" s="90">
        <v>43900</v>
      </c>
      <c r="E463" s="83"/>
      <c r="F463" s="47" t="s">
        <v>553</v>
      </c>
      <c r="G463" s="47" t="s">
        <v>156</v>
      </c>
      <c r="H463" s="47" t="s">
        <v>140</v>
      </c>
      <c r="I463" s="55" t="s">
        <v>708</v>
      </c>
    </row>
    <row r="464" spans="1:9" s="59" customFormat="1">
      <c r="A464" s="47" t="s">
        <v>299</v>
      </c>
      <c r="B464" s="47" t="s">
        <v>553</v>
      </c>
      <c r="C464" s="50" t="s">
        <v>554</v>
      </c>
      <c r="D464" s="90">
        <v>43901</v>
      </c>
      <c r="E464" s="83"/>
      <c r="F464" s="47" t="s">
        <v>553</v>
      </c>
      <c r="G464" s="47" t="s">
        <v>299</v>
      </c>
      <c r="H464" s="47" t="s">
        <v>140</v>
      </c>
      <c r="I464" s="55" t="s">
        <v>734</v>
      </c>
    </row>
    <row r="465" spans="1:9" s="59" customFormat="1">
      <c r="A465" s="47" t="s">
        <v>141</v>
      </c>
      <c r="B465" s="47" t="s">
        <v>553</v>
      </c>
      <c r="C465" s="50" t="s">
        <v>554</v>
      </c>
      <c r="D465" s="90">
        <v>43906</v>
      </c>
      <c r="E465" s="83"/>
      <c r="F465" s="47" t="s">
        <v>553</v>
      </c>
      <c r="G465" s="47" t="s">
        <v>152</v>
      </c>
      <c r="H465" s="47" t="s">
        <v>142</v>
      </c>
      <c r="I465" s="55">
        <v>55</v>
      </c>
    </row>
    <row r="466" spans="1:9" s="59" customFormat="1">
      <c r="A466" s="47" t="s">
        <v>143</v>
      </c>
      <c r="B466" s="47" t="s">
        <v>553</v>
      </c>
      <c r="C466" s="50" t="s">
        <v>554</v>
      </c>
      <c r="D466" s="90">
        <v>43906</v>
      </c>
      <c r="E466" s="83"/>
      <c r="F466" s="47" t="s">
        <v>553</v>
      </c>
      <c r="G466" s="47" t="s">
        <v>153</v>
      </c>
      <c r="H466" s="47" t="s">
        <v>142</v>
      </c>
      <c r="I466" s="55">
        <v>57</v>
      </c>
    </row>
    <row r="467" spans="1:9" s="59" customFormat="1">
      <c r="A467" s="47" t="s">
        <v>144</v>
      </c>
      <c r="B467" s="47" t="s">
        <v>553</v>
      </c>
      <c r="C467" s="50" t="s">
        <v>554</v>
      </c>
      <c r="D467" s="90">
        <v>43906</v>
      </c>
      <c r="E467" s="83"/>
      <c r="F467" s="47" t="s">
        <v>553</v>
      </c>
      <c r="G467" s="47" t="s">
        <v>154</v>
      </c>
      <c r="H467" s="47" t="s">
        <v>142</v>
      </c>
      <c r="I467" s="55">
        <v>57</v>
      </c>
    </row>
    <row r="468" spans="1:9" s="59" customFormat="1">
      <c r="A468" s="47" t="s">
        <v>145</v>
      </c>
      <c r="B468" s="47" t="s">
        <v>553</v>
      </c>
      <c r="C468" s="50" t="s">
        <v>554</v>
      </c>
      <c r="D468" s="90">
        <v>43906</v>
      </c>
      <c r="E468" s="83"/>
      <c r="F468" s="47" t="s">
        <v>553</v>
      </c>
      <c r="G468" s="47" t="s">
        <v>155</v>
      </c>
      <c r="H468" s="47" t="s">
        <v>142</v>
      </c>
      <c r="I468" s="55">
        <v>57</v>
      </c>
    </row>
    <row r="469" spans="1:9" s="59" customFormat="1">
      <c r="A469" s="47" t="s">
        <v>146</v>
      </c>
      <c r="B469" s="47" t="s">
        <v>553</v>
      </c>
      <c r="C469" s="50" t="s">
        <v>554</v>
      </c>
      <c r="D469" s="90">
        <v>43906</v>
      </c>
      <c r="E469" s="83"/>
      <c r="F469" s="47" t="s">
        <v>553</v>
      </c>
      <c r="G469" s="47" t="s">
        <v>156</v>
      </c>
      <c r="H469" s="47" t="s">
        <v>142</v>
      </c>
      <c r="I469" s="55">
        <v>57</v>
      </c>
    </row>
    <row r="470" spans="1:9" s="59" customFormat="1">
      <c r="A470" s="47" t="s">
        <v>147</v>
      </c>
      <c r="B470" s="47" t="s">
        <v>664</v>
      </c>
      <c r="C470" s="50" t="s">
        <v>554</v>
      </c>
      <c r="D470" s="90">
        <v>43906</v>
      </c>
      <c r="E470" s="83"/>
      <c r="F470" s="47" t="s">
        <v>664</v>
      </c>
      <c r="G470" s="47" t="s">
        <v>157</v>
      </c>
      <c r="H470" s="47" t="s">
        <v>142</v>
      </c>
      <c r="I470" s="55">
        <v>23</v>
      </c>
    </row>
    <row r="471" spans="1:9" s="59" customFormat="1">
      <c r="A471" s="47" t="s">
        <v>148</v>
      </c>
      <c r="B471" s="47" t="s">
        <v>553</v>
      </c>
      <c r="C471" s="50" t="s">
        <v>554</v>
      </c>
      <c r="D471" s="90">
        <v>43906</v>
      </c>
      <c r="E471" s="83"/>
      <c r="F471" s="47" t="s">
        <v>553</v>
      </c>
      <c r="G471" s="47" t="s">
        <v>313</v>
      </c>
      <c r="H471" s="47" t="s">
        <v>142</v>
      </c>
      <c r="I471" s="55">
        <v>58</v>
      </c>
    </row>
    <row r="472" spans="1:9" s="59" customFormat="1">
      <c r="A472" s="47" t="s">
        <v>141</v>
      </c>
      <c r="B472" s="47" t="s">
        <v>553</v>
      </c>
      <c r="C472" s="50" t="s">
        <v>554</v>
      </c>
      <c r="D472" s="90">
        <v>43916</v>
      </c>
      <c r="E472" s="83"/>
      <c r="F472" s="47" t="s">
        <v>553</v>
      </c>
      <c r="G472" s="47" t="s">
        <v>152</v>
      </c>
      <c r="H472" s="47" t="s">
        <v>142</v>
      </c>
      <c r="I472" s="55">
        <v>59</v>
      </c>
    </row>
    <row r="473" spans="1:9" s="59" customFormat="1">
      <c r="A473" s="47" t="s">
        <v>143</v>
      </c>
      <c r="B473" s="47" t="s">
        <v>553</v>
      </c>
      <c r="C473" s="50" t="s">
        <v>554</v>
      </c>
      <c r="D473" s="90">
        <v>43916</v>
      </c>
      <c r="E473" s="83"/>
      <c r="F473" s="47" t="s">
        <v>553</v>
      </c>
      <c r="G473" s="47" t="s">
        <v>153</v>
      </c>
      <c r="H473" s="47" t="s">
        <v>142</v>
      </c>
      <c r="I473" s="55">
        <v>60</v>
      </c>
    </row>
    <row r="474" spans="1:9" s="59" customFormat="1">
      <c r="A474" s="47" t="s">
        <v>144</v>
      </c>
      <c r="B474" s="47" t="s">
        <v>553</v>
      </c>
      <c r="C474" s="50" t="s">
        <v>554</v>
      </c>
      <c r="D474" s="90">
        <v>43916</v>
      </c>
      <c r="E474" s="83"/>
      <c r="F474" s="47" t="s">
        <v>553</v>
      </c>
      <c r="G474" s="47" t="s">
        <v>154</v>
      </c>
      <c r="H474" s="47" t="s">
        <v>142</v>
      </c>
      <c r="I474" s="55">
        <v>61</v>
      </c>
    </row>
    <row r="475" spans="1:9" s="59" customFormat="1">
      <c r="A475" s="47" t="s">
        <v>145</v>
      </c>
      <c r="B475" s="47" t="s">
        <v>553</v>
      </c>
      <c r="C475" s="50" t="s">
        <v>554</v>
      </c>
      <c r="D475" s="90">
        <v>43916</v>
      </c>
      <c r="E475" s="83"/>
      <c r="F475" s="47" t="s">
        <v>553</v>
      </c>
      <c r="G475" s="47" t="s">
        <v>155</v>
      </c>
      <c r="H475" s="47" t="s">
        <v>142</v>
      </c>
      <c r="I475" s="55">
        <v>61</v>
      </c>
    </row>
    <row r="476" spans="1:9" s="59" customFormat="1">
      <c r="A476" s="47" t="s">
        <v>146</v>
      </c>
      <c r="B476" s="47" t="s">
        <v>553</v>
      </c>
      <c r="C476" s="50" t="s">
        <v>554</v>
      </c>
      <c r="D476" s="90">
        <v>43916</v>
      </c>
      <c r="E476" s="83"/>
      <c r="F476" s="47" t="s">
        <v>553</v>
      </c>
      <c r="G476" s="47" t="s">
        <v>156</v>
      </c>
      <c r="H476" s="47" t="s">
        <v>142</v>
      </c>
      <c r="I476" s="55">
        <v>61</v>
      </c>
    </row>
    <row r="477" spans="1:9" s="59" customFormat="1">
      <c r="A477" s="47" t="s">
        <v>147</v>
      </c>
      <c r="B477" s="47" t="s">
        <v>664</v>
      </c>
      <c r="C477" s="50" t="s">
        <v>554</v>
      </c>
      <c r="D477" s="90">
        <v>43916</v>
      </c>
      <c r="E477" s="83"/>
      <c r="F477" s="47" t="s">
        <v>664</v>
      </c>
      <c r="G477" s="47" t="s">
        <v>157</v>
      </c>
      <c r="H477" s="47" t="s">
        <v>142</v>
      </c>
      <c r="I477" s="55" t="s">
        <v>735</v>
      </c>
    </row>
    <row r="478" spans="1:9" s="59" customFormat="1">
      <c r="A478" s="47" t="s">
        <v>148</v>
      </c>
      <c r="B478" s="47" t="s">
        <v>553</v>
      </c>
      <c r="C478" s="50" t="s">
        <v>554</v>
      </c>
      <c r="D478" s="90">
        <v>43916</v>
      </c>
      <c r="E478" s="83"/>
      <c r="F478" s="47" t="s">
        <v>553</v>
      </c>
      <c r="G478" s="47" t="s">
        <v>313</v>
      </c>
      <c r="H478" s="47" t="s">
        <v>142</v>
      </c>
      <c r="I478" s="55">
        <v>63</v>
      </c>
    </row>
    <row r="479" spans="1:9" s="59" customFormat="1">
      <c r="A479" s="47" t="s">
        <v>141</v>
      </c>
      <c r="B479" s="47" t="s">
        <v>553</v>
      </c>
      <c r="C479" s="50" t="s">
        <v>554</v>
      </c>
      <c r="D479" s="90">
        <v>43916</v>
      </c>
      <c r="E479" s="83"/>
      <c r="F479" s="47" t="s">
        <v>553</v>
      </c>
      <c r="G479" s="47" t="s">
        <v>152</v>
      </c>
      <c r="H479" s="47" t="s">
        <v>140</v>
      </c>
      <c r="I479" s="55" t="s">
        <v>736</v>
      </c>
    </row>
    <row r="480" spans="1:9" s="59" customFormat="1">
      <c r="A480" s="47" t="s">
        <v>147</v>
      </c>
      <c r="B480" s="47" t="s">
        <v>664</v>
      </c>
      <c r="C480" s="50" t="s">
        <v>554</v>
      </c>
      <c r="D480" s="90">
        <v>43916</v>
      </c>
      <c r="E480" s="83"/>
      <c r="F480" s="47" t="s">
        <v>664</v>
      </c>
      <c r="G480" s="47" t="s">
        <v>157</v>
      </c>
      <c r="H480" s="47" t="s">
        <v>140</v>
      </c>
      <c r="I480" s="55" t="s">
        <v>737</v>
      </c>
    </row>
    <row r="481" spans="1:9" s="59" customFormat="1">
      <c r="A481" s="47" t="s">
        <v>299</v>
      </c>
      <c r="B481" s="47" t="s">
        <v>553</v>
      </c>
      <c r="C481" s="50" t="s">
        <v>554</v>
      </c>
      <c r="D481" s="90">
        <v>43916</v>
      </c>
      <c r="E481" s="83"/>
      <c r="F481" s="47" t="s">
        <v>553</v>
      </c>
      <c r="G481" s="47" t="s">
        <v>299</v>
      </c>
      <c r="H481" s="47" t="s">
        <v>140</v>
      </c>
      <c r="I481" s="55" t="s">
        <v>738</v>
      </c>
    </row>
    <row r="482" spans="1:9" s="59" customFormat="1">
      <c r="A482" s="47" t="s">
        <v>141</v>
      </c>
      <c r="B482" s="47" t="s">
        <v>553</v>
      </c>
      <c r="C482" s="50" t="s">
        <v>554</v>
      </c>
      <c r="D482" s="90">
        <v>43916</v>
      </c>
      <c r="E482" s="83"/>
      <c r="F482" s="47" t="s">
        <v>553</v>
      </c>
      <c r="G482" s="47" t="s">
        <v>152</v>
      </c>
      <c r="H482" s="47" t="s">
        <v>140</v>
      </c>
      <c r="I482" s="55" t="s">
        <v>739</v>
      </c>
    </row>
    <row r="483" spans="1:9">
      <c r="A483" s="47" t="s">
        <v>141</v>
      </c>
      <c r="B483" s="47" t="s">
        <v>553</v>
      </c>
      <c r="C483" s="50" t="s">
        <v>554</v>
      </c>
      <c r="D483" s="90">
        <v>43917</v>
      </c>
      <c r="F483" s="47" t="s">
        <v>553</v>
      </c>
      <c r="G483" s="47" t="s">
        <v>152</v>
      </c>
      <c r="H483" s="47" t="s">
        <v>140</v>
      </c>
      <c r="I483" s="55" t="s">
        <v>740</v>
      </c>
    </row>
    <row r="484" spans="1:9" s="59" customFormat="1">
      <c r="A484" s="47" t="s">
        <v>299</v>
      </c>
      <c r="B484" s="47" t="s">
        <v>553</v>
      </c>
      <c r="C484" s="50" t="s">
        <v>554</v>
      </c>
      <c r="D484" s="90">
        <v>43924</v>
      </c>
      <c r="E484" s="83"/>
      <c r="F484" s="47" t="s">
        <v>553</v>
      </c>
      <c r="G484" s="47" t="s">
        <v>299</v>
      </c>
      <c r="H484" s="47" t="s">
        <v>140</v>
      </c>
      <c r="I484" s="55" t="s">
        <v>741</v>
      </c>
    </row>
    <row r="485" spans="1:9" s="59" customFormat="1">
      <c r="A485" s="47" t="s">
        <v>141</v>
      </c>
      <c r="B485" s="47" t="s">
        <v>553</v>
      </c>
      <c r="C485" s="50" t="s">
        <v>554</v>
      </c>
      <c r="D485" s="90">
        <v>43924</v>
      </c>
      <c r="E485" s="83"/>
      <c r="F485" s="47" t="s">
        <v>553</v>
      </c>
      <c r="G485" s="47" t="s">
        <v>152</v>
      </c>
      <c r="H485" s="47" t="s">
        <v>142</v>
      </c>
      <c r="I485" s="55">
        <v>62</v>
      </c>
    </row>
    <row r="486" spans="1:9" s="59" customFormat="1">
      <c r="A486" s="47" t="s">
        <v>143</v>
      </c>
      <c r="B486" s="47" t="s">
        <v>553</v>
      </c>
      <c r="C486" s="50" t="s">
        <v>554</v>
      </c>
      <c r="D486" s="90">
        <v>43924</v>
      </c>
      <c r="E486" s="83"/>
      <c r="F486" s="47" t="s">
        <v>553</v>
      </c>
      <c r="G486" s="47" t="s">
        <v>153</v>
      </c>
      <c r="H486" s="47" t="s">
        <v>142</v>
      </c>
      <c r="I486" s="55">
        <v>63</v>
      </c>
    </row>
    <row r="487" spans="1:9" s="59" customFormat="1">
      <c r="A487" s="47" t="s">
        <v>144</v>
      </c>
      <c r="B487" s="47" t="s">
        <v>553</v>
      </c>
      <c r="C487" s="50" t="s">
        <v>554</v>
      </c>
      <c r="D487" s="90">
        <v>43924</v>
      </c>
      <c r="E487" s="83"/>
      <c r="F487" s="47" t="s">
        <v>553</v>
      </c>
      <c r="G487" s="47" t="s">
        <v>154</v>
      </c>
      <c r="H487" s="47" t="s">
        <v>142</v>
      </c>
      <c r="I487" s="55">
        <v>65</v>
      </c>
    </row>
    <row r="488" spans="1:9" s="59" customFormat="1">
      <c r="A488" s="47" t="s">
        <v>145</v>
      </c>
      <c r="B488" s="47" t="s">
        <v>553</v>
      </c>
      <c r="C488" s="50" t="s">
        <v>554</v>
      </c>
      <c r="D488" s="90">
        <v>43924</v>
      </c>
      <c r="E488" s="83"/>
      <c r="F488" s="47" t="s">
        <v>553</v>
      </c>
      <c r="G488" s="47" t="s">
        <v>155</v>
      </c>
      <c r="H488" s="47" t="s">
        <v>142</v>
      </c>
      <c r="I488" s="55">
        <v>64</v>
      </c>
    </row>
    <row r="489" spans="1:9" s="59" customFormat="1">
      <c r="A489" s="47" t="s">
        <v>146</v>
      </c>
      <c r="B489" s="47" t="s">
        <v>553</v>
      </c>
      <c r="C489" s="50" t="s">
        <v>554</v>
      </c>
      <c r="D489" s="90">
        <v>43924</v>
      </c>
      <c r="E489" s="83"/>
      <c r="F489" s="47" t="s">
        <v>553</v>
      </c>
      <c r="G489" s="47" t="s">
        <v>156</v>
      </c>
      <c r="H489" s="47" t="s">
        <v>142</v>
      </c>
      <c r="I489" s="55">
        <v>64</v>
      </c>
    </row>
    <row r="490" spans="1:9" s="59" customFormat="1">
      <c r="A490" s="47" t="s">
        <v>147</v>
      </c>
      <c r="B490" s="47" t="s">
        <v>664</v>
      </c>
      <c r="C490" s="50" t="s">
        <v>554</v>
      </c>
      <c r="D490" s="90">
        <v>43924</v>
      </c>
      <c r="E490" s="83"/>
      <c r="F490" s="47" t="s">
        <v>664</v>
      </c>
      <c r="G490" s="47" t="s">
        <v>157</v>
      </c>
      <c r="H490" s="47" t="s">
        <v>142</v>
      </c>
      <c r="I490" s="55">
        <v>35</v>
      </c>
    </row>
    <row r="491" spans="1:9" s="59" customFormat="1">
      <c r="A491" s="47" t="s">
        <v>148</v>
      </c>
      <c r="B491" s="47" t="s">
        <v>553</v>
      </c>
      <c r="C491" s="50" t="s">
        <v>554</v>
      </c>
      <c r="D491" s="90">
        <v>43924</v>
      </c>
      <c r="E491" s="83"/>
      <c r="F491" s="47" t="s">
        <v>553</v>
      </c>
      <c r="G491" s="47" t="s">
        <v>313</v>
      </c>
      <c r="H491" s="47" t="s">
        <v>142</v>
      </c>
      <c r="I491" s="55">
        <v>65</v>
      </c>
    </row>
    <row r="492" spans="1:9" s="59" customFormat="1">
      <c r="A492" s="47" t="s">
        <v>299</v>
      </c>
      <c r="B492" s="47" t="s">
        <v>553</v>
      </c>
      <c r="C492" s="50" t="s">
        <v>554</v>
      </c>
      <c r="D492" s="90">
        <v>43924</v>
      </c>
      <c r="E492" s="83"/>
      <c r="F492" s="47" t="s">
        <v>553</v>
      </c>
      <c r="G492" s="47" t="s">
        <v>299</v>
      </c>
      <c r="H492" s="47" t="s">
        <v>140</v>
      </c>
      <c r="I492" s="55" t="s">
        <v>742</v>
      </c>
    </row>
    <row r="493" spans="1:9">
      <c r="A493" s="47" t="s">
        <v>141</v>
      </c>
      <c r="B493" s="47" t="s">
        <v>553</v>
      </c>
      <c r="C493" s="50" t="s">
        <v>554</v>
      </c>
      <c r="D493" s="90">
        <v>43924</v>
      </c>
      <c r="F493" s="47" t="s">
        <v>553</v>
      </c>
      <c r="G493" s="47" t="s">
        <v>152</v>
      </c>
      <c r="H493" s="47" t="s">
        <v>140</v>
      </c>
      <c r="I493" s="55" t="s">
        <v>743</v>
      </c>
    </row>
    <row r="494" spans="1:9" s="59" customFormat="1">
      <c r="A494" s="47" t="s">
        <v>299</v>
      </c>
      <c r="B494" s="47" t="s">
        <v>553</v>
      </c>
      <c r="C494" s="50" t="s">
        <v>554</v>
      </c>
      <c r="D494" s="90">
        <v>43924</v>
      </c>
      <c r="E494" s="83"/>
      <c r="F494" s="47" t="s">
        <v>553</v>
      </c>
      <c r="G494" s="47" t="s">
        <v>299</v>
      </c>
      <c r="H494" s="47" t="s">
        <v>140</v>
      </c>
      <c r="I494" s="55" t="s">
        <v>744</v>
      </c>
    </row>
    <row r="495" spans="1:9">
      <c r="A495" s="47" t="s">
        <v>299</v>
      </c>
      <c r="B495" s="47" t="s">
        <v>553</v>
      </c>
      <c r="C495" s="50" t="s">
        <v>554</v>
      </c>
      <c r="D495" s="90">
        <v>43924</v>
      </c>
      <c r="F495" s="47" t="s">
        <v>553</v>
      </c>
      <c r="G495" s="47" t="s">
        <v>299</v>
      </c>
      <c r="H495" s="47" t="s">
        <v>140</v>
      </c>
      <c r="I495" s="55" t="s">
        <v>745</v>
      </c>
    </row>
    <row r="496" spans="1:9" s="59" customFormat="1">
      <c r="A496" s="47" t="s">
        <v>141</v>
      </c>
      <c r="B496" s="47" t="s">
        <v>553</v>
      </c>
      <c r="C496" s="50" t="s">
        <v>554</v>
      </c>
      <c r="D496" s="90">
        <v>43928</v>
      </c>
      <c r="E496" s="83"/>
      <c r="F496" s="47" t="s">
        <v>553</v>
      </c>
      <c r="G496" s="47" t="s">
        <v>152</v>
      </c>
      <c r="H496" s="47" t="s">
        <v>142</v>
      </c>
      <c r="I496" s="55">
        <v>63</v>
      </c>
    </row>
    <row r="497" spans="1:9" s="59" customFormat="1">
      <c r="A497" s="47" t="s">
        <v>143</v>
      </c>
      <c r="B497" s="47" t="s">
        <v>553</v>
      </c>
      <c r="C497" s="50" t="s">
        <v>554</v>
      </c>
      <c r="D497" s="90">
        <v>43928</v>
      </c>
      <c r="E497" s="83"/>
      <c r="F497" s="47" t="s">
        <v>553</v>
      </c>
      <c r="G497" s="47" t="s">
        <v>153</v>
      </c>
      <c r="H497" s="47" t="s">
        <v>142</v>
      </c>
      <c r="I497" s="55">
        <v>65</v>
      </c>
    </row>
    <row r="498" spans="1:9" s="59" customFormat="1">
      <c r="A498" s="47" t="s">
        <v>144</v>
      </c>
      <c r="B498" s="47" t="s">
        <v>553</v>
      </c>
      <c r="C498" s="50" t="s">
        <v>554</v>
      </c>
      <c r="D498" s="90">
        <v>43928</v>
      </c>
      <c r="E498" s="83"/>
      <c r="F498" s="47" t="s">
        <v>553</v>
      </c>
      <c r="G498" s="47" t="s">
        <v>154</v>
      </c>
      <c r="H498" s="47" t="s">
        <v>142</v>
      </c>
      <c r="I498" s="55">
        <v>65</v>
      </c>
    </row>
    <row r="499" spans="1:9" s="59" customFormat="1">
      <c r="A499" s="47" t="s">
        <v>145</v>
      </c>
      <c r="B499" s="47" t="s">
        <v>553</v>
      </c>
      <c r="C499" s="50" t="s">
        <v>554</v>
      </c>
      <c r="D499" s="90">
        <v>43928</v>
      </c>
      <c r="E499" s="83"/>
      <c r="F499" s="47" t="s">
        <v>553</v>
      </c>
      <c r="G499" s="47" t="s">
        <v>155</v>
      </c>
      <c r="H499" s="47" t="s">
        <v>142</v>
      </c>
      <c r="I499" s="55">
        <v>65</v>
      </c>
    </row>
    <row r="500" spans="1:9" s="59" customFormat="1">
      <c r="A500" s="47" t="s">
        <v>146</v>
      </c>
      <c r="B500" s="47" t="s">
        <v>553</v>
      </c>
      <c r="C500" s="50" t="s">
        <v>554</v>
      </c>
      <c r="D500" s="90">
        <v>43928</v>
      </c>
      <c r="E500" s="83"/>
      <c r="F500" s="47" t="s">
        <v>553</v>
      </c>
      <c r="G500" s="47" t="s">
        <v>156</v>
      </c>
      <c r="H500" s="47" t="s">
        <v>142</v>
      </c>
      <c r="I500" s="55">
        <v>65</v>
      </c>
    </row>
    <row r="501" spans="1:9" s="59" customFormat="1">
      <c r="A501" s="47" t="s">
        <v>147</v>
      </c>
      <c r="B501" s="47" t="s">
        <v>664</v>
      </c>
      <c r="C501" s="50" t="s">
        <v>554</v>
      </c>
      <c r="D501" s="90">
        <v>43928</v>
      </c>
      <c r="E501" s="83"/>
      <c r="F501" s="47" t="s">
        <v>664</v>
      </c>
      <c r="G501" s="47" t="s">
        <v>157</v>
      </c>
      <c r="H501" s="47" t="s">
        <v>142</v>
      </c>
      <c r="I501" s="55" t="s">
        <v>782</v>
      </c>
    </row>
    <row r="502" spans="1:9" s="59" customFormat="1">
      <c r="A502" s="47" t="s">
        <v>148</v>
      </c>
      <c r="B502" s="47" t="s">
        <v>553</v>
      </c>
      <c r="C502" s="50" t="s">
        <v>554</v>
      </c>
      <c r="D502" s="90">
        <v>43928</v>
      </c>
      <c r="E502" s="83"/>
      <c r="F502" s="47" t="s">
        <v>553</v>
      </c>
      <c r="G502" s="47" t="s">
        <v>313</v>
      </c>
      <c r="H502" s="47" t="s">
        <v>142</v>
      </c>
      <c r="I502" s="55">
        <v>65</v>
      </c>
    </row>
    <row r="503" spans="1:9" s="59" customFormat="1">
      <c r="A503" s="47" t="s">
        <v>299</v>
      </c>
      <c r="B503" s="47" t="s">
        <v>553</v>
      </c>
      <c r="C503" s="50" t="s">
        <v>554</v>
      </c>
      <c r="D503" s="90">
        <v>43928</v>
      </c>
      <c r="E503" s="83"/>
      <c r="F503" s="47" t="s">
        <v>553</v>
      </c>
      <c r="G503" s="47" t="s">
        <v>299</v>
      </c>
      <c r="H503" s="47" t="s">
        <v>140</v>
      </c>
      <c r="I503" s="55" t="s">
        <v>783</v>
      </c>
    </row>
    <row r="504" spans="1:9" s="59" customFormat="1">
      <c r="A504" s="47" t="s">
        <v>299</v>
      </c>
      <c r="B504" s="47" t="s">
        <v>553</v>
      </c>
      <c r="C504" s="50" t="s">
        <v>554</v>
      </c>
      <c r="D504" s="90">
        <v>43928</v>
      </c>
      <c r="E504" s="83"/>
      <c r="F504" s="47" t="s">
        <v>553</v>
      </c>
      <c r="G504" s="47" t="s">
        <v>299</v>
      </c>
      <c r="H504" s="47" t="s">
        <v>140</v>
      </c>
      <c r="I504" s="55" t="s">
        <v>784</v>
      </c>
    </row>
    <row r="505" spans="1:9">
      <c r="A505" s="47" t="s">
        <v>299</v>
      </c>
      <c r="B505" s="47" t="s">
        <v>553</v>
      </c>
      <c r="C505" s="50" t="s">
        <v>554</v>
      </c>
      <c r="D505" s="90">
        <v>43931</v>
      </c>
      <c r="F505" s="47" t="s">
        <v>553</v>
      </c>
      <c r="G505" s="47" t="s">
        <v>299</v>
      </c>
      <c r="H505" s="47" t="s">
        <v>140</v>
      </c>
      <c r="I505" s="55" t="s">
        <v>785</v>
      </c>
    </row>
    <row r="506" spans="1:9" s="59" customFormat="1" ht="23.25">
      <c r="A506" s="47" t="s">
        <v>299</v>
      </c>
      <c r="B506" s="47" t="s">
        <v>553</v>
      </c>
      <c r="C506" s="50" t="s">
        <v>554</v>
      </c>
      <c r="D506" s="90">
        <v>43935</v>
      </c>
      <c r="E506" s="83"/>
      <c r="F506" s="47" t="s">
        <v>553</v>
      </c>
      <c r="G506" s="47" t="s">
        <v>299</v>
      </c>
      <c r="H506" s="47" t="s">
        <v>140</v>
      </c>
      <c r="I506" s="105" t="s">
        <v>786</v>
      </c>
    </row>
    <row r="507" spans="1:9" s="59" customFormat="1">
      <c r="A507" s="47" t="s">
        <v>141</v>
      </c>
      <c r="B507" s="47" t="s">
        <v>553</v>
      </c>
      <c r="C507" s="50" t="s">
        <v>554</v>
      </c>
      <c r="D507" s="90">
        <v>43935</v>
      </c>
      <c r="E507" s="83"/>
      <c r="F507" s="47" t="s">
        <v>553</v>
      </c>
      <c r="G507" s="47" t="s">
        <v>152</v>
      </c>
      <c r="H507" s="47" t="s">
        <v>142</v>
      </c>
      <c r="I507" s="55">
        <v>66</v>
      </c>
    </row>
    <row r="508" spans="1:9" s="59" customFormat="1">
      <c r="A508" s="47" t="s">
        <v>143</v>
      </c>
      <c r="B508" s="47" t="s">
        <v>553</v>
      </c>
      <c r="C508" s="50" t="s">
        <v>554</v>
      </c>
      <c r="D508" s="90">
        <v>43935</v>
      </c>
      <c r="E508" s="83"/>
      <c r="F508" s="47" t="s">
        <v>553</v>
      </c>
      <c r="G508" s="47" t="s">
        <v>153</v>
      </c>
      <c r="H508" s="47" t="s">
        <v>142</v>
      </c>
      <c r="I508" s="55">
        <v>67</v>
      </c>
    </row>
    <row r="509" spans="1:9" s="59" customFormat="1">
      <c r="A509" s="47" t="s">
        <v>144</v>
      </c>
      <c r="B509" s="47" t="s">
        <v>553</v>
      </c>
      <c r="C509" s="50" t="s">
        <v>554</v>
      </c>
      <c r="D509" s="90">
        <v>43935</v>
      </c>
      <c r="E509" s="83"/>
      <c r="F509" s="47" t="s">
        <v>553</v>
      </c>
      <c r="G509" s="47" t="s">
        <v>154</v>
      </c>
      <c r="H509" s="47" t="s">
        <v>142</v>
      </c>
      <c r="I509" s="55">
        <v>67</v>
      </c>
    </row>
    <row r="510" spans="1:9" s="59" customFormat="1">
      <c r="A510" s="47" t="s">
        <v>145</v>
      </c>
      <c r="B510" s="47" t="s">
        <v>553</v>
      </c>
      <c r="C510" s="50" t="s">
        <v>554</v>
      </c>
      <c r="D510" s="90">
        <v>43935</v>
      </c>
      <c r="E510" s="83"/>
      <c r="F510" s="47" t="s">
        <v>553</v>
      </c>
      <c r="G510" s="47" t="s">
        <v>155</v>
      </c>
      <c r="H510" s="47" t="s">
        <v>142</v>
      </c>
      <c r="I510" s="55">
        <v>67</v>
      </c>
    </row>
    <row r="511" spans="1:9" s="59" customFormat="1">
      <c r="A511" s="47" t="s">
        <v>146</v>
      </c>
      <c r="B511" s="47" t="s">
        <v>553</v>
      </c>
      <c r="C511" s="50" t="s">
        <v>554</v>
      </c>
      <c r="D511" s="90">
        <v>43935</v>
      </c>
      <c r="E511" s="83"/>
      <c r="F511" s="47" t="s">
        <v>553</v>
      </c>
      <c r="G511" s="47" t="s">
        <v>156</v>
      </c>
      <c r="H511" s="47" t="s">
        <v>142</v>
      </c>
      <c r="I511" s="55">
        <v>67</v>
      </c>
    </row>
    <row r="512" spans="1:9" s="59" customFormat="1">
      <c r="A512" s="47" t="s">
        <v>147</v>
      </c>
      <c r="B512" s="47" t="s">
        <v>664</v>
      </c>
      <c r="C512" s="50" t="s">
        <v>554</v>
      </c>
      <c r="D512" s="90">
        <v>43935</v>
      </c>
      <c r="E512" s="83"/>
      <c r="F512" s="47" t="s">
        <v>664</v>
      </c>
      <c r="G512" s="47" t="s">
        <v>157</v>
      </c>
      <c r="H512" s="47" t="s">
        <v>142</v>
      </c>
      <c r="I512" s="55">
        <v>55</v>
      </c>
    </row>
    <row r="513" spans="1:11" s="59" customFormat="1">
      <c r="A513" s="47" t="s">
        <v>148</v>
      </c>
      <c r="B513" s="47" t="s">
        <v>553</v>
      </c>
      <c r="C513" s="50" t="s">
        <v>554</v>
      </c>
      <c r="D513" s="90">
        <v>43935</v>
      </c>
      <c r="E513" s="83"/>
      <c r="F513" s="47" t="s">
        <v>553</v>
      </c>
      <c r="G513" s="47" t="s">
        <v>313</v>
      </c>
      <c r="H513" s="47" t="s">
        <v>142</v>
      </c>
      <c r="I513" s="55">
        <v>67</v>
      </c>
    </row>
    <row r="514" spans="1:11" s="59" customFormat="1">
      <c r="A514" s="47" t="s">
        <v>141</v>
      </c>
      <c r="B514" s="47" t="s">
        <v>553</v>
      </c>
      <c r="C514" s="50" t="s">
        <v>554</v>
      </c>
      <c r="D514" s="90">
        <v>43942</v>
      </c>
      <c r="E514" s="83"/>
      <c r="F514" s="47" t="s">
        <v>553</v>
      </c>
      <c r="G514" s="47" t="s">
        <v>152</v>
      </c>
      <c r="H514" s="47" t="s">
        <v>142</v>
      </c>
      <c r="I514" s="55">
        <v>67</v>
      </c>
      <c r="K514" s="106"/>
    </row>
    <row r="515" spans="1:11" s="59" customFormat="1">
      <c r="A515" s="47" t="s">
        <v>143</v>
      </c>
      <c r="B515" s="47" t="s">
        <v>553</v>
      </c>
      <c r="C515" s="50" t="s">
        <v>554</v>
      </c>
      <c r="D515" s="90">
        <v>43942</v>
      </c>
      <c r="E515" s="83"/>
      <c r="F515" s="47" t="s">
        <v>553</v>
      </c>
      <c r="G515" s="47" t="s">
        <v>153</v>
      </c>
      <c r="H515" s="47" t="s">
        <v>142</v>
      </c>
      <c r="I515" s="55">
        <v>68</v>
      </c>
      <c r="K515" s="106"/>
    </row>
    <row r="516" spans="1:11" s="59" customFormat="1">
      <c r="A516" s="47" t="s">
        <v>144</v>
      </c>
      <c r="B516" s="47" t="s">
        <v>553</v>
      </c>
      <c r="C516" s="50" t="s">
        <v>554</v>
      </c>
      <c r="D516" s="90">
        <v>43942</v>
      </c>
      <c r="E516" s="83"/>
      <c r="F516" s="47" t="s">
        <v>553</v>
      </c>
      <c r="G516" s="47" t="s">
        <v>154</v>
      </c>
      <c r="H516" s="47" t="s">
        <v>142</v>
      </c>
      <c r="I516" s="55">
        <v>68</v>
      </c>
    </row>
    <row r="517" spans="1:11" s="59" customFormat="1">
      <c r="A517" s="47" t="s">
        <v>145</v>
      </c>
      <c r="B517" s="47" t="s">
        <v>553</v>
      </c>
      <c r="C517" s="50" t="s">
        <v>554</v>
      </c>
      <c r="D517" s="90">
        <v>43942</v>
      </c>
      <c r="E517" s="83"/>
      <c r="F517" s="47" t="s">
        <v>553</v>
      </c>
      <c r="G517" s="47" t="s">
        <v>155</v>
      </c>
      <c r="H517" s="47" t="s">
        <v>142</v>
      </c>
      <c r="I517" s="55">
        <v>68</v>
      </c>
    </row>
    <row r="518" spans="1:11" s="59" customFormat="1">
      <c r="A518" s="47" t="s">
        <v>146</v>
      </c>
      <c r="B518" s="47" t="s">
        <v>553</v>
      </c>
      <c r="C518" s="50" t="s">
        <v>554</v>
      </c>
      <c r="D518" s="90">
        <v>43942</v>
      </c>
      <c r="E518" s="83"/>
      <c r="F518" s="47" t="s">
        <v>553</v>
      </c>
      <c r="G518" s="47" t="s">
        <v>156</v>
      </c>
      <c r="H518" s="47" t="s">
        <v>142</v>
      </c>
      <c r="I518" s="55">
        <v>68</v>
      </c>
    </row>
    <row r="519" spans="1:11" s="59" customFormat="1">
      <c r="A519" s="47" t="s">
        <v>147</v>
      </c>
      <c r="B519" s="47" t="s">
        <v>664</v>
      </c>
      <c r="C519" s="50" t="s">
        <v>554</v>
      </c>
      <c r="D519" s="90">
        <v>43942</v>
      </c>
      <c r="E519" s="83"/>
      <c r="F519" s="47" t="s">
        <v>664</v>
      </c>
      <c r="G519" s="47" t="s">
        <v>157</v>
      </c>
      <c r="H519" s="47" t="s">
        <v>142</v>
      </c>
      <c r="I519" s="55">
        <v>60</v>
      </c>
    </row>
    <row r="520" spans="1:11" s="59" customFormat="1">
      <c r="A520" s="47" t="s">
        <v>148</v>
      </c>
      <c r="B520" s="47" t="s">
        <v>553</v>
      </c>
      <c r="C520" s="50" t="s">
        <v>554</v>
      </c>
      <c r="D520" s="90">
        <v>43942</v>
      </c>
      <c r="E520" s="83"/>
      <c r="F520" s="47" t="s">
        <v>553</v>
      </c>
      <c r="G520" s="47" t="s">
        <v>313</v>
      </c>
      <c r="H520" s="47" t="s">
        <v>142</v>
      </c>
      <c r="I520" s="55">
        <v>73</v>
      </c>
    </row>
    <row r="521" spans="1:11">
      <c r="A521" s="47" t="s">
        <v>147</v>
      </c>
      <c r="B521" s="50" t="s">
        <v>664</v>
      </c>
      <c r="C521" s="50" t="s">
        <v>554</v>
      </c>
      <c r="D521" s="90">
        <v>43942</v>
      </c>
      <c r="F521" s="47" t="s">
        <v>664</v>
      </c>
      <c r="G521" s="47" t="s">
        <v>157</v>
      </c>
      <c r="H521" s="47" t="s">
        <v>140</v>
      </c>
      <c r="I521" s="55" t="s">
        <v>788</v>
      </c>
    </row>
    <row r="522" spans="1:11" s="59" customFormat="1">
      <c r="A522" s="47" t="s">
        <v>148</v>
      </c>
      <c r="B522" s="47" t="s">
        <v>553</v>
      </c>
      <c r="C522" s="50" t="s">
        <v>554</v>
      </c>
      <c r="D522" s="90">
        <v>43942</v>
      </c>
      <c r="E522" s="83"/>
      <c r="F522" s="47" t="s">
        <v>553</v>
      </c>
      <c r="G522" s="47" t="s">
        <v>313</v>
      </c>
      <c r="H522" s="47" t="s">
        <v>140</v>
      </c>
      <c r="I522" s="55" t="s">
        <v>790</v>
      </c>
    </row>
    <row r="523" spans="1:11">
      <c r="A523" s="47" t="s">
        <v>141</v>
      </c>
      <c r="B523" s="47" t="s">
        <v>553</v>
      </c>
      <c r="C523" s="50" t="s">
        <v>554</v>
      </c>
      <c r="D523" s="90">
        <v>43949</v>
      </c>
      <c r="F523" s="47" t="s">
        <v>553</v>
      </c>
      <c r="G523" s="47" t="s">
        <v>152</v>
      </c>
      <c r="H523" s="47" t="s">
        <v>140</v>
      </c>
      <c r="I523" s="55" t="s">
        <v>789</v>
      </c>
    </row>
    <row r="524" spans="1:11">
      <c r="A524" s="47" t="s">
        <v>520</v>
      </c>
      <c r="B524" s="47" t="s">
        <v>553</v>
      </c>
      <c r="C524" s="50" t="s">
        <v>554</v>
      </c>
      <c r="D524" s="90">
        <v>43949</v>
      </c>
      <c r="F524" s="47" t="s">
        <v>553</v>
      </c>
      <c r="G524" s="47" t="s">
        <v>299</v>
      </c>
      <c r="H524" s="47" t="s">
        <v>140</v>
      </c>
      <c r="I524" s="55" t="s">
        <v>791</v>
      </c>
    </row>
    <row r="525" spans="1:11">
      <c r="A525" s="47" t="s">
        <v>148</v>
      </c>
      <c r="B525" s="47" t="s">
        <v>553</v>
      </c>
      <c r="C525" s="50" t="s">
        <v>554</v>
      </c>
      <c r="D525" s="90">
        <v>43949</v>
      </c>
      <c r="F525" s="47" t="s">
        <v>553</v>
      </c>
      <c r="G525" s="47" t="s">
        <v>313</v>
      </c>
      <c r="H525" s="47" t="s">
        <v>140</v>
      </c>
      <c r="I525" s="55" t="s">
        <v>792</v>
      </c>
    </row>
    <row r="526" spans="1:11">
      <c r="A526" s="47" t="s">
        <v>148</v>
      </c>
      <c r="B526" s="47" t="s">
        <v>553</v>
      </c>
      <c r="C526" s="50" t="s">
        <v>554</v>
      </c>
      <c r="D526" s="90">
        <v>43949</v>
      </c>
      <c r="F526" s="47" t="s">
        <v>553</v>
      </c>
      <c r="G526" s="47" t="s">
        <v>313</v>
      </c>
      <c r="H526" s="47" t="s">
        <v>140</v>
      </c>
      <c r="I526" s="55" t="s">
        <v>793</v>
      </c>
    </row>
    <row r="527" spans="1:11" s="59" customFormat="1">
      <c r="A527" s="47" t="s">
        <v>299</v>
      </c>
      <c r="B527" s="47" t="s">
        <v>553</v>
      </c>
      <c r="C527" s="50" t="s">
        <v>554</v>
      </c>
      <c r="D527" s="90">
        <v>43955</v>
      </c>
      <c r="E527" s="83"/>
      <c r="F527" s="47" t="s">
        <v>553</v>
      </c>
      <c r="G527" s="47" t="s">
        <v>299</v>
      </c>
      <c r="H527" s="47" t="s">
        <v>140</v>
      </c>
      <c r="I527" s="55" t="s">
        <v>794</v>
      </c>
    </row>
    <row r="528" spans="1:11" s="59" customFormat="1">
      <c r="A528" s="47" t="s">
        <v>147</v>
      </c>
      <c r="B528" s="47" t="s">
        <v>553</v>
      </c>
      <c r="C528" s="50" t="s">
        <v>554</v>
      </c>
      <c r="D528" s="90">
        <v>43955</v>
      </c>
      <c r="E528" s="83"/>
      <c r="F528" s="47" t="s">
        <v>664</v>
      </c>
      <c r="G528" s="47" t="s">
        <v>157</v>
      </c>
      <c r="H528" s="47" t="s">
        <v>140</v>
      </c>
      <c r="I528" s="55" t="s">
        <v>795</v>
      </c>
    </row>
    <row r="529" spans="1:9" s="59" customFormat="1">
      <c r="A529" s="47" t="s">
        <v>299</v>
      </c>
      <c r="B529" s="47" t="s">
        <v>553</v>
      </c>
      <c r="C529" s="50" t="s">
        <v>554</v>
      </c>
      <c r="D529" s="90">
        <v>43955</v>
      </c>
      <c r="E529" s="83"/>
      <c r="F529" s="47" t="s">
        <v>553</v>
      </c>
      <c r="G529" s="47" t="s">
        <v>299</v>
      </c>
      <c r="H529" s="47" t="s">
        <v>140</v>
      </c>
      <c r="I529" s="105" t="s">
        <v>796</v>
      </c>
    </row>
    <row r="530" spans="1:9" s="59" customFormat="1">
      <c r="A530" s="47" t="s">
        <v>141</v>
      </c>
      <c r="B530" s="47" t="s">
        <v>553</v>
      </c>
      <c r="C530" s="50" t="s">
        <v>554</v>
      </c>
      <c r="D530" s="90">
        <v>43964</v>
      </c>
      <c r="E530" s="83"/>
      <c r="F530" s="47" t="s">
        <v>553</v>
      </c>
      <c r="G530" s="47" t="s">
        <v>152</v>
      </c>
      <c r="H530" s="47" t="s">
        <v>142</v>
      </c>
      <c r="I530" s="55">
        <v>78</v>
      </c>
    </row>
    <row r="531" spans="1:9" s="59" customFormat="1">
      <c r="A531" s="47" t="s">
        <v>143</v>
      </c>
      <c r="B531" s="47" t="s">
        <v>553</v>
      </c>
      <c r="C531" s="50" t="s">
        <v>554</v>
      </c>
      <c r="D531" s="90">
        <v>43964</v>
      </c>
      <c r="E531" s="83"/>
      <c r="F531" s="47" t="s">
        <v>553</v>
      </c>
      <c r="G531" s="47" t="s">
        <v>153</v>
      </c>
      <c r="H531" s="47" t="s">
        <v>142</v>
      </c>
      <c r="I531" s="55">
        <v>78</v>
      </c>
    </row>
    <row r="532" spans="1:9" s="59" customFormat="1">
      <c r="A532" s="47" t="s">
        <v>144</v>
      </c>
      <c r="B532" s="47" t="s">
        <v>553</v>
      </c>
      <c r="C532" s="50" t="s">
        <v>554</v>
      </c>
      <c r="D532" s="90">
        <v>43964</v>
      </c>
      <c r="E532" s="83"/>
      <c r="F532" s="47" t="s">
        <v>553</v>
      </c>
      <c r="G532" s="47" t="s">
        <v>154</v>
      </c>
      <c r="H532" s="47" t="s">
        <v>142</v>
      </c>
      <c r="I532" s="55">
        <v>78</v>
      </c>
    </row>
    <row r="533" spans="1:9" s="59" customFormat="1">
      <c r="A533" s="47" t="s">
        <v>145</v>
      </c>
      <c r="B533" s="47" t="s">
        <v>553</v>
      </c>
      <c r="C533" s="50" t="s">
        <v>554</v>
      </c>
      <c r="D533" s="90">
        <v>43964</v>
      </c>
      <c r="E533" s="83"/>
      <c r="F533" s="47" t="s">
        <v>553</v>
      </c>
      <c r="G533" s="47" t="s">
        <v>155</v>
      </c>
      <c r="H533" s="47" t="s">
        <v>142</v>
      </c>
      <c r="I533" s="55">
        <v>78</v>
      </c>
    </row>
    <row r="534" spans="1:9" s="59" customFormat="1">
      <c r="A534" s="47" t="s">
        <v>146</v>
      </c>
      <c r="B534" s="47" t="s">
        <v>553</v>
      </c>
      <c r="C534" s="50" t="s">
        <v>554</v>
      </c>
      <c r="D534" s="90">
        <v>43964</v>
      </c>
      <c r="E534" s="83"/>
      <c r="F534" s="47" t="s">
        <v>553</v>
      </c>
      <c r="G534" s="47" t="s">
        <v>156</v>
      </c>
      <c r="H534" s="47" t="s">
        <v>142</v>
      </c>
      <c r="I534" s="55">
        <v>78</v>
      </c>
    </row>
    <row r="535" spans="1:9" s="59" customFormat="1">
      <c r="A535" s="47" t="s">
        <v>147</v>
      </c>
      <c r="B535" s="47" t="s">
        <v>664</v>
      </c>
      <c r="C535" s="50" t="s">
        <v>554</v>
      </c>
      <c r="D535" s="90">
        <v>43964</v>
      </c>
      <c r="E535" s="83"/>
      <c r="F535" s="47" t="s">
        <v>664</v>
      </c>
      <c r="G535" s="47" t="s">
        <v>157</v>
      </c>
      <c r="H535" s="47" t="s">
        <v>142</v>
      </c>
      <c r="I535" s="55">
        <v>65</v>
      </c>
    </row>
    <row r="536" spans="1:9" s="59" customFormat="1">
      <c r="A536" s="47" t="s">
        <v>148</v>
      </c>
      <c r="B536" s="47" t="s">
        <v>553</v>
      </c>
      <c r="C536" s="50" t="s">
        <v>554</v>
      </c>
      <c r="D536" s="90">
        <v>43964</v>
      </c>
      <c r="E536" s="83"/>
      <c r="F536" s="47" t="s">
        <v>553</v>
      </c>
      <c r="G536" s="47" t="s">
        <v>313</v>
      </c>
      <c r="H536" s="47" t="s">
        <v>142</v>
      </c>
      <c r="I536" s="55">
        <v>78</v>
      </c>
    </row>
    <row r="537" spans="1:9" s="59" customFormat="1">
      <c r="A537" s="47" t="s">
        <v>141</v>
      </c>
      <c r="B537" s="47" t="s">
        <v>553</v>
      </c>
      <c r="C537" s="50" t="s">
        <v>554</v>
      </c>
      <c r="D537" s="90">
        <v>43977</v>
      </c>
      <c r="E537" s="83"/>
      <c r="F537" s="47" t="s">
        <v>553</v>
      </c>
      <c r="G537" s="47" t="s">
        <v>152</v>
      </c>
      <c r="H537" s="47" t="s">
        <v>142</v>
      </c>
      <c r="I537" s="55">
        <v>80</v>
      </c>
    </row>
    <row r="538" spans="1:9" s="59" customFormat="1">
      <c r="A538" s="47" t="s">
        <v>143</v>
      </c>
      <c r="B538" s="47" t="s">
        <v>553</v>
      </c>
      <c r="C538" s="50" t="s">
        <v>554</v>
      </c>
      <c r="D538" s="90">
        <v>43977</v>
      </c>
      <c r="E538" s="83"/>
      <c r="F538" s="47" t="s">
        <v>553</v>
      </c>
      <c r="G538" s="47" t="s">
        <v>153</v>
      </c>
      <c r="H538" s="47" t="s">
        <v>142</v>
      </c>
      <c r="I538" s="55">
        <v>80</v>
      </c>
    </row>
    <row r="539" spans="1:9" s="59" customFormat="1">
      <c r="A539" s="47" t="s">
        <v>144</v>
      </c>
      <c r="B539" s="47" t="s">
        <v>553</v>
      </c>
      <c r="C539" s="50" t="s">
        <v>554</v>
      </c>
      <c r="D539" s="90">
        <v>43977</v>
      </c>
      <c r="E539" s="83"/>
      <c r="F539" s="47" t="s">
        <v>553</v>
      </c>
      <c r="G539" s="47" t="s">
        <v>154</v>
      </c>
      <c r="H539" s="47" t="s">
        <v>142</v>
      </c>
      <c r="I539" s="55">
        <v>80</v>
      </c>
    </row>
    <row r="540" spans="1:9" s="59" customFormat="1">
      <c r="A540" s="47" t="s">
        <v>145</v>
      </c>
      <c r="B540" s="47" t="s">
        <v>553</v>
      </c>
      <c r="C540" s="50" t="s">
        <v>554</v>
      </c>
      <c r="D540" s="90">
        <v>43977</v>
      </c>
      <c r="E540" s="83"/>
      <c r="F540" s="47" t="s">
        <v>553</v>
      </c>
      <c r="G540" s="47" t="s">
        <v>155</v>
      </c>
      <c r="H540" s="47" t="s">
        <v>142</v>
      </c>
      <c r="I540" s="55">
        <v>80</v>
      </c>
    </row>
    <row r="541" spans="1:9" s="59" customFormat="1">
      <c r="A541" s="47" t="s">
        <v>146</v>
      </c>
      <c r="B541" s="47" t="s">
        <v>553</v>
      </c>
      <c r="C541" s="50" t="s">
        <v>554</v>
      </c>
      <c r="D541" s="90">
        <v>43977</v>
      </c>
      <c r="E541" s="83"/>
      <c r="F541" s="47" t="s">
        <v>553</v>
      </c>
      <c r="G541" s="47" t="s">
        <v>156</v>
      </c>
      <c r="H541" s="47" t="s">
        <v>142</v>
      </c>
      <c r="I541" s="55">
        <v>80</v>
      </c>
    </row>
    <row r="542" spans="1:9" s="59" customFormat="1">
      <c r="A542" s="47" t="s">
        <v>147</v>
      </c>
      <c r="B542" s="47" t="s">
        <v>664</v>
      </c>
      <c r="C542" s="50" t="s">
        <v>554</v>
      </c>
      <c r="D542" s="90">
        <v>43977</v>
      </c>
      <c r="E542" s="83"/>
      <c r="F542" s="47" t="s">
        <v>664</v>
      </c>
      <c r="G542" s="47" t="s">
        <v>157</v>
      </c>
      <c r="H542" s="47" t="s">
        <v>142</v>
      </c>
      <c r="I542" s="55">
        <v>67</v>
      </c>
    </row>
    <row r="543" spans="1:9" s="59" customFormat="1">
      <c r="A543" s="47" t="s">
        <v>148</v>
      </c>
      <c r="B543" s="47" t="s">
        <v>553</v>
      </c>
      <c r="C543" s="50" t="s">
        <v>554</v>
      </c>
      <c r="D543" s="90">
        <v>43977</v>
      </c>
      <c r="E543" s="83"/>
      <c r="F543" s="47" t="s">
        <v>553</v>
      </c>
      <c r="G543" s="47" t="s">
        <v>313</v>
      </c>
      <c r="H543" s="47" t="s">
        <v>142</v>
      </c>
      <c r="I543" s="55">
        <v>80</v>
      </c>
    </row>
    <row r="544" spans="1:9">
      <c r="A544" s="47" t="s">
        <v>299</v>
      </c>
      <c r="B544" s="47" t="s">
        <v>553</v>
      </c>
      <c r="C544" s="50" t="s">
        <v>554</v>
      </c>
      <c r="D544" s="90">
        <v>43977</v>
      </c>
      <c r="F544" s="47" t="s">
        <v>553</v>
      </c>
      <c r="G544" s="47" t="s">
        <v>817</v>
      </c>
      <c r="H544" s="47" t="s">
        <v>140</v>
      </c>
      <c r="I544" s="55" t="s">
        <v>818</v>
      </c>
    </row>
    <row r="545" spans="1:9">
      <c r="A545" s="47" t="s">
        <v>147</v>
      </c>
      <c r="B545" s="47" t="s">
        <v>664</v>
      </c>
      <c r="C545" s="50" t="s">
        <v>554</v>
      </c>
      <c r="D545" s="90">
        <v>43977</v>
      </c>
      <c r="F545" s="47" t="s">
        <v>664</v>
      </c>
      <c r="G545" s="47" t="s">
        <v>157</v>
      </c>
      <c r="H545" s="47" t="s">
        <v>140</v>
      </c>
      <c r="I545" s="55" t="s">
        <v>819</v>
      </c>
    </row>
    <row r="546" spans="1:9" s="59" customFormat="1">
      <c r="A546" s="47" t="s">
        <v>141</v>
      </c>
      <c r="B546" s="47" t="s">
        <v>553</v>
      </c>
      <c r="C546" s="50" t="s">
        <v>554</v>
      </c>
      <c r="D546" s="90">
        <v>43991</v>
      </c>
      <c r="E546" s="83"/>
      <c r="F546" s="47" t="s">
        <v>553</v>
      </c>
      <c r="G546" s="47" t="s">
        <v>152</v>
      </c>
      <c r="H546" s="47" t="s">
        <v>142</v>
      </c>
      <c r="I546" s="55">
        <v>81</v>
      </c>
    </row>
    <row r="547" spans="1:9" s="59" customFormat="1">
      <c r="A547" s="47" t="s">
        <v>143</v>
      </c>
      <c r="B547" s="47" t="s">
        <v>553</v>
      </c>
      <c r="C547" s="50" t="s">
        <v>554</v>
      </c>
      <c r="D547" s="90">
        <v>43991</v>
      </c>
      <c r="E547" s="83"/>
      <c r="F547" s="47" t="s">
        <v>553</v>
      </c>
      <c r="G547" s="47" t="s">
        <v>153</v>
      </c>
      <c r="H547" s="47" t="s">
        <v>142</v>
      </c>
      <c r="I547" s="55">
        <v>81</v>
      </c>
    </row>
    <row r="548" spans="1:9" s="59" customFormat="1">
      <c r="A548" s="47" t="s">
        <v>144</v>
      </c>
      <c r="B548" s="47" t="s">
        <v>553</v>
      </c>
      <c r="C548" s="50" t="s">
        <v>554</v>
      </c>
      <c r="D548" s="90">
        <v>43991</v>
      </c>
      <c r="E548" s="83"/>
      <c r="F548" s="47" t="s">
        <v>553</v>
      </c>
      <c r="G548" s="47" t="s">
        <v>154</v>
      </c>
      <c r="H548" s="47" t="s">
        <v>142</v>
      </c>
      <c r="I548" s="55">
        <v>81</v>
      </c>
    </row>
    <row r="549" spans="1:9" s="59" customFormat="1">
      <c r="A549" s="47" t="s">
        <v>145</v>
      </c>
      <c r="B549" s="47" t="s">
        <v>553</v>
      </c>
      <c r="C549" s="50" t="s">
        <v>554</v>
      </c>
      <c r="D549" s="90">
        <v>43991</v>
      </c>
      <c r="E549" s="83"/>
      <c r="F549" s="47" t="s">
        <v>553</v>
      </c>
      <c r="G549" s="47" t="s">
        <v>155</v>
      </c>
      <c r="H549" s="47" t="s">
        <v>142</v>
      </c>
      <c r="I549" s="55">
        <v>81</v>
      </c>
    </row>
    <row r="550" spans="1:9" s="59" customFormat="1">
      <c r="A550" s="47" t="s">
        <v>146</v>
      </c>
      <c r="B550" s="47" t="s">
        <v>553</v>
      </c>
      <c r="C550" s="50" t="s">
        <v>554</v>
      </c>
      <c r="D550" s="90">
        <v>43991</v>
      </c>
      <c r="E550" s="83"/>
      <c r="F550" s="47" t="s">
        <v>553</v>
      </c>
      <c r="G550" s="47" t="s">
        <v>156</v>
      </c>
      <c r="H550" s="47" t="s">
        <v>142</v>
      </c>
      <c r="I550" s="55">
        <v>81</v>
      </c>
    </row>
    <row r="551" spans="1:9" s="59" customFormat="1">
      <c r="A551" s="47" t="s">
        <v>147</v>
      </c>
      <c r="B551" s="47" t="s">
        <v>664</v>
      </c>
      <c r="C551" s="50" t="s">
        <v>554</v>
      </c>
      <c r="D551" s="90">
        <v>43991</v>
      </c>
      <c r="E551" s="83"/>
      <c r="F551" s="47" t="s">
        <v>664</v>
      </c>
      <c r="G551" s="47" t="s">
        <v>157</v>
      </c>
      <c r="H551" s="47" t="s">
        <v>142</v>
      </c>
      <c r="I551" s="55">
        <v>72</v>
      </c>
    </row>
    <row r="552" spans="1:9" s="59" customFormat="1">
      <c r="A552" s="47" t="s">
        <v>148</v>
      </c>
      <c r="B552" s="47" t="s">
        <v>553</v>
      </c>
      <c r="C552" s="50" t="s">
        <v>554</v>
      </c>
      <c r="D552" s="90">
        <v>43991</v>
      </c>
      <c r="E552" s="83"/>
      <c r="F552" s="47" t="s">
        <v>553</v>
      </c>
      <c r="G552" s="47" t="s">
        <v>313</v>
      </c>
      <c r="H552" s="47" t="s">
        <v>142</v>
      </c>
      <c r="I552" s="55" t="s">
        <v>823</v>
      </c>
    </row>
    <row r="553" spans="1:9" s="59" customFormat="1">
      <c r="A553" s="47" t="s">
        <v>147</v>
      </c>
      <c r="B553" s="47" t="s">
        <v>664</v>
      </c>
      <c r="C553" s="50" t="s">
        <v>554</v>
      </c>
      <c r="D553" s="90">
        <v>43991</v>
      </c>
      <c r="E553" s="83"/>
      <c r="F553" s="47" t="s">
        <v>664</v>
      </c>
      <c r="G553" s="47" t="s">
        <v>157</v>
      </c>
      <c r="H553" s="47" t="s">
        <v>140</v>
      </c>
      <c r="I553" s="55" t="s">
        <v>820</v>
      </c>
    </row>
    <row r="554" spans="1:9" s="59" customFormat="1">
      <c r="A554" s="47" t="s">
        <v>821</v>
      </c>
      <c r="B554" s="47" t="s">
        <v>553</v>
      </c>
      <c r="C554" s="50" t="s">
        <v>554</v>
      </c>
      <c r="D554" s="90">
        <v>43991</v>
      </c>
      <c r="E554" s="83"/>
      <c r="F554" s="47" t="s">
        <v>553</v>
      </c>
      <c r="G554" s="47" t="s">
        <v>821</v>
      </c>
      <c r="H554" s="47" t="s">
        <v>140</v>
      </c>
      <c r="I554" s="55" t="s">
        <v>822</v>
      </c>
    </row>
    <row r="555" spans="1:9" s="59" customFormat="1">
      <c r="A555" s="47" t="s">
        <v>147</v>
      </c>
      <c r="B555" s="47" t="s">
        <v>664</v>
      </c>
      <c r="C555" s="50" t="s">
        <v>554</v>
      </c>
      <c r="D555" s="90">
        <v>43997</v>
      </c>
      <c r="E555" s="83"/>
      <c r="F555" s="47" t="s">
        <v>664</v>
      </c>
      <c r="G555" s="47" t="s">
        <v>157</v>
      </c>
      <c r="H555" s="47" t="s">
        <v>140</v>
      </c>
      <c r="I555" s="55" t="s">
        <v>824</v>
      </c>
    </row>
    <row r="556" spans="1:9" s="59" customFormat="1">
      <c r="A556" s="47" t="s">
        <v>147</v>
      </c>
      <c r="B556" s="47" t="s">
        <v>664</v>
      </c>
      <c r="C556" s="50" t="s">
        <v>554</v>
      </c>
      <c r="D556" s="90">
        <v>43997</v>
      </c>
      <c r="E556" s="83"/>
      <c r="F556" s="47" t="s">
        <v>664</v>
      </c>
      <c r="G556" s="47" t="s">
        <v>157</v>
      </c>
      <c r="H556" s="47" t="s">
        <v>140</v>
      </c>
      <c r="I556" s="55" t="s">
        <v>825</v>
      </c>
    </row>
    <row r="557" spans="1:9" s="59" customFormat="1">
      <c r="A557" s="47" t="s">
        <v>147</v>
      </c>
      <c r="B557" s="47" t="s">
        <v>664</v>
      </c>
      <c r="C557" s="50" t="s">
        <v>554</v>
      </c>
      <c r="D557" s="90">
        <v>44005</v>
      </c>
      <c r="E557" s="83"/>
      <c r="F557" s="47" t="s">
        <v>664</v>
      </c>
      <c r="G557" s="47" t="s">
        <v>157</v>
      </c>
      <c r="H557" s="47" t="s">
        <v>140</v>
      </c>
      <c r="I557" s="55" t="s">
        <v>826</v>
      </c>
    </row>
    <row r="558" spans="1:9">
      <c r="A558" s="47" t="s">
        <v>150</v>
      </c>
      <c r="B558" s="47" t="s">
        <v>835</v>
      </c>
      <c r="C558" s="50" t="s">
        <v>836</v>
      </c>
      <c r="D558" s="90">
        <v>44093</v>
      </c>
      <c r="F558" s="47" t="s">
        <v>837</v>
      </c>
      <c r="G558" s="47" t="s">
        <v>150</v>
      </c>
      <c r="H558" s="47" t="s">
        <v>140</v>
      </c>
      <c r="I558" s="55" t="s">
        <v>838</v>
      </c>
    </row>
    <row r="559" spans="1:9">
      <c r="A559" s="47" t="s">
        <v>839</v>
      </c>
      <c r="B559" s="47" t="s">
        <v>835</v>
      </c>
      <c r="C559" s="50" t="s">
        <v>836</v>
      </c>
      <c r="D559" s="90">
        <v>44093</v>
      </c>
      <c r="F559" s="47" t="s">
        <v>837</v>
      </c>
      <c r="G559" s="47" t="s">
        <v>839</v>
      </c>
      <c r="H559" s="47" t="s">
        <v>142</v>
      </c>
      <c r="I559" s="55" t="s">
        <v>335</v>
      </c>
    </row>
    <row r="560" spans="1:9" s="59" customFormat="1">
      <c r="A560" s="47" t="s">
        <v>839</v>
      </c>
      <c r="B560" s="47" t="s">
        <v>835</v>
      </c>
      <c r="C560" s="50" t="s">
        <v>836</v>
      </c>
      <c r="D560" s="90">
        <v>44104</v>
      </c>
      <c r="E560" s="83"/>
      <c r="F560" s="47" t="s">
        <v>837</v>
      </c>
      <c r="G560" s="47" t="s">
        <v>839</v>
      </c>
      <c r="H560" s="47" t="s">
        <v>142</v>
      </c>
      <c r="I560" s="55" t="s">
        <v>842</v>
      </c>
    </row>
    <row r="561" spans="1:9" s="59" customFormat="1">
      <c r="A561" s="47" t="s">
        <v>839</v>
      </c>
      <c r="B561" s="47" t="s">
        <v>835</v>
      </c>
      <c r="C561" s="50" t="s">
        <v>836</v>
      </c>
      <c r="D561" s="90">
        <v>44104</v>
      </c>
      <c r="E561" s="83"/>
      <c r="F561" s="47" t="s">
        <v>837</v>
      </c>
      <c r="G561" s="47" t="s">
        <v>839</v>
      </c>
      <c r="H561" s="47" t="s">
        <v>140</v>
      </c>
      <c r="I561" s="55" t="s">
        <v>843</v>
      </c>
    </row>
    <row r="562" spans="1:9" s="59" customFormat="1">
      <c r="A562" s="47" t="s">
        <v>839</v>
      </c>
      <c r="B562" s="47" t="s">
        <v>835</v>
      </c>
      <c r="C562" s="50" t="s">
        <v>836</v>
      </c>
      <c r="D562" s="90">
        <v>44119</v>
      </c>
      <c r="E562" s="83"/>
      <c r="F562" s="47" t="s">
        <v>837</v>
      </c>
      <c r="G562" s="47" t="s">
        <v>839</v>
      </c>
      <c r="H562" s="47" t="s">
        <v>142</v>
      </c>
      <c r="I562" s="55" t="s">
        <v>844</v>
      </c>
    </row>
    <row r="563" spans="1:9">
      <c r="A563" s="47" t="s">
        <v>852</v>
      </c>
      <c r="B563" s="47" t="s">
        <v>121</v>
      </c>
      <c r="C563" s="50" t="s">
        <v>836</v>
      </c>
      <c r="D563" s="90">
        <v>44139</v>
      </c>
      <c r="F563" s="47" t="s">
        <v>121</v>
      </c>
      <c r="G563" s="47" t="s">
        <v>852</v>
      </c>
      <c r="H563" s="47" t="s">
        <v>142</v>
      </c>
      <c r="I563" s="55" t="s">
        <v>853</v>
      </c>
    </row>
    <row r="564" spans="1:9">
      <c r="A564" s="47" t="s">
        <v>149</v>
      </c>
      <c r="B564" s="47" t="s">
        <v>121</v>
      </c>
      <c r="C564" s="50" t="s">
        <v>836</v>
      </c>
      <c r="D564" s="90">
        <v>44145</v>
      </c>
      <c r="F564" s="47" t="s">
        <v>121</v>
      </c>
      <c r="G564" s="47" t="s">
        <v>149</v>
      </c>
      <c r="H564" s="47" t="s">
        <v>140</v>
      </c>
      <c r="I564" s="55" t="s">
        <v>854</v>
      </c>
    </row>
    <row r="565" spans="1:9">
      <c r="A565" s="47" t="s">
        <v>855</v>
      </c>
      <c r="B565" s="47" t="s">
        <v>835</v>
      </c>
      <c r="C565" s="50" t="s">
        <v>836</v>
      </c>
      <c r="D565" s="90">
        <v>44166</v>
      </c>
      <c r="F565" s="47" t="s">
        <v>837</v>
      </c>
      <c r="G565" s="47" t="s">
        <v>855</v>
      </c>
      <c r="H565" s="47" t="s">
        <v>142</v>
      </c>
      <c r="I565" s="55" t="s">
        <v>856</v>
      </c>
    </row>
    <row r="566" spans="1:9">
      <c r="A566" s="47" t="s">
        <v>141</v>
      </c>
      <c r="B566" s="47" t="s">
        <v>121</v>
      </c>
      <c r="C566" s="50" t="s">
        <v>836</v>
      </c>
      <c r="D566" s="90">
        <v>44166</v>
      </c>
      <c r="F566" s="47" t="s">
        <v>121</v>
      </c>
      <c r="G566" s="47" t="s">
        <v>152</v>
      </c>
      <c r="H566" s="47" t="s">
        <v>142</v>
      </c>
      <c r="I566" s="55" t="s">
        <v>858</v>
      </c>
    </row>
    <row r="567" spans="1:9">
      <c r="A567" s="47" t="s">
        <v>143</v>
      </c>
      <c r="B567" s="47" t="s">
        <v>121</v>
      </c>
      <c r="C567" s="50" t="s">
        <v>836</v>
      </c>
      <c r="D567" s="90">
        <v>44166</v>
      </c>
      <c r="F567" s="47" t="s">
        <v>121</v>
      </c>
      <c r="G567" s="47" t="s">
        <v>153</v>
      </c>
      <c r="H567" s="47" t="s">
        <v>142</v>
      </c>
      <c r="I567" s="55" t="s">
        <v>842</v>
      </c>
    </row>
    <row r="568" spans="1:9">
      <c r="A568" s="47" t="s">
        <v>144</v>
      </c>
      <c r="B568" s="47" t="s">
        <v>121</v>
      </c>
      <c r="C568" s="50" t="s">
        <v>836</v>
      </c>
      <c r="D568" s="90">
        <v>44166</v>
      </c>
      <c r="F568" s="47" t="s">
        <v>121</v>
      </c>
      <c r="G568" s="47" t="s">
        <v>154</v>
      </c>
      <c r="H568" s="47" t="s">
        <v>142</v>
      </c>
      <c r="I568" s="55" t="s">
        <v>842</v>
      </c>
    </row>
    <row r="569" spans="1:9">
      <c r="A569" s="47" t="s">
        <v>145</v>
      </c>
      <c r="B569" s="47" t="s">
        <v>121</v>
      </c>
      <c r="C569" s="50" t="s">
        <v>836</v>
      </c>
      <c r="D569" s="90">
        <v>44166</v>
      </c>
      <c r="F569" s="47" t="s">
        <v>121</v>
      </c>
      <c r="G569" s="47" t="s">
        <v>155</v>
      </c>
      <c r="H569" s="47" t="s">
        <v>142</v>
      </c>
      <c r="I569" s="55" t="s">
        <v>842</v>
      </c>
    </row>
    <row r="570" spans="1:9">
      <c r="A570" s="47" t="s">
        <v>146</v>
      </c>
      <c r="B570" s="47" t="s">
        <v>121</v>
      </c>
      <c r="C570" s="50" t="s">
        <v>836</v>
      </c>
      <c r="D570" s="90">
        <v>44166</v>
      </c>
      <c r="F570" s="47" t="s">
        <v>121</v>
      </c>
      <c r="G570" s="47" t="s">
        <v>156</v>
      </c>
      <c r="H570" s="47" t="s">
        <v>142</v>
      </c>
      <c r="I570" s="55" t="s">
        <v>335</v>
      </c>
    </row>
    <row r="571" spans="1:9">
      <c r="A571" s="47" t="s">
        <v>147</v>
      </c>
      <c r="B571" s="47" t="s">
        <v>121</v>
      </c>
      <c r="C571" s="50" t="s">
        <v>836</v>
      </c>
      <c r="D571" s="90">
        <v>44166</v>
      </c>
      <c r="F571" s="47" t="s">
        <v>121</v>
      </c>
      <c r="G571" s="47" t="s">
        <v>157</v>
      </c>
      <c r="H571" s="47" t="s">
        <v>142</v>
      </c>
      <c r="I571" s="55" t="s">
        <v>335</v>
      </c>
    </row>
    <row r="572" spans="1:9">
      <c r="A572" s="47" t="s">
        <v>148</v>
      </c>
      <c r="B572" s="47" t="s">
        <v>121</v>
      </c>
      <c r="C572" s="50" t="s">
        <v>836</v>
      </c>
      <c r="D572" s="90">
        <v>44166</v>
      </c>
      <c r="F572" s="47" t="s">
        <v>121</v>
      </c>
      <c r="G572" s="47" t="s">
        <v>313</v>
      </c>
      <c r="H572" s="47" t="s">
        <v>142</v>
      </c>
      <c r="I572" s="55" t="s">
        <v>842</v>
      </c>
    </row>
    <row r="573" spans="1:9">
      <c r="A573" s="47" t="s">
        <v>149</v>
      </c>
      <c r="B573" s="47" t="s">
        <v>121</v>
      </c>
      <c r="C573" s="50" t="s">
        <v>836</v>
      </c>
      <c r="D573" s="90">
        <v>44166</v>
      </c>
      <c r="F573" s="47" t="s">
        <v>121</v>
      </c>
      <c r="G573" s="47" t="s">
        <v>149</v>
      </c>
      <c r="H573" s="47" t="s">
        <v>142</v>
      </c>
      <c r="I573" s="55" t="s">
        <v>842</v>
      </c>
    </row>
    <row r="574" spans="1:9">
      <c r="A574" s="47" t="s">
        <v>150</v>
      </c>
      <c r="B574" s="47" t="s">
        <v>835</v>
      </c>
      <c r="C574" s="50" t="s">
        <v>836</v>
      </c>
      <c r="D574" s="90">
        <v>44166</v>
      </c>
      <c r="F574" s="47" t="s">
        <v>837</v>
      </c>
      <c r="G574" s="47" t="s">
        <v>150</v>
      </c>
      <c r="H574" s="47" t="s">
        <v>142</v>
      </c>
      <c r="I574" s="55" t="s">
        <v>857</v>
      </c>
    </row>
    <row r="575" spans="1:9" s="59" customFormat="1">
      <c r="A575" s="47" t="s">
        <v>855</v>
      </c>
      <c r="B575" s="47" t="s">
        <v>835</v>
      </c>
      <c r="C575" s="50" t="s">
        <v>836</v>
      </c>
      <c r="D575" s="90">
        <v>44187</v>
      </c>
      <c r="E575" s="83"/>
      <c r="F575" s="47" t="s">
        <v>837</v>
      </c>
      <c r="G575" s="47" t="s">
        <v>855</v>
      </c>
      <c r="H575" s="47" t="s">
        <v>142</v>
      </c>
      <c r="I575" s="55" t="s">
        <v>856</v>
      </c>
    </row>
    <row r="576" spans="1:9" s="59" customFormat="1">
      <c r="A576" s="47" t="s">
        <v>141</v>
      </c>
      <c r="B576" s="47" t="s">
        <v>121</v>
      </c>
      <c r="C576" s="50" t="s">
        <v>836</v>
      </c>
      <c r="D576" s="90">
        <v>44187</v>
      </c>
      <c r="E576" s="83"/>
      <c r="F576" s="47" t="s">
        <v>121</v>
      </c>
      <c r="G576" s="47" t="s">
        <v>152</v>
      </c>
      <c r="H576" s="47" t="s">
        <v>142</v>
      </c>
      <c r="I576" s="55" t="s">
        <v>859</v>
      </c>
    </row>
    <row r="577" spans="1:9" s="59" customFormat="1">
      <c r="A577" s="47" t="s">
        <v>143</v>
      </c>
      <c r="B577" s="47" t="s">
        <v>121</v>
      </c>
      <c r="C577" s="50" t="s">
        <v>836</v>
      </c>
      <c r="D577" s="90">
        <v>44187</v>
      </c>
      <c r="E577" s="83"/>
      <c r="F577" s="47" t="s">
        <v>121</v>
      </c>
      <c r="G577" s="47" t="s">
        <v>153</v>
      </c>
      <c r="H577" s="47" t="s">
        <v>142</v>
      </c>
      <c r="I577" s="55" t="s">
        <v>860</v>
      </c>
    </row>
    <row r="578" spans="1:9" s="59" customFormat="1">
      <c r="A578" s="47" t="s">
        <v>144</v>
      </c>
      <c r="B578" s="47" t="s">
        <v>121</v>
      </c>
      <c r="C578" s="50" t="s">
        <v>836</v>
      </c>
      <c r="D578" s="90">
        <v>44187</v>
      </c>
      <c r="E578" s="83"/>
      <c r="F578" s="47" t="s">
        <v>121</v>
      </c>
      <c r="G578" s="47" t="s">
        <v>154</v>
      </c>
      <c r="H578" s="47" t="s">
        <v>142</v>
      </c>
      <c r="I578" s="55" t="s">
        <v>860</v>
      </c>
    </row>
    <row r="579" spans="1:9" s="59" customFormat="1">
      <c r="A579" s="47" t="s">
        <v>145</v>
      </c>
      <c r="B579" s="47" t="s">
        <v>121</v>
      </c>
      <c r="C579" s="50" t="s">
        <v>836</v>
      </c>
      <c r="D579" s="90">
        <v>44187</v>
      </c>
      <c r="E579" s="83"/>
      <c r="F579" s="47" t="s">
        <v>121</v>
      </c>
      <c r="G579" s="47" t="s">
        <v>155</v>
      </c>
      <c r="H579" s="47" t="s">
        <v>142</v>
      </c>
      <c r="I579" s="55" t="s">
        <v>860</v>
      </c>
    </row>
    <row r="580" spans="1:9" s="59" customFormat="1">
      <c r="A580" s="47" t="s">
        <v>146</v>
      </c>
      <c r="B580" s="47" t="s">
        <v>121</v>
      </c>
      <c r="C580" s="50" t="s">
        <v>836</v>
      </c>
      <c r="D580" s="90">
        <v>44187</v>
      </c>
      <c r="E580" s="83"/>
      <c r="F580" s="47" t="s">
        <v>121</v>
      </c>
      <c r="G580" s="47" t="s">
        <v>156</v>
      </c>
      <c r="H580" s="47" t="s">
        <v>142</v>
      </c>
      <c r="I580" s="55" t="s">
        <v>334</v>
      </c>
    </row>
    <row r="581" spans="1:9" s="59" customFormat="1">
      <c r="A581" s="47" t="s">
        <v>147</v>
      </c>
      <c r="B581" s="47" t="s">
        <v>121</v>
      </c>
      <c r="C581" s="50" t="s">
        <v>836</v>
      </c>
      <c r="D581" s="90">
        <v>44187</v>
      </c>
      <c r="E581" s="83"/>
      <c r="F581" s="47" t="s">
        <v>121</v>
      </c>
      <c r="G581" s="47" t="s">
        <v>157</v>
      </c>
      <c r="H581" s="47" t="s">
        <v>142</v>
      </c>
      <c r="I581" s="55" t="s">
        <v>334</v>
      </c>
    </row>
    <row r="582" spans="1:9" s="59" customFormat="1">
      <c r="A582" s="47" t="s">
        <v>148</v>
      </c>
      <c r="B582" s="47" t="s">
        <v>121</v>
      </c>
      <c r="C582" s="50" t="s">
        <v>836</v>
      </c>
      <c r="D582" s="90">
        <v>44187</v>
      </c>
      <c r="E582" s="83"/>
      <c r="F582" s="47" t="s">
        <v>121</v>
      </c>
      <c r="G582" s="47" t="s">
        <v>313</v>
      </c>
      <c r="H582" s="47" t="s">
        <v>142</v>
      </c>
      <c r="I582" s="55" t="s">
        <v>860</v>
      </c>
    </row>
    <row r="583" spans="1:9" s="59" customFormat="1">
      <c r="A583" s="47" t="s">
        <v>149</v>
      </c>
      <c r="B583" s="47" t="s">
        <v>121</v>
      </c>
      <c r="C583" s="50" t="s">
        <v>836</v>
      </c>
      <c r="D583" s="90">
        <v>44187</v>
      </c>
      <c r="E583" s="83"/>
      <c r="F583" s="47" t="s">
        <v>121</v>
      </c>
      <c r="G583" s="47" t="s">
        <v>149</v>
      </c>
      <c r="H583" s="47" t="s">
        <v>142</v>
      </c>
      <c r="I583" s="55" t="s">
        <v>860</v>
      </c>
    </row>
    <row r="584" spans="1:9" s="59" customFormat="1">
      <c r="A584" s="47" t="s">
        <v>150</v>
      </c>
      <c r="B584" s="47" t="s">
        <v>835</v>
      </c>
      <c r="C584" s="50" t="s">
        <v>836</v>
      </c>
      <c r="D584" s="90">
        <v>44187</v>
      </c>
      <c r="E584" s="83"/>
      <c r="F584" s="47" t="s">
        <v>837</v>
      </c>
      <c r="G584" s="47" t="s">
        <v>150</v>
      </c>
      <c r="H584" s="47" t="s">
        <v>142</v>
      </c>
      <c r="I584" s="55" t="s">
        <v>857</v>
      </c>
    </row>
    <row r="585" spans="1:9" s="59" customFormat="1">
      <c r="A585" s="47" t="s">
        <v>147</v>
      </c>
      <c r="B585" s="47" t="s">
        <v>121</v>
      </c>
      <c r="C585" s="50" t="s">
        <v>836</v>
      </c>
      <c r="D585" s="90">
        <v>44187</v>
      </c>
      <c r="E585" s="83"/>
      <c r="F585" s="47" t="s">
        <v>121</v>
      </c>
      <c r="G585" s="47" t="s">
        <v>157</v>
      </c>
      <c r="H585" s="47" t="s">
        <v>140</v>
      </c>
      <c r="I585" s="55" t="s">
        <v>861</v>
      </c>
    </row>
    <row r="586" spans="1:9">
      <c r="A586" s="47" t="s">
        <v>149</v>
      </c>
      <c r="B586" s="47" t="s">
        <v>121</v>
      </c>
      <c r="C586" s="50" t="s">
        <v>836</v>
      </c>
      <c r="D586" s="90">
        <v>44187</v>
      </c>
      <c r="F586" s="47" t="s">
        <v>121</v>
      </c>
      <c r="G586" s="47" t="s">
        <v>149</v>
      </c>
      <c r="H586" s="47" t="s">
        <v>140</v>
      </c>
      <c r="I586" s="55" t="s">
        <v>862</v>
      </c>
    </row>
    <row r="587" spans="1:9">
      <c r="A587" s="47" t="s">
        <v>141</v>
      </c>
      <c r="B587" s="47" t="s">
        <v>121</v>
      </c>
      <c r="C587" s="50" t="s">
        <v>836</v>
      </c>
      <c r="D587" s="90">
        <v>44187</v>
      </c>
      <c r="F587" s="47" t="s">
        <v>121</v>
      </c>
      <c r="G587" s="47" t="s">
        <v>152</v>
      </c>
      <c r="H587" s="47" t="s">
        <v>140</v>
      </c>
      <c r="I587" s="55" t="s">
        <v>863</v>
      </c>
    </row>
    <row r="588" spans="1:9">
      <c r="A588" s="47" t="s">
        <v>150</v>
      </c>
      <c r="B588" s="47" t="s">
        <v>835</v>
      </c>
      <c r="C588" s="50" t="s">
        <v>836</v>
      </c>
      <c r="D588" s="90">
        <v>44187</v>
      </c>
      <c r="F588" s="47" t="s">
        <v>837</v>
      </c>
      <c r="G588" s="47" t="s">
        <v>150</v>
      </c>
      <c r="H588" s="47" t="s">
        <v>140</v>
      </c>
      <c r="I588" s="55" t="s">
        <v>864</v>
      </c>
    </row>
    <row r="589" spans="1:9">
      <c r="A589" s="47" t="s">
        <v>855</v>
      </c>
      <c r="B589" s="47" t="s">
        <v>835</v>
      </c>
      <c r="C589" s="50" t="s">
        <v>836</v>
      </c>
      <c r="D589" s="90">
        <v>44218</v>
      </c>
      <c r="F589" s="47" t="s">
        <v>837</v>
      </c>
      <c r="G589" s="47" t="s">
        <v>855</v>
      </c>
      <c r="H589" s="47" t="s">
        <v>142</v>
      </c>
      <c r="I589" s="55" t="s">
        <v>865</v>
      </c>
    </row>
    <row r="590" spans="1:9">
      <c r="A590" s="47" t="s">
        <v>141</v>
      </c>
      <c r="B590" s="47" t="s">
        <v>121</v>
      </c>
      <c r="C590" s="50" t="s">
        <v>836</v>
      </c>
      <c r="D590" s="90">
        <v>44218</v>
      </c>
      <c r="F590" s="47" t="s">
        <v>121</v>
      </c>
      <c r="G590" s="47" t="s">
        <v>152</v>
      </c>
      <c r="H590" s="47" t="s">
        <v>142</v>
      </c>
      <c r="I590" s="55" t="s">
        <v>866</v>
      </c>
    </row>
    <row r="591" spans="1:9">
      <c r="A591" s="47" t="s">
        <v>143</v>
      </c>
      <c r="B591" s="47" t="s">
        <v>121</v>
      </c>
      <c r="C591" s="50" t="s">
        <v>836</v>
      </c>
      <c r="D591" s="90">
        <v>44218</v>
      </c>
      <c r="F591" s="47" t="s">
        <v>121</v>
      </c>
      <c r="G591" s="47" t="s">
        <v>153</v>
      </c>
      <c r="H591" s="47" t="s">
        <v>142</v>
      </c>
      <c r="I591" s="55" t="s">
        <v>867</v>
      </c>
    </row>
    <row r="592" spans="1:9">
      <c r="A592" s="47" t="s">
        <v>144</v>
      </c>
      <c r="B592" s="47" t="s">
        <v>121</v>
      </c>
      <c r="C592" s="50" t="s">
        <v>836</v>
      </c>
      <c r="D592" s="90">
        <v>44218</v>
      </c>
      <c r="F592" s="47" t="s">
        <v>121</v>
      </c>
      <c r="G592" s="47" t="s">
        <v>154</v>
      </c>
      <c r="H592" s="47" t="s">
        <v>142</v>
      </c>
      <c r="I592" s="55" t="s">
        <v>867</v>
      </c>
    </row>
    <row r="593" spans="1:9">
      <c r="A593" s="47" t="s">
        <v>145</v>
      </c>
      <c r="B593" s="47" t="s">
        <v>121</v>
      </c>
      <c r="C593" s="50" t="s">
        <v>836</v>
      </c>
      <c r="D593" s="90">
        <v>44218</v>
      </c>
      <c r="F593" s="47" t="s">
        <v>121</v>
      </c>
      <c r="G593" s="47" t="s">
        <v>155</v>
      </c>
      <c r="H593" s="47" t="s">
        <v>142</v>
      </c>
      <c r="I593" s="55" t="s">
        <v>867</v>
      </c>
    </row>
    <row r="594" spans="1:9">
      <c r="A594" s="47" t="s">
        <v>146</v>
      </c>
      <c r="B594" s="47" t="s">
        <v>121</v>
      </c>
      <c r="C594" s="50" t="s">
        <v>836</v>
      </c>
      <c r="D594" s="90">
        <v>44218</v>
      </c>
      <c r="F594" s="47" t="s">
        <v>121</v>
      </c>
      <c r="G594" s="47" t="s">
        <v>156</v>
      </c>
      <c r="H594" s="47" t="s">
        <v>142</v>
      </c>
      <c r="I594" s="55" t="s">
        <v>866</v>
      </c>
    </row>
    <row r="595" spans="1:9">
      <c r="A595" s="47" t="s">
        <v>147</v>
      </c>
      <c r="B595" s="47" t="s">
        <v>121</v>
      </c>
      <c r="C595" s="50" t="s">
        <v>836</v>
      </c>
      <c r="D595" s="90">
        <v>44218</v>
      </c>
      <c r="F595" s="47" t="s">
        <v>121</v>
      </c>
      <c r="G595" s="47" t="s">
        <v>157</v>
      </c>
      <c r="H595" s="47" t="s">
        <v>142</v>
      </c>
      <c r="I595" s="55" t="s">
        <v>866</v>
      </c>
    </row>
    <row r="596" spans="1:9">
      <c r="A596" s="47" t="s">
        <v>148</v>
      </c>
      <c r="B596" s="47" t="s">
        <v>121</v>
      </c>
      <c r="C596" s="50" t="s">
        <v>836</v>
      </c>
      <c r="D596" s="90">
        <v>44218</v>
      </c>
      <c r="F596" s="47" t="s">
        <v>121</v>
      </c>
      <c r="G596" s="47" t="s">
        <v>313</v>
      </c>
      <c r="H596" s="47" t="s">
        <v>142</v>
      </c>
      <c r="I596" s="55" t="s">
        <v>867</v>
      </c>
    </row>
    <row r="597" spans="1:9">
      <c r="A597" s="47" t="s">
        <v>149</v>
      </c>
      <c r="B597" s="47" t="s">
        <v>121</v>
      </c>
      <c r="C597" s="50" t="s">
        <v>836</v>
      </c>
      <c r="D597" s="90">
        <v>44218</v>
      </c>
      <c r="F597" s="47" t="s">
        <v>121</v>
      </c>
      <c r="G597" s="47" t="s">
        <v>149</v>
      </c>
      <c r="H597" s="47" t="s">
        <v>142</v>
      </c>
      <c r="I597" s="55" t="s">
        <v>867</v>
      </c>
    </row>
    <row r="598" spans="1:9">
      <c r="A598" s="47" t="s">
        <v>150</v>
      </c>
      <c r="B598" s="47" t="s">
        <v>835</v>
      </c>
      <c r="C598" s="50" t="s">
        <v>836</v>
      </c>
      <c r="D598" s="90">
        <v>44218</v>
      </c>
      <c r="F598" s="47" t="s">
        <v>837</v>
      </c>
      <c r="G598" s="47" t="s">
        <v>150</v>
      </c>
      <c r="H598" s="47" t="s">
        <v>142</v>
      </c>
      <c r="I598" s="55" t="s">
        <v>865</v>
      </c>
    </row>
    <row r="599" spans="1:9" s="59" customFormat="1">
      <c r="A599" s="47" t="s">
        <v>855</v>
      </c>
      <c r="B599" s="47" t="s">
        <v>835</v>
      </c>
      <c r="C599" s="50" t="s">
        <v>836</v>
      </c>
      <c r="D599" s="90">
        <v>44270</v>
      </c>
      <c r="E599" s="83"/>
      <c r="F599" s="47" t="s">
        <v>837</v>
      </c>
      <c r="G599" s="47" t="s">
        <v>855</v>
      </c>
      <c r="H599" s="47" t="s">
        <v>142</v>
      </c>
      <c r="I599" s="55" t="s">
        <v>868</v>
      </c>
    </row>
    <row r="600" spans="1:9" s="59" customFormat="1">
      <c r="A600" s="47" t="s">
        <v>141</v>
      </c>
      <c r="B600" s="47" t="s">
        <v>121</v>
      </c>
      <c r="C600" s="50" t="s">
        <v>836</v>
      </c>
      <c r="D600" s="90">
        <v>44270</v>
      </c>
      <c r="E600" s="83"/>
      <c r="F600" s="47" t="s">
        <v>121</v>
      </c>
      <c r="G600" s="47" t="s">
        <v>152</v>
      </c>
      <c r="H600" s="47" t="s">
        <v>142</v>
      </c>
      <c r="I600" s="55" t="s">
        <v>869</v>
      </c>
    </row>
    <row r="601" spans="1:9" s="59" customFormat="1">
      <c r="A601" s="47" t="s">
        <v>143</v>
      </c>
      <c r="B601" s="47" t="s">
        <v>121</v>
      </c>
      <c r="C601" s="50" t="s">
        <v>836</v>
      </c>
      <c r="D601" s="90">
        <v>44270</v>
      </c>
      <c r="E601" s="83"/>
      <c r="F601" s="47" t="s">
        <v>121</v>
      </c>
      <c r="G601" s="47" t="s">
        <v>153</v>
      </c>
      <c r="H601" s="47" t="s">
        <v>142</v>
      </c>
      <c r="I601" s="55" t="s">
        <v>432</v>
      </c>
    </row>
    <row r="602" spans="1:9" s="59" customFormat="1">
      <c r="A602" s="47" t="s">
        <v>144</v>
      </c>
      <c r="B602" s="47" t="s">
        <v>121</v>
      </c>
      <c r="C602" s="50" t="s">
        <v>836</v>
      </c>
      <c r="D602" s="90">
        <v>44270</v>
      </c>
      <c r="E602" s="83"/>
      <c r="F602" s="47" t="s">
        <v>121</v>
      </c>
      <c r="G602" s="47" t="s">
        <v>154</v>
      </c>
      <c r="H602" s="47" t="s">
        <v>142</v>
      </c>
      <c r="I602" s="55" t="s">
        <v>432</v>
      </c>
    </row>
    <row r="603" spans="1:9" s="59" customFormat="1">
      <c r="A603" s="47" t="s">
        <v>145</v>
      </c>
      <c r="B603" s="47" t="s">
        <v>121</v>
      </c>
      <c r="C603" s="50" t="s">
        <v>836</v>
      </c>
      <c r="D603" s="90">
        <v>44270</v>
      </c>
      <c r="E603" s="83"/>
      <c r="F603" s="47" t="s">
        <v>121</v>
      </c>
      <c r="G603" s="47" t="s">
        <v>155</v>
      </c>
      <c r="H603" s="47" t="s">
        <v>142</v>
      </c>
      <c r="I603" s="55" t="s">
        <v>432</v>
      </c>
    </row>
    <row r="604" spans="1:9" s="59" customFormat="1">
      <c r="A604" s="47" t="s">
        <v>146</v>
      </c>
      <c r="B604" s="47" t="s">
        <v>121</v>
      </c>
      <c r="C604" s="50" t="s">
        <v>836</v>
      </c>
      <c r="D604" s="90">
        <v>44270</v>
      </c>
      <c r="E604" s="83"/>
      <c r="F604" s="47" t="s">
        <v>121</v>
      </c>
      <c r="G604" s="47" t="s">
        <v>156</v>
      </c>
      <c r="H604" s="47" t="s">
        <v>142</v>
      </c>
      <c r="I604" s="55" t="s">
        <v>869</v>
      </c>
    </row>
    <row r="605" spans="1:9" s="59" customFormat="1">
      <c r="A605" s="47" t="s">
        <v>147</v>
      </c>
      <c r="B605" s="47" t="s">
        <v>121</v>
      </c>
      <c r="C605" s="50" t="s">
        <v>836</v>
      </c>
      <c r="D605" s="90">
        <v>44270</v>
      </c>
      <c r="E605" s="83"/>
      <c r="F605" s="47" t="s">
        <v>121</v>
      </c>
      <c r="G605" s="47" t="s">
        <v>157</v>
      </c>
      <c r="H605" s="47" t="s">
        <v>142</v>
      </c>
      <c r="I605" s="55" t="s">
        <v>869</v>
      </c>
    </row>
    <row r="606" spans="1:9" s="59" customFormat="1">
      <c r="A606" s="47" t="s">
        <v>148</v>
      </c>
      <c r="B606" s="47" t="s">
        <v>121</v>
      </c>
      <c r="C606" s="50" t="s">
        <v>836</v>
      </c>
      <c r="D606" s="90">
        <v>44270</v>
      </c>
      <c r="E606" s="83"/>
      <c r="F606" s="47" t="s">
        <v>121</v>
      </c>
      <c r="G606" s="47" t="s">
        <v>313</v>
      </c>
      <c r="H606" s="47" t="s">
        <v>142</v>
      </c>
      <c r="I606" s="55" t="s">
        <v>432</v>
      </c>
    </row>
    <row r="607" spans="1:9" s="59" customFormat="1">
      <c r="A607" s="47" t="s">
        <v>149</v>
      </c>
      <c r="B607" s="47" t="s">
        <v>121</v>
      </c>
      <c r="C607" s="50" t="s">
        <v>836</v>
      </c>
      <c r="D607" s="90">
        <v>44270</v>
      </c>
      <c r="E607" s="83"/>
      <c r="F607" s="47" t="s">
        <v>121</v>
      </c>
      <c r="G607" s="47" t="s">
        <v>149</v>
      </c>
      <c r="H607" s="47" t="s">
        <v>142</v>
      </c>
      <c r="I607" s="55" t="s">
        <v>432</v>
      </c>
    </row>
    <row r="608" spans="1:9" s="59" customFormat="1">
      <c r="A608" s="47" t="s">
        <v>150</v>
      </c>
      <c r="B608" s="47" t="s">
        <v>835</v>
      </c>
      <c r="C608" s="50" t="s">
        <v>836</v>
      </c>
      <c r="D608" s="90">
        <v>44270</v>
      </c>
      <c r="E608" s="83"/>
      <c r="F608" s="47" t="s">
        <v>837</v>
      </c>
      <c r="G608" s="47" t="s">
        <v>150</v>
      </c>
      <c r="H608" s="47" t="s">
        <v>142</v>
      </c>
      <c r="I608" s="55" t="s">
        <v>868</v>
      </c>
    </row>
    <row r="609" spans="1:9" s="59" customFormat="1">
      <c r="A609" s="47" t="s">
        <v>855</v>
      </c>
      <c r="B609" s="47" t="s">
        <v>835</v>
      </c>
      <c r="C609" s="50" t="s">
        <v>836</v>
      </c>
      <c r="D609" s="90">
        <v>44276</v>
      </c>
      <c r="E609" s="83"/>
      <c r="F609" s="47" t="s">
        <v>837</v>
      </c>
      <c r="G609" s="47" t="s">
        <v>855</v>
      </c>
      <c r="H609" s="47" t="s">
        <v>142</v>
      </c>
      <c r="I609" s="55" t="s">
        <v>890</v>
      </c>
    </row>
    <row r="610" spans="1:9" s="59" customFormat="1">
      <c r="A610" s="47" t="s">
        <v>141</v>
      </c>
      <c r="B610" s="47" t="s">
        <v>121</v>
      </c>
      <c r="C610" s="50" t="s">
        <v>836</v>
      </c>
      <c r="D610" s="90">
        <v>44276</v>
      </c>
      <c r="E610" s="83"/>
      <c r="F610" s="47" t="s">
        <v>121</v>
      </c>
      <c r="G610" s="47" t="s">
        <v>152</v>
      </c>
      <c r="H610" s="47" t="s">
        <v>142</v>
      </c>
      <c r="I610" s="55" t="s">
        <v>869</v>
      </c>
    </row>
    <row r="611" spans="1:9" s="59" customFormat="1">
      <c r="A611" s="47" t="s">
        <v>143</v>
      </c>
      <c r="B611" s="47" t="s">
        <v>121</v>
      </c>
      <c r="C611" s="50" t="s">
        <v>836</v>
      </c>
      <c r="D611" s="90">
        <v>44276</v>
      </c>
      <c r="E611" s="83"/>
      <c r="F611" s="47" t="s">
        <v>121</v>
      </c>
      <c r="G611" s="47" t="s">
        <v>153</v>
      </c>
      <c r="H611" s="47" t="s">
        <v>142</v>
      </c>
      <c r="I611" s="55" t="s">
        <v>891</v>
      </c>
    </row>
    <row r="612" spans="1:9" s="59" customFormat="1">
      <c r="A612" s="47" t="s">
        <v>144</v>
      </c>
      <c r="B612" s="47" t="s">
        <v>121</v>
      </c>
      <c r="C612" s="50" t="s">
        <v>836</v>
      </c>
      <c r="D612" s="90">
        <v>44276</v>
      </c>
      <c r="E612" s="83"/>
      <c r="F612" s="47" t="s">
        <v>121</v>
      </c>
      <c r="G612" s="47" t="s">
        <v>154</v>
      </c>
      <c r="H612" s="47" t="s">
        <v>142</v>
      </c>
      <c r="I612" s="55" t="s">
        <v>891</v>
      </c>
    </row>
    <row r="613" spans="1:9" s="59" customFormat="1">
      <c r="A613" s="47" t="s">
        <v>145</v>
      </c>
      <c r="B613" s="47" t="s">
        <v>121</v>
      </c>
      <c r="C613" s="50" t="s">
        <v>836</v>
      </c>
      <c r="D613" s="90">
        <v>44276</v>
      </c>
      <c r="E613" s="83"/>
      <c r="F613" s="47" t="s">
        <v>121</v>
      </c>
      <c r="G613" s="47" t="s">
        <v>155</v>
      </c>
      <c r="H613" s="47" t="s">
        <v>142</v>
      </c>
      <c r="I613" s="55" t="s">
        <v>891</v>
      </c>
    </row>
    <row r="614" spans="1:9" s="59" customFormat="1">
      <c r="A614" s="47" t="s">
        <v>146</v>
      </c>
      <c r="B614" s="47" t="s">
        <v>121</v>
      </c>
      <c r="C614" s="50" t="s">
        <v>836</v>
      </c>
      <c r="D614" s="90">
        <v>44276</v>
      </c>
      <c r="E614" s="83"/>
      <c r="F614" s="47" t="s">
        <v>121</v>
      </c>
      <c r="G614" s="47" t="s">
        <v>156</v>
      </c>
      <c r="H614" s="47" t="s">
        <v>142</v>
      </c>
      <c r="I614" s="55" t="s">
        <v>869</v>
      </c>
    </row>
    <row r="615" spans="1:9" s="59" customFormat="1">
      <c r="A615" s="47" t="s">
        <v>147</v>
      </c>
      <c r="B615" s="47" t="s">
        <v>121</v>
      </c>
      <c r="C615" s="50" t="s">
        <v>836</v>
      </c>
      <c r="D615" s="90">
        <v>44276</v>
      </c>
      <c r="E615" s="83"/>
      <c r="F615" s="47" t="s">
        <v>121</v>
      </c>
      <c r="G615" s="47" t="s">
        <v>157</v>
      </c>
      <c r="H615" s="47" t="s">
        <v>142</v>
      </c>
      <c r="I615" s="55" t="s">
        <v>869</v>
      </c>
    </row>
    <row r="616" spans="1:9" s="59" customFormat="1">
      <c r="A616" s="47" t="s">
        <v>148</v>
      </c>
      <c r="B616" s="47" t="s">
        <v>121</v>
      </c>
      <c r="C616" s="50" t="s">
        <v>836</v>
      </c>
      <c r="D616" s="90">
        <v>44276</v>
      </c>
      <c r="E616" s="83"/>
      <c r="F616" s="47" t="s">
        <v>121</v>
      </c>
      <c r="G616" s="47" t="s">
        <v>313</v>
      </c>
      <c r="H616" s="47" t="s">
        <v>142</v>
      </c>
      <c r="I616" s="55" t="s">
        <v>891</v>
      </c>
    </row>
    <row r="617" spans="1:9" s="59" customFormat="1">
      <c r="A617" s="47" t="s">
        <v>149</v>
      </c>
      <c r="B617" s="47" t="s">
        <v>121</v>
      </c>
      <c r="C617" s="50" t="s">
        <v>836</v>
      </c>
      <c r="D617" s="90">
        <v>44276</v>
      </c>
      <c r="E617" s="83"/>
      <c r="F617" s="47" t="s">
        <v>121</v>
      </c>
      <c r="G617" s="47" t="s">
        <v>149</v>
      </c>
      <c r="H617" s="47" t="s">
        <v>142</v>
      </c>
      <c r="I617" s="55" t="s">
        <v>891</v>
      </c>
    </row>
    <row r="618" spans="1:9" s="59" customFormat="1">
      <c r="A618" s="47" t="s">
        <v>150</v>
      </c>
      <c r="B618" s="47" t="s">
        <v>835</v>
      </c>
      <c r="C618" s="50" t="s">
        <v>836</v>
      </c>
      <c r="D618" s="90">
        <v>44276</v>
      </c>
      <c r="E618" s="83"/>
      <c r="F618" s="47" t="s">
        <v>837</v>
      </c>
      <c r="G618" s="47" t="s">
        <v>150</v>
      </c>
      <c r="H618" s="47" t="s">
        <v>142</v>
      </c>
      <c r="I618" s="55" t="s">
        <v>890</v>
      </c>
    </row>
    <row r="619" spans="1:9" s="59" customFormat="1">
      <c r="A619" s="47" t="s">
        <v>855</v>
      </c>
      <c r="B619" s="47" t="s">
        <v>835</v>
      </c>
      <c r="C619" s="50" t="s">
        <v>836</v>
      </c>
      <c r="D619" s="90">
        <v>44284</v>
      </c>
      <c r="E619" s="83"/>
      <c r="F619" s="47" t="s">
        <v>837</v>
      </c>
      <c r="G619" s="47" t="s">
        <v>855</v>
      </c>
      <c r="H619" s="47" t="s">
        <v>142</v>
      </c>
      <c r="I619" s="55" t="s">
        <v>892</v>
      </c>
    </row>
    <row r="620" spans="1:9" s="59" customFormat="1">
      <c r="A620" s="47" t="s">
        <v>141</v>
      </c>
      <c r="B620" s="47" t="s">
        <v>121</v>
      </c>
      <c r="C620" s="50" t="s">
        <v>836</v>
      </c>
      <c r="D620" s="90">
        <v>44284</v>
      </c>
      <c r="E620" s="83"/>
      <c r="F620" s="47" t="s">
        <v>121</v>
      </c>
      <c r="G620" s="47" t="s">
        <v>152</v>
      </c>
      <c r="H620" s="47" t="s">
        <v>142</v>
      </c>
      <c r="I620" s="55" t="s">
        <v>893</v>
      </c>
    </row>
    <row r="621" spans="1:9" s="59" customFormat="1">
      <c r="A621" s="47" t="s">
        <v>143</v>
      </c>
      <c r="B621" s="47" t="s">
        <v>121</v>
      </c>
      <c r="C621" s="50" t="s">
        <v>836</v>
      </c>
      <c r="D621" s="90">
        <v>44284</v>
      </c>
      <c r="E621" s="83"/>
      <c r="F621" s="47" t="s">
        <v>121</v>
      </c>
      <c r="G621" s="47" t="s">
        <v>153</v>
      </c>
      <c r="H621" s="47" t="s">
        <v>142</v>
      </c>
      <c r="I621" s="55" t="s">
        <v>894</v>
      </c>
    </row>
    <row r="622" spans="1:9" s="59" customFormat="1">
      <c r="A622" s="47" t="s">
        <v>144</v>
      </c>
      <c r="B622" s="47" t="s">
        <v>121</v>
      </c>
      <c r="C622" s="50" t="s">
        <v>836</v>
      </c>
      <c r="D622" s="90">
        <v>44284</v>
      </c>
      <c r="E622" s="83"/>
      <c r="F622" s="47" t="s">
        <v>121</v>
      </c>
      <c r="G622" s="47" t="s">
        <v>154</v>
      </c>
      <c r="H622" s="47" t="s">
        <v>142</v>
      </c>
      <c r="I622" s="55" t="s">
        <v>894</v>
      </c>
    </row>
    <row r="623" spans="1:9" s="59" customFormat="1">
      <c r="A623" s="47" t="s">
        <v>145</v>
      </c>
      <c r="B623" s="47" t="s">
        <v>121</v>
      </c>
      <c r="C623" s="50" t="s">
        <v>836</v>
      </c>
      <c r="D623" s="90">
        <v>44284</v>
      </c>
      <c r="E623" s="83"/>
      <c r="F623" s="47" t="s">
        <v>121</v>
      </c>
      <c r="G623" s="47" t="s">
        <v>155</v>
      </c>
      <c r="H623" s="47" t="s">
        <v>142</v>
      </c>
      <c r="I623" s="55" t="s">
        <v>894</v>
      </c>
    </row>
    <row r="624" spans="1:9" s="59" customFormat="1">
      <c r="A624" s="47" t="s">
        <v>146</v>
      </c>
      <c r="B624" s="47" t="s">
        <v>121</v>
      </c>
      <c r="C624" s="50" t="s">
        <v>836</v>
      </c>
      <c r="D624" s="90">
        <v>44284</v>
      </c>
      <c r="E624" s="83"/>
      <c r="F624" s="47" t="s">
        <v>121</v>
      </c>
      <c r="G624" s="47" t="s">
        <v>156</v>
      </c>
      <c r="H624" s="47" t="s">
        <v>142</v>
      </c>
      <c r="I624" s="55" t="s">
        <v>893</v>
      </c>
    </row>
    <row r="625" spans="1:9" s="59" customFormat="1">
      <c r="A625" s="47" t="s">
        <v>147</v>
      </c>
      <c r="B625" s="47" t="s">
        <v>121</v>
      </c>
      <c r="C625" s="50" t="s">
        <v>836</v>
      </c>
      <c r="D625" s="90">
        <v>44284</v>
      </c>
      <c r="E625" s="83"/>
      <c r="F625" s="47" t="s">
        <v>121</v>
      </c>
      <c r="G625" s="47" t="s">
        <v>157</v>
      </c>
      <c r="H625" s="47" t="s">
        <v>142</v>
      </c>
      <c r="I625" s="55" t="s">
        <v>432</v>
      </c>
    </row>
    <row r="626" spans="1:9" s="59" customFormat="1">
      <c r="A626" s="47" t="s">
        <v>148</v>
      </c>
      <c r="B626" s="47" t="s">
        <v>121</v>
      </c>
      <c r="C626" s="50" t="s">
        <v>836</v>
      </c>
      <c r="D626" s="90">
        <v>44284</v>
      </c>
      <c r="E626" s="83"/>
      <c r="F626" s="47" t="s">
        <v>121</v>
      </c>
      <c r="G626" s="47" t="s">
        <v>313</v>
      </c>
      <c r="H626" s="47" t="s">
        <v>142</v>
      </c>
      <c r="I626" s="55" t="s">
        <v>894</v>
      </c>
    </row>
    <row r="627" spans="1:9" s="59" customFormat="1">
      <c r="A627" s="47" t="s">
        <v>149</v>
      </c>
      <c r="B627" s="47" t="s">
        <v>121</v>
      </c>
      <c r="C627" s="50" t="s">
        <v>836</v>
      </c>
      <c r="D627" s="90">
        <v>44284</v>
      </c>
      <c r="E627" s="83"/>
      <c r="F627" s="47" t="s">
        <v>121</v>
      </c>
      <c r="G627" s="47" t="s">
        <v>149</v>
      </c>
      <c r="H627" s="47" t="s">
        <v>142</v>
      </c>
      <c r="I627" s="55" t="s">
        <v>894</v>
      </c>
    </row>
    <row r="628" spans="1:9" s="59" customFormat="1">
      <c r="A628" s="47" t="s">
        <v>150</v>
      </c>
      <c r="B628" s="47" t="s">
        <v>835</v>
      </c>
      <c r="C628" s="50" t="s">
        <v>836</v>
      </c>
      <c r="D628" s="90">
        <v>44284</v>
      </c>
      <c r="E628" s="83"/>
      <c r="F628" s="47" t="s">
        <v>837</v>
      </c>
      <c r="G628" s="47" t="s">
        <v>150</v>
      </c>
      <c r="H628" s="47" t="s">
        <v>142</v>
      </c>
      <c r="I628" s="55" t="s">
        <v>892</v>
      </c>
    </row>
    <row r="629" spans="1:9" s="59" customFormat="1">
      <c r="A629" s="47" t="s">
        <v>855</v>
      </c>
      <c r="B629" s="47" t="s">
        <v>835</v>
      </c>
      <c r="C629" s="50" t="s">
        <v>836</v>
      </c>
      <c r="D629" s="90">
        <v>44293</v>
      </c>
      <c r="E629" s="83"/>
      <c r="F629" s="47" t="s">
        <v>837</v>
      </c>
      <c r="G629" s="47" t="s">
        <v>855</v>
      </c>
      <c r="H629" s="47" t="s">
        <v>142</v>
      </c>
      <c r="I629" s="55" t="s">
        <v>895</v>
      </c>
    </row>
    <row r="630" spans="1:9" s="59" customFormat="1">
      <c r="A630" s="47" t="s">
        <v>141</v>
      </c>
      <c r="B630" s="47" t="s">
        <v>121</v>
      </c>
      <c r="C630" s="50" t="s">
        <v>836</v>
      </c>
      <c r="D630" s="90">
        <v>44293</v>
      </c>
      <c r="E630" s="83"/>
      <c r="F630" s="47" t="s">
        <v>121</v>
      </c>
      <c r="G630" s="47" t="s">
        <v>152</v>
      </c>
      <c r="H630" s="47" t="s">
        <v>142</v>
      </c>
      <c r="I630" s="55" t="s">
        <v>896</v>
      </c>
    </row>
    <row r="631" spans="1:9" s="59" customFormat="1">
      <c r="A631" s="47" t="s">
        <v>143</v>
      </c>
      <c r="B631" s="47" t="s">
        <v>121</v>
      </c>
      <c r="C631" s="50" t="s">
        <v>836</v>
      </c>
      <c r="D631" s="90">
        <v>44293</v>
      </c>
      <c r="E631" s="83"/>
      <c r="F631" s="47" t="s">
        <v>121</v>
      </c>
      <c r="G631" s="47" t="s">
        <v>153</v>
      </c>
      <c r="H631" s="47" t="s">
        <v>142</v>
      </c>
      <c r="I631" s="55" t="s">
        <v>897</v>
      </c>
    </row>
    <row r="632" spans="1:9" s="59" customFormat="1">
      <c r="A632" s="47" t="s">
        <v>144</v>
      </c>
      <c r="B632" s="47" t="s">
        <v>121</v>
      </c>
      <c r="C632" s="50" t="s">
        <v>836</v>
      </c>
      <c r="D632" s="90">
        <v>44293</v>
      </c>
      <c r="E632" s="83"/>
      <c r="F632" s="47" t="s">
        <v>121</v>
      </c>
      <c r="G632" s="47" t="s">
        <v>154</v>
      </c>
      <c r="H632" s="47" t="s">
        <v>142</v>
      </c>
      <c r="I632" s="55" t="s">
        <v>897</v>
      </c>
    </row>
    <row r="633" spans="1:9" s="59" customFormat="1">
      <c r="A633" s="47" t="s">
        <v>145</v>
      </c>
      <c r="B633" s="47" t="s">
        <v>121</v>
      </c>
      <c r="C633" s="50" t="s">
        <v>836</v>
      </c>
      <c r="D633" s="90">
        <v>44293</v>
      </c>
      <c r="E633" s="83"/>
      <c r="F633" s="47" t="s">
        <v>121</v>
      </c>
      <c r="G633" s="47" t="s">
        <v>155</v>
      </c>
      <c r="H633" s="47" t="s">
        <v>142</v>
      </c>
      <c r="I633" s="55" t="s">
        <v>897</v>
      </c>
    </row>
    <row r="634" spans="1:9" s="59" customFormat="1">
      <c r="A634" s="47" t="s">
        <v>146</v>
      </c>
      <c r="B634" s="47" t="s">
        <v>121</v>
      </c>
      <c r="C634" s="50" t="s">
        <v>836</v>
      </c>
      <c r="D634" s="90">
        <v>44293</v>
      </c>
      <c r="E634" s="83"/>
      <c r="F634" s="47" t="s">
        <v>121</v>
      </c>
      <c r="G634" s="47" t="s">
        <v>156</v>
      </c>
      <c r="H634" s="47" t="s">
        <v>142</v>
      </c>
      <c r="I634" s="55" t="s">
        <v>898</v>
      </c>
    </row>
    <row r="635" spans="1:9" s="59" customFormat="1">
      <c r="A635" s="47" t="s">
        <v>147</v>
      </c>
      <c r="B635" s="47" t="s">
        <v>121</v>
      </c>
      <c r="C635" s="50" t="s">
        <v>836</v>
      </c>
      <c r="D635" s="90">
        <v>44293</v>
      </c>
      <c r="E635" s="83"/>
      <c r="F635" s="47" t="s">
        <v>121</v>
      </c>
      <c r="G635" s="47" t="s">
        <v>157</v>
      </c>
      <c r="H635" s="47" t="s">
        <v>142</v>
      </c>
      <c r="I635" s="55" t="s">
        <v>899</v>
      </c>
    </row>
    <row r="636" spans="1:9" s="59" customFormat="1">
      <c r="A636" s="47" t="s">
        <v>148</v>
      </c>
      <c r="B636" s="47" t="s">
        <v>121</v>
      </c>
      <c r="C636" s="50" t="s">
        <v>836</v>
      </c>
      <c r="D636" s="90">
        <v>44293</v>
      </c>
      <c r="E636" s="83"/>
      <c r="F636" s="47" t="s">
        <v>121</v>
      </c>
      <c r="G636" s="47" t="s">
        <v>313</v>
      </c>
      <c r="H636" s="47" t="s">
        <v>142</v>
      </c>
      <c r="I636" s="55" t="s">
        <v>897</v>
      </c>
    </row>
    <row r="637" spans="1:9" s="59" customFormat="1">
      <c r="A637" s="47" t="s">
        <v>149</v>
      </c>
      <c r="B637" s="47" t="s">
        <v>121</v>
      </c>
      <c r="C637" s="50" t="s">
        <v>836</v>
      </c>
      <c r="D637" s="90">
        <v>44293</v>
      </c>
      <c r="E637" s="83"/>
      <c r="F637" s="47" t="s">
        <v>121</v>
      </c>
      <c r="G637" s="47" t="s">
        <v>149</v>
      </c>
      <c r="H637" s="47" t="s">
        <v>142</v>
      </c>
      <c r="I637" s="55" t="s">
        <v>897</v>
      </c>
    </row>
    <row r="638" spans="1:9" s="59" customFormat="1">
      <c r="A638" s="47" t="s">
        <v>150</v>
      </c>
      <c r="B638" s="47" t="s">
        <v>835</v>
      </c>
      <c r="C638" s="50" t="s">
        <v>836</v>
      </c>
      <c r="D638" s="90">
        <v>44293</v>
      </c>
      <c r="E638" s="83"/>
      <c r="F638" s="47" t="s">
        <v>837</v>
      </c>
      <c r="G638" s="47" t="s">
        <v>150</v>
      </c>
      <c r="H638" s="47" t="s">
        <v>142</v>
      </c>
      <c r="I638" s="55" t="s">
        <v>895</v>
      </c>
    </row>
    <row r="639" spans="1:9" s="59" customFormat="1">
      <c r="A639" s="47" t="s">
        <v>855</v>
      </c>
      <c r="B639" s="47" t="s">
        <v>835</v>
      </c>
      <c r="C639" s="50" t="s">
        <v>836</v>
      </c>
      <c r="D639" s="90">
        <v>44298</v>
      </c>
      <c r="E639" s="83"/>
      <c r="F639" s="47" t="s">
        <v>837</v>
      </c>
      <c r="G639" s="47" t="s">
        <v>855</v>
      </c>
      <c r="H639" s="47" t="s">
        <v>142</v>
      </c>
      <c r="I639" s="55" t="s">
        <v>895</v>
      </c>
    </row>
    <row r="640" spans="1:9" s="59" customFormat="1">
      <c r="A640" s="47" t="s">
        <v>141</v>
      </c>
      <c r="B640" s="47" t="s">
        <v>121</v>
      </c>
      <c r="C640" s="50" t="s">
        <v>836</v>
      </c>
      <c r="D640" s="90">
        <v>44298</v>
      </c>
      <c r="E640" s="83"/>
      <c r="F640" s="47" t="s">
        <v>121</v>
      </c>
      <c r="G640" s="47" t="s">
        <v>152</v>
      </c>
      <c r="H640" s="47" t="s">
        <v>142</v>
      </c>
      <c r="I640" s="55" t="s">
        <v>894</v>
      </c>
    </row>
    <row r="641" spans="1:9" s="59" customFormat="1">
      <c r="A641" s="47" t="s">
        <v>143</v>
      </c>
      <c r="B641" s="47" t="s">
        <v>121</v>
      </c>
      <c r="C641" s="50" t="s">
        <v>836</v>
      </c>
      <c r="D641" s="90">
        <v>44298</v>
      </c>
      <c r="E641" s="83"/>
      <c r="F641" s="47" t="s">
        <v>121</v>
      </c>
      <c r="G641" s="47" t="s">
        <v>153</v>
      </c>
      <c r="H641" s="47" t="s">
        <v>142</v>
      </c>
      <c r="I641" s="55" t="s">
        <v>894</v>
      </c>
    </row>
    <row r="642" spans="1:9" s="59" customFormat="1">
      <c r="A642" s="47" t="s">
        <v>144</v>
      </c>
      <c r="B642" s="47" t="s">
        <v>121</v>
      </c>
      <c r="C642" s="50" t="s">
        <v>836</v>
      </c>
      <c r="D642" s="90">
        <v>44298</v>
      </c>
      <c r="E642" s="83"/>
      <c r="F642" s="47" t="s">
        <v>121</v>
      </c>
      <c r="G642" s="47" t="s">
        <v>154</v>
      </c>
      <c r="H642" s="47" t="s">
        <v>142</v>
      </c>
      <c r="I642" s="55" t="s">
        <v>894</v>
      </c>
    </row>
    <row r="643" spans="1:9" s="59" customFormat="1">
      <c r="A643" s="47" t="s">
        <v>145</v>
      </c>
      <c r="B643" s="47" t="s">
        <v>121</v>
      </c>
      <c r="C643" s="50" t="s">
        <v>836</v>
      </c>
      <c r="D643" s="90">
        <v>44298</v>
      </c>
      <c r="E643" s="83"/>
      <c r="F643" s="47" t="s">
        <v>121</v>
      </c>
      <c r="G643" s="47" t="s">
        <v>155</v>
      </c>
      <c r="H643" s="47" t="s">
        <v>142</v>
      </c>
      <c r="I643" s="55" t="s">
        <v>894</v>
      </c>
    </row>
    <row r="644" spans="1:9" s="59" customFormat="1">
      <c r="A644" s="47" t="s">
        <v>146</v>
      </c>
      <c r="B644" s="47" t="s">
        <v>121</v>
      </c>
      <c r="C644" s="50" t="s">
        <v>836</v>
      </c>
      <c r="D644" s="90">
        <v>44298</v>
      </c>
      <c r="E644" s="83"/>
      <c r="F644" s="47" t="s">
        <v>121</v>
      </c>
      <c r="G644" s="47" t="s">
        <v>156</v>
      </c>
      <c r="H644" s="47" t="s">
        <v>142</v>
      </c>
      <c r="I644" s="55" t="s">
        <v>898</v>
      </c>
    </row>
    <row r="645" spans="1:9" s="59" customFormat="1">
      <c r="A645" s="47" t="s">
        <v>147</v>
      </c>
      <c r="B645" s="47" t="s">
        <v>121</v>
      </c>
      <c r="C645" s="50" t="s">
        <v>836</v>
      </c>
      <c r="D645" s="90">
        <v>44298</v>
      </c>
      <c r="E645" s="83"/>
      <c r="F645" s="47" t="s">
        <v>121</v>
      </c>
      <c r="G645" s="47" t="s">
        <v>157</v>
      </c>
      <c r="H645" s="47" t="s">
        <v>142</v>
      </c>
      <c r="I645" s="55" t="s">
        <v>898</v>
      </c>
    </row>
    <row r="646" spans="1:9" s="59" customFormat="1">
      <c r="A646" s="47" t="s">
        <v>148</v>
      </c>
      <c r="B646" s="47" t="s">
        <v>121</v>
      </c>
      <c r="C646" s="50" t="s">
        <v>836</v>
      </c>
      <c r="D646" s="90">
        <v>44298</v>
      </c>
      <c r="E646" s="83"/>
      <c r="F646" s="47" t="s">
        <v>121</v>
      </c>
      <c r="G646" s="47" t="s">
        <v>313</v>
      </c>
      <c r="H646" s="47" t="s">
        <v>142</v>
      </c>
      <c r="I646" s="55" t="s">
        <v>894</v>
      </c>
    </row>
    <row r="647" spans="1:9" s="59" customFormat="1">
      <c r="A647" s="47" t="s">
        <v>149</v>
      </c>
      <c r="B647" s="47" t="s">
        <v>121</v>
      </c>
      <c r="C647" s="50" t="s">
        <v>836</v>
      </c>
      <c r="D647" s="90">
        <v>44298</v>
      </c>
      <c r="E647" s="83"/>
      <c r="F647" s="47" t="s">
        <v>121</v>
      </c>
      <c r="G647" s="47" t="s">
        <v>149</v>
      </c>
      <c r="H647" s="47" t="s">
        <v>142</v>
      </c>
      <c r="I647" s="55" t="s">
        <v>894</v>
      </c>
    </row>
    <row r="648" spans="1:9">
      <c r="A648" s="47" t="s">
        <v>918</v>
      </c>
      <c r="B648" s="47" t="s">
        <v>121</v>
      </c>
      <c r="C648" s="50" t="s">
        <v>836</v>
      </c>
      <c r="D648" s="90">
        <v>44306</v>
      </c>
      <c r="F648" s="47" t="s">
        <v>121</v>
      </c>
      <c r="G648" s="47" t="s">
        <v>919</v>
      </c>
      <c r="H648" s="47" t="s">
        <v>140</v>
      </c>
      <c r="I648" s="55" t="s">
        <v>916</v>
      </c>
    </row>
    <row r="649" spans="1:9">
      <c r="A649" s="47" t="s">
        <v>147</v>
      </c>
      <c r="B649" s="47" t="s">
        <v>121</v>
      </c>
      <c r="C649" s="50" t="s">
        <v>836</v>
      </c>
      <c r="D649" s="90">
        <v>44306</v>
      </c>
      <c r="F649" s="47" t="s">
        <v>121</v>
      </c>
      <c r="G649" s="47" t="s">
        <v>157</v>
      </c>
      <c r="H649" s="47" t="s">
        <v>140</v>
      </c>
      <c r="I649" s="55" t="s">
        <v>922</v>
      </c>
    </row>
    <row r="650" spans="1:9">
      <c r="A650" s="47" t="s">
        <v>920</v>
      </c>
      <c r="B650" s="47" t="s">
        <v>121</v>
      </c>
      <c r="C650" s="50" t="s">
        <v>836</v>
      </c>
      <c r="D650" s="90">
        <v>44306</v>
      </c>
      <c r="F650" s="47" t="s">
        <v>121</v>
      </c>
      <c r="G650" s="47" t="s">
        <v>921</v>
      </c>
      <c r="H650" s="47" t="s">
        <v>140</v>
      </c>
      <c r="I650" s="55" t="s">
        <v>917</v>
      </c>
    </row>
    <row r="651" spans="1:9" s="59" customFormat="1">
      <c r="A651" s="47" t="s">
        <v>141</v>
      </c>
      <c r="B651" s="47" t="s">
        <v>121</v>
      </c>
      <c r="C651" s="50" t="s">
        <v>836</v>
      </c>
      <c r="D651" s="90">
        <v>44334</v>
      </c>
      <c r="E651" s="83"/>
      <c r="F651" s="47" t="s">
        <v>121</v>
      </c>
      <c r="G651" s="47" t="s">
        <v>152</v>
      </c>
      <c r="H651" s="47" t="s">
        <v>142</v>
      </c>
      <c r="I651" s="55" t="s">
        <v>923</v>
      </c>
    </row>
    <row r="652" spans="1:9" s="59" customFormat="1">
      <c r="A652" s="47" t="s">
        <v>143</v>
      </c>
      <c r="B652" s="47" t="s">
        <v>121</v>
      </c>
      <c r="C652" s="50" t="s">
        <v>836</v>
      </c>
      <c r="D652" s="90">
        <v>44334</v>
      </c>
      <c r="E652" s="83"/>
      <c r="F652" s="47" t="s">
        <v>121</v>
      </c>
      <c r="G652" s="47" t="s">
        <v>153</v>
      </c>
      <c r="H652" s="47" t="s">
        <v>142</v>
      </c>
      <c r="I652" s="55" t="s">
        <v>923</v>
      </c>
    </row>
    <row r="653" spans="1:9" s="59" customFormat="1">
      <c r="A653" s="47" t="s">
        <v>144</v>
      </c>
      <c r="B653" s="47" t="s">
        <v>121</v>
      </c>
      <c r="C653" s="50" t="s">
        <v>836</v>
      </c>
      <c r="D653" s="90">
        <v>44334</v>
      </c>
      <c r="E653" s="83"/>
      <c r="F653" s="47" t="s">
        <v>121</v>
      </c>
      <c r="G653" s="47" t="s">
        <v>154</v>
      </c>
      <c r="H653" s="47" t="s">
        <v>142</v>
      </c>
      <c r="I653" s="55" t="s">
        <v>923</v>
      </c>
    </row>
    <row r="654" spans="1:9" s="59" customFormat="1">
      <c r="A654" s="47" t="s">
        <v>145</v>
      </c>
      <c r="B654" s="47" t="s">
        <v>121</v>
      </c>
      <c r="C654" s="50" t="s">
        <v>836</v>
      </c>
      <c r="D654" s="90">
        <v>44334</v>
      </c>
      <c r="E654" s="83"/>
      <c r="F654" s="47" t="s">
        <v>121</v>
      </c>
      <c r="G654" s="47" t="s">
        <v>155</v>
      </c>
      <c r="H654" s="47" t="s">
        <v>142</v>
      </c>
      <c r="I654" s="55" t="s">
        <v>923</v>
      </c>
    </row>
    <row r="655" spans="1:9" s="59" customFormat="1">
      <c r="A655" s="47" t="s">
        <v>146</v>
      </c>
      <c r="B655" s="47" t="s">
        <v>121</v>
      </c>
      <c r="C655" s="50" t="s">
        <v>836</v>
      </c>
      <c r="D655" s="90">
        <v>44334</v>
      </c>
      <c r="E655" s="83"/>
      <c r="F655" s="47" t="s">
        <v>121</v>
      </c>
      <c r="G655" s="47" t="s">
        <v>156</v>
      </c>
      <c r="H655" s="47" t="s">
        <v>142</v>
      </c>
      <c r="I655" s="55" t="s">
        <v>923</v>
      </c>
    </row>
    <row r="656" spans="1:9" s="59" customFormat="1">
      <c r="A656" s="47" t="s">
        <v>147</v>
      </c>
      <c r="B656" s="47" t="s">
        <v>121</v>
      </c>
      <c r="C656" s="50" t="s">
        <v>836</v>
      </c>
      <c r="D656" s="90">
        <v>44334</v>
      </c>
      <c r="E656" s="83"/>
      <c r="F656" s="47" t="s">
        <v>121</v>
      </c>
      <c r="G656" s="47" t="s">
        <v>157</v>
      </c>
      <c r="H656" s="47" t="s">
        <v>142</v>
      </c>
      <c r="I656" s="55" t="s">
        <v>923</v>
      </c>
    </row>
    <row r="657" spans="1:9" s="59" customFormat="1">
      <c r="A657" s="47" t="s">
        <v>148</v>
      </c>
      <c r="B657" s="47" t="s">
        <v>121</v>
      </c>
      <c r="C657" s="50" t="s">
        <v>836</v>
      </c>
      <c r="D657" s="90">
        <v>44334</v>
      </c>
      <c r="E657" s="83"/>
      <c r="F657" s="47" t="s">
        <v>121</v>
      </c>
      <c r="G657" s="47" t="s">
        <v>313</v>
      </c>
      <c r="H657" s="47" t="s">
        <v>142</v>
      </c>
      <c r="I657" s="55" t="s">
        <v>923</v>
      </c>
    </row>
    <row r="658" spans="1:9" s="59" customFormat="1">
      <c r="A658" s="47" t="s">
        <v>149</v>
      </c>
      <c r="B658" s="47" t="s">
        <v>121</v>
      </c>
      <c r="C658" s="50" t="s">
        <v>836</v>
      </c>
      <c r="D658" s="90">
        <v>44334</v>
      </c>
      <c r="E658" s="83"/>
      <c r="F658" s="47" t="s">
        <v>121</v>
      </c>
      <c r="G658" s="47" t="s">
        <v>149</v>
      </c>
      <c r="H658" s="47" t="s">
        <v>142</v>
      </c>
      <c r="I658" s="55" t="s">
        <v>923</v>
      </c>
    </row>
    <row r="659" spans="1:9" s="59" customFormat="1">
      <c r="A659" s="47" t="s">
        <v>150</v>
      </c>
      <c r="B659" s="47" t="s">
        <v>835</v>
      </c>
      <c r="C659" s="50" t="s">
        <v>836</v>
      </c>
      <c r="D659" s="90">
        <v>44334</v>
      </c>
      <c r="E659" s="83"/>
      <c r="F659" s="47" t="s">
        <v>835</v>
      </c>
      <c r="G659" s="47" t="s">
        <v>150</v>
      </c>
      <c r="H659" s="47" t="s">
        <v>142</v>
      </c>
      <c r="I659" s="55" t="s">
        <v>334</v>
      </c>
    </row>
    <row r="660" spans="1:9">
      <c r="A660" s="47" t="s">
        <v>138</v>
      </c>
      <c r="B660" s="47" t="s">
        <v>121</v>
      </c>
      <c r="C660" s="50" t="s">
        <v>836</v>
      </c>
      <c r="D660" s="90">
        <v>44399</v>
      </c>
      <c r="F660" s="47" t="s">
        <v>121</v>
      </c>
      <c r="G660" s="47" t="s">
        <v>138</v>
      </c>
      <c r="H660" s="47" t="s">
        <v>140</v>
      </c>
      <c r="I660" s="55" t="s">
        <v>973</v>
      </c>
    </row>
    <row r="661" spans="1:9" s="59" customFormat="1">
      <c r="A661" s="47" t="s">
        <v>150</v>
      </c>
      <c r="B661" s="47" t="s">
        <v>835</v>
      </c>
      <c r="C661" s="50" t="s">
        <v>836</v>
      </c>
      <c r="D661" s="90">
        <v>44400</v>
      </c>
      <c r="E661" s="83"/>
      <c r="F661" s="47" t="s">
        <v>835</v>
      </c>
      <c r="G661" s="47" t="s">
        <v>150</v>
      </c>
      <c r="H661" s="47" t="s">
        <v>142</v>
      </c>
      <c r="I661" s="55" t="s">
        <v>974</v>
      </c>
    </row>
    <row r="662" spans="1:9" s="59" customFormat="1">
      <c r="A662" s="47" t="s">
        <v>150</v>
      </c>
      <c r="B662" s="47" t="s">
        <v>835</v>
      </c>
      <c r="C662" s="50" t="s">
        <v>836</v>
      </c>
      <c r="D662" s="90">
        <v>44400</v>
      </c>
      <c r="E662" s="83"/>
      <c r="F662" s="47" t="s">
        <v>835</v>
      </c>
      <c r="G662" s="47" t="s">
        <v>150</v>
      </c>
      <c r="H662" s="47" t="s">
        <v>140</v>
      </c>
      <c r="I662" s="55" t="s">
        <v>975</v>
      </c>
    </row>
  </sheetData>
  <autoFilter ref="A1:H66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9</vt:i4>
      </vt:variant>
    </vt:vector>
  </HeadingPairs>
  <TitlesOfParts>
    <vt:vector size="17" baseType="lpstr">
      <vt:lpstr>SD</vt:lpstr>
      <vt:lpstr>PN</vt:lpstr>
      <vt:lpstr>Ref</vt:lpstr>
      <vt:lpstr>BasInt</vt:lpstr>
      <vt:lpstr>Bio</vt:lpstr>
      <vt:lpstr>Elev</vt:lpstr>
      <vt:lpstr>MD</vt:lpstr>
      <vt:lpstr>Observations</vt:lpstr>
      <vt:lpstr>Ajout_engrais</vt:lpstr>
      <vt:lpstr>Ajout_phyto</vt:lpstr>
      <vt:lpstr>Ajout_semence</vt:lpstr>
      <vt:lpstr>Listes_des_grandes_opérations</vt:lpstr>
      <vt:lpstr>OC_Autre</vt:lpstr>
      <vt:lpstr>OC_Engrais</vt:lpstr>
      <vt:lpstr>OC_Semis</vt:lpstr>
      <vt:lpstr>OC_Travail</vt:lpstr>
      <vt:lpstr>Récolte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2022-11-07T08:41:32Z</dcterms:modified>
</cp:coreProperties>
</file>