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9" xfId="0" applyFont="1" applyNumberFormat="1"/>
    <xf borderId="0" fillId="0" fontId="1"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IFERROR(__xludf.DUMMYFUNCTION("IMPORTHTML(""https://www.pewforum.org/fact-sheet/changing-attitudes-on-gay-marriage/"", ""table"", 7)"),"Year")</f>
        <v>Year</v>
      </c>
      <c r="B1" t="str">
        <f>IFERROR(__xludf.DUMMYFUNCTION("""COMPUTED_VALUE"""),"White")</f>
        <v>White</v>
      </c>
      <c r="C1" t="str">
        <f>IFERROR(__xludf.DUMMYFUNCTION("""COMPUTED_VALUE"""),"Black")</f>
        <v>Black</v>
      </c>
      <c r="D1" t="str">
        <f>IFERROR(__xludf.DUMMYFUNCTION("""COMPUTED_VALUE"""),"Hispanic")</f>
        <v>Hispanic</v>
      </c>
    </row>
    <row r="2">
      <c r="A2">
        <f>IFERROR(__xludf.DUMMYFUNCTION("""COMPUTED_VALUE"""),2001.0)</f>
        <v>2001</v>
      </c>
      <c r="B2" s="1">
        <f>IFERROR(__xludf.DUMMYFUNCTION("""COMPUTED_VALUE"""),0.34)</f>
        <v>0.34</v>
      </c>
      <c r="C2" s="1">
        <f>IFERROR(__xludf.DUMMYFUNCTION("""COMPUTED_VALUE"""),0.32)</f>
        <v>0.32</v>
      </c>
      <c r="D2" t="str">
        <f>IFERROR(__xludf.DUMMYFUNCTION("""COMPUTED_VALUE"""),"")</f>
        <v/>
      </c>
    </row>
    <row r="3">
      <c r="A3">
        <f>IFERROR(__xludf.DUMMYFUNCTION("""COMPUTED_VALUE"""),2003.0)</f>
        <v>2003</v>
      </c>
      <c r="B3" s="1">
        <f>IFERROR(__xludf.DUMMYFUNCTION("""COMPUTED_VALUE"""),0.32)</f>
        <v>0.32</v>
      </c>
      <c r="C3" s="1">
        <f>IFERROR(__xludf.DUMMYFUNCTION("""COMPUTED_VALUE"""),0.28)</f>
        <v>0.28</v>
      </c>
      <c r="D3" t="str">
        <f>IFERROR(__xludf.DUMMYFUNCTION("""COMPUTED_VALUE"""),"")</f>
        <v/>
      </c>
    </row>
    <row r="4">
      <c r="A4">
        <f>IFERROR(__xludf.DUMMYFUNCTION("""COMPUTED_VALUE"""),2004.0)</f>
        <v>2004</v>
      </c>
      <c r="B4" s="1">
        <f>IFERROR(__xludf.DUMMYFUNCTION("""COMPUTED_VALUE"""),0.31)</f>
        <v>0.31</v>
      </c>
      <c r="C4" s="1">
        <f>IFERROR(__xludf.DUMMYFUNCTION("""COMPUTED_VALUE"""),0.21)</f>
        <v>0.21</v>
      </c>
      <c r="D4" t="str">
        <f>IFERROR(__xludf.DUMMYFUNCTION("""COMPUTED_VALUE"""),"")</f>
        <v/>
      </c>
    </row>
    <row r="5">
      <c r="A5">
        <f>IFERROR(__xludf.DUMMYFUNCTION("""COMPUTED_VALUE"""),2005.0)</f>
        <v>2005</v>
      </c>
      <c r="B5" s="1">
        <f>IFERROR(__xludf.DUMMYFUNCTION("""COMPUTED_VALUE"""),0.37)</f>
        <v>0.37</v>
      </c>
      <c r="C5" s="1">
        <f>IFERROR(__xludf.DUMMYFUNCTION("""COMPUTED_VALUE"""),0.27)</f>
        <v>0.27</v>
      </c>
      <c r="D5" t="str">
        <f>IFERROR(__xludf.DUMMYFUNCTION("""COMPUTED_VALUE"""),"")</f>
        <v/>
      </c>
    </row>
    <row r="6">
      <c r="A6">
        <f>IFERROR(__xludf.DUMMYFUNCTION("""COMPUTED_VALUE"""),2006.0)</f>
        <v>2006</v>
      </c>
      <c r="B6" s="1">
        <f>IFERROR(__xludf.DUMMYFUNCTION("""COMPUTED_VALUE"""),0.35)</f>
        <v>0.35</v>
      </c>
      <c r="C6" s="1">
        <f>IFERROR(__xludf.DUMMYFUNCTION("""COMPUTED_VALUE"""),0.25)</f>
        <v>0.25</v>
      </c>
      <c r="D6" s="1">
        <f>IFERROR(__xludf.DUMMYFUNCTION("""COMPUTED_VALUE"""),0.42)</f>
        <v>0.42</v>
      </c>
    </row>
    <row r="7">
      <c r="A7">
        <f>IFERROR(__xludf.DUMMYFUNCTION("""COMPUTED_VALUE"""),2007.0)</f>
        <v>2007</v>
      </c>
      <c r="B7" s="1">
        <f>IFERROR(__xludf.DUMMYFUNCTION("""COMPUTED_VALUE"""),0.38)</f>
        <v>0.38</v>
      </c>
      <c r="C7" s="1">
        <f>IFERROR(__xludf.DUMMYFUNCTION("""COMPUTED_VALUE"""),0.26)</f>
        <v>0.26</v>
      </c>
      <c r="D7" s="1">
        <f>IFERROR(__xludf.DUMMYFUNCTION("""COMPUTED_VALUE"""),0.38)</f>
        <v>0.38</v>
      </c>
    </row>
    <row r="8">
      <c r="A8">
        <f>IFERROR(__xludf.DUMMYFUNCTION("""COMPUTED_VALUE"""),2008.0)</f>
        <v>2008</v>
      </c>
      <c r="B8" s="1">
        <f>IFERROR(__xludf.DUMMYFUNCTION("""COMPUTED_VALUE"""),0.41)</f>
        <v>0.41</v>
      </c>
      <c r="C8" s="1">
        <f>IFERROR(__xludf.DUMMYFUNCTION("""COMPUTED_VALUE"""),0.26)</f>
        <v>0.26</v>
      </c>
      <c r="D8" s="1">
        <f>IFERROR(__xludf.DUMMYFUNCTION("""COMPUTED_VALUE"""),0.39)</f>
        <v>0.39</v>
      </c>
    </row>
    <row r="9">
      <c r="A9">
        <f>IFERROR(__xludf.DUMMYFUNCTION("""COMPUTED_VALUE"""),2009.0)</f>
        <v>2009</v>
      </c>
      <c r="B9" s="1">
        <f>IFERROR(__xludf.DUMMYFUNCTION("""COMPUTED_VALUE"""),0.37)</f>
        <v>0.37</v>
      </c>
      <c r="C9" s="1">
        <f>IFERROR(__xludf.DUMMYFUNCTION("""COMPUTED_VALUE"""),0.29)</f>
        <v>0.29</v>
      </c>
      <c r="D9" s="1">
        <f>IFERROR(__xludf.DUMMYFUNCTION("""COMPUTED_VALUE"""),0.41)</f>
        <v>0.41</v>
      </c>
    </row>
    <row r="10">
      <c r="A10">
        <f>IFERROR(__xludf.DUMMYFUNCTION("""COMPUTED_VALUE"""),2010.0)</f>
        <v>2010</v>
      </c>
      <c r="B10" s="1">
        <f>IFERROR(__xludf.DUMMYFUNCTION("""COMPUTED_VALUE"""),0.44)</f>
        <v>0.44</v>
      </c>
      <c r="C10" s="1">
        <f>IFERROR(__xludf.DUMMYFUNCTION("""COMPUTED_VALUE"""),0.3)</f>
        <v>0.3</v>
      </c>
      <c r="D10" s="1">
        <f>IFERROR(__xludf.DUMMYFUNCTION("""COMPUTED_VALUE"""),0.41)</f>
        <v>0.41</v>
      </c>
    </row>
    <row r="11">
      <c r="A11">
        <f>IFERROR(__xludf.DUMMYFUNCTION("""COMPUTED_VALUE"""),2011.0)</f>
        <v>2011</v>
      </c>
      <c r="B11" s="1">
        <f>IFERROR(__xludf.DUMMYFUNCTION("""COMPUTED_VALUE"""),0.49)</f>
        <v>0.49</v>
      </c>
      <c r="C11" s="1">
        <f>IFERROR(__xludf.DUMMYFUNCTION("""COMPUTED_VALUE"""),0.36)</f>
        <v>0.36</v>
      </c>
      <c r="D11" s="1">
        <f>IFERROR(__xludf.DUMMYFUNCTION("""COMPUTED_VALUE"""),0.42)</f>
        <v>0.42</v>
      </c>
    </row>
    <row r="12">
      <c r="A12">
        <f>IFERROR(__xludf.DUMMYFUNCTION("""COMPUTED_VALUE"""),2012.0)</f>
        <v>2012</v>
      </c>
      <c r="B12" s="1">
        <f>IFERROR(__xludf.DUMMYFUNCTION("""COMPUTED_VALUE"""),0.49)</f>
        <v>0.49</v>
      </c>
      <c r="C12" s="1">
        <f>IFERROR(__xludf.DUMMYFUNCTION("""COMPUTED_VALUE"""),0.4)</f>
        <v>0.4</v>
      </c>
      <c r="D12" s="1">
        <f>IFERROR(__xludf.DUMMYFUNCTION("""COMPUTED_VALUE"""),0.5)</f>
        <v>0.5</v>
      </c>
    </row>
    <row r="13">
      <c r="A13">
        <f>IFERROR(__xludf.DUMMYFUNCTION("""COMPUTED_VALUE"""),2013.0)</f>
        <v>2013</v>
      </c>
      <c r="B13" s="1">
        <f>IFERROR(__xludf.DUMMYFUNCTION("""COMPUTED_VALUE"""),0.5)</f>
        <v>0.5</v>
      </c>
      <c r="C13" s="1">
        <f>IFERROR(__xludf.DUMMYFUNCTION("""COMPUTED_VALUE"""),0.38)</f>
        <v>0.38</v>
      </c>
      <c r="D13" s="1">
        <f>IFERROR(__xludf.DUMMYFUNCTION("""COMPUTED_VALUE"""),0.54)</f>
        <v>0.54</v>
      </c>
    </row>
    <row r="14">
      <c r="A14">
        <f>IFERROR(__xludf.DUMMYFUNCTION("""COMPUTED_VALUE"""),2014.0)</f>
        <v>2014</v>
      </c>
      <c r="B14" s="1">
        <f>IFERROR(__xludf.DUMMYFUNCTION("""COMPUTED_VALUE"""),0.53)</f>
        <v>0.53</v>
      </c>
      <c r="C14" s="1">
        <f>IFERROR(__xludf.DUMMYFUNCTION("""COMPUTED_VALUE"""),0.42)</f>
        <v>0.42</v>
      </c>
      <c r="D14" s="1">
        <f>IFERROR(__xludf.DUMMYFUNCTION("""COMPUTED_VALUE"""),0.56)</f>
        <v>0.56</v>
      </c>
    </row>
    <row r="15">
      <c r="A15">
        <f>IFERROR(__xludf.DUMMYFUNCTION("""COMPUTED_VALUE"""),2015.0)</f>
        <v>2015</v>
      </c>
      <c r="B15" s="1">
        <f>IFERROR(__xludf.DUMMYFUNCTION("""COMPUTED_VALUE"""),0.58)</f>
        <v>0.58</v>
      </c>
      <c r="C15" s="1">
        <f>IFERROR(__xludf.DUMMYFUNCTION("""COMPUTED_VALUE"""),0.39)</f>
        <v>0.39</v>
      </c>
      <c r="D15" s="1">
        <f>IFERROR(__xludf.DUMMYFUNCTION("""COMPUTED_VALUE"""),0.55)</f>
        <v>0.55</v>
      </c>
    </row>
    <row r="16">
      <c r="A16">
        <f>IFERROR(__xludf.DUMMYFUNCTION("""COMPUTED_VALUE"""),2016.0)</f>
        <v>2016</v>
      </c>
      <c r="B16" s="1">
        <f>IFERROR(__xludf.DUMMYFUNCTION("""COMPUTED_VALUE"""),0.57)</f>
        <v>0.57</v>
      </c>
      <c r="C16" s="1">
        <f>IFERROR(__xludf.DUMMYFUNCTION("""COMPUTED_VALUE"""),0.42)</f>
        <v>0.42</v>
      </c>
      <c r="D16" s="1">
        <f>IFERROR(__xludf.DUMMYFUNCTION("""COMPUTED_VALUE"""),0.56)</f>
        <v>0.56</v>
      </c>
    </row>
    <row r="17">
      <c r="A17">
        <f>IFERROR(__xludf.DUMMYFUNCTION("""COMPUTED_VALUE"""),2017.0)</f>
        <v>2017</v>
      </c>
      <c r="B17" s="1">
        <f>IFERROR(__xludf.DUMMYFUNCTION("""COMPUTED_VALUE"""),0.64)</f>
        <v>0.64</v>
      </c>
      <c r="C17" s="1">
        <f>IFERROR(__xludf.DUMMYFUNCTION("""COMPUTED_VALUE"""),0.51)</f>
        <v>0.51</v>
      </c>
      <c r="D17" s="1">
        <f>IFERROR(__xludf.DUMMYFUNCTION("""COMPUTED_VALUE"""),0.6)</f>
        <v>0.6</v>
      </c>
    </row>
    <row r="18">
      <c r="A18">
        <f>IFERROR(__xludf.DUMMYFUNCTION("""COMPUTED_VALUE"""),2019.0)</f>
        <v>2019</v>
      </c>
      <c r="B18" s="1">
        <f>IFERROR(__xludf.DUMMYFUNCTION("""COMPUTED_VALUE"""),0.62)</f>
        <v>0.62</v>
      </c>
      <c r="C18" s="1">
        <f>IFERROR(__xludf.DUMMYFUNCTION("""COMPUTED_VALUE"""),0.51)</f>
        <v>0.51</v>
      </c>
      <c r="D18" s="1">
        <f>IFERROR(__xludf.DUMMYFUNCTION("""COMPUTED_VALUE"""),0.58)</f>
        <v>0.58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IFERROR(__xludf.DUMMYFUNCTION("IMPORTHTML(""https://www.britannica.com/topic/United-States-Presidential-Election-Results-1788863"", ""table"")"),"year")</f>
        <v>year</v>
      </c>
      <c r="B1" t="str">
        <f>IFERROR(__xludf.DUMMYFUNCTION("""COMPUTED_VALUE"""),"candidate")</f>
        <v>candidate</v>
      </c>
      <c r="C1" t="str">
        <f>IFERROR(__xludf.DUMMYFUNCTION("""COMPUTED_VALUE"""),"political party")</f>
        <v>political party</v>
      </c>
      <c r="D1" t="str">
        <f>IFERROR(__xludf.DUMMYFUNCTION("""COMPUTED_VALUE"""),"electoral votes1")</f>
        <v>electoral votes1</v>
      </c>
      <c r="E1" t="str">
        <f>IFERROR(__xludf.DUMMYFUNCTION("""COMPUTED_VALUE"""),"popular votes2")</f>
        <v>popular votes2</v>
      </c>
      <c r="F1" t="str">
        <f>IFERROR(__xludf.DUMMYFUNCTION("""COMPUTED_VALUE"""),"popular percentage3")</f>
        <v>popular percentage3</v>
      </c>
    </row>
    <row r="2">
      <c r="A2" t="str">
        <f>IFERROR(__xludf.DUMMYFUNCTION("""COMPUTED_VALUE"""),"*1789*")</f>
        <v>*1789*</v>
      </c>
      <c r="B2" t="str">
        <f>IFERROR(__xludf.DUMMYFUNCTION("""COMPUTED_VALUE"""),"George Washington 4")</f>
        <v>George Washington 4</v>
      </c>
      <c r="C2" t="str">
        <f>IFERROR(__xludf.DUMMYFUNCTION("""COMPUTED_VALUE"""),"no formally organized parties")</f>
        <v>no formally organized parties</v>
      </c>
      <c r="D2">
        <f>IFERROR(__xludf.DUMMYFUNCTION("""COMPUTED_VALUE"""),695.0)</f>
        <v>695</v>
      </c>
      <c r="E2" t="str">
        <f>IFERROR(__xludf.DUMMYFUNCTION("""COMPUTED_VALUE"""),"")</f>
        <v/>
      </c>
      <c r="F2" t="str">
        <f>IFERROR(__xludf.DUMMYFUNCTION("""COMPUTED_VALUE"""),"")</f>
        <v/>
      </c>
    </row>
    <row r="3">
      <c r="A3" t="str">
        <f>IFERROR(__xludf.DUMMYFUNCTION("""COMPUTED_VALUE"""),"")</f>
        <v/>
      </c>
      <c r="B3" t="str">
        <f>IFERROR(__xludf.DUMMYFUNCTION("""COMPUTED_VALUE"""),"John Adams")</f>
        <v>John Adams</v>
      </c>
      <c r="C3" t="str">
        <f>IFERROR(__xludf.DUMMYFUNCTION("""COMPUTED_VALUE"""),"")</f>
        <v/>
      </c>
      <c r="D3">
        <f>IFERROR(__xludf.DUMMYFUNCTION("""COMPUTED_VALUE"""),34.0)</f>
        <v>34</v>
      </c>
      <c r="E3" t="str">
        <f>IFERROR(__xludf.DUMMYFUNCTION("""COMPUTED_VALUE"""),"")</f>
        <v/>
      </c>
      <c r="F3" t="str">
        <f>IFERROR(__xludf.DUMMYFUNCTION("""COMPUTED_VALUE"""),"")</f>
        <v/>
      </c>
    </row>
    <row r="4">
      <c r="A4" t="str">
        <f>IFERROR(__xludf.DUMMYFUNCTION("""COMPUTED_VALUE"""),"")</f>
        <v/>
      </c>
      <c r="B4" t="str">
        <f>IFERROR(__xludf.DUMMYFUNCTION("""COMPUTED_VALUE"""),"John Jay")</f>
        <v>John Jay</v>
      </c>
      <c r="C4" t="str">
        <f>IFERROR(__xludf.DUMMYFUNCTION("""COMPUTED_VALUE"""),"")</f>
        <v/>
      </c>
      <c r="D4">
        <f>IFERROR(__xludf.DUMMYFUNCTION("""COMPUTED_VALUE"""),9.0)</f>
        <v>9</v>
      </c>
      <c r="E4" t="str">
        <f>IFERROR(__xludf.DUMMYFUNCTION("""COMPUTED_VALUE"""),"")</f>
        <v/>
      </c>
      <c r="F4" t="str">
        <f>IFERROR(__xludf.DUMMYFUNCTION("""COMPUTED_VALUE"""),"")</f>
        <v/>
      </c>
    </row>
    <row r="5">
      <c r="A5" t="str">
        <f>IFERROR(__xludf.DUMMYFUNCTION("""COMPUTED_VALUE"""),"")</f>
        <v/>
      </c>
      <c r="B5" t="str">
        <f>IFERROR(__xludf.DUMMYFUNCTION("""COMPUTED_VALUE"""),"R.H. Harrison")</f>
        <v>R.H. Harrison</v>
      </c>
      <c r="C5" t="str">
        <f>IFERROR(__xludf.DUMMYFUNCTION("""COMPUTED_VALUE"""),"")</f>
        <v/>
      </c>
      <c r="D5">
        <f>IFERROR(__xludf.DUMMYFUNCTION("""COMPUTED_VALUE"""),6.0)</f>
        <v>6</v>
      </c>
      <c r="E5" t="str">
        <f>IFERROR(__xludf.DUMMYFUNCTION("""COMPUTED_VALUE"""),"")</f>
        <v/>
      </c>
      <c r="F5" t="str">
        <f>IFERROR(__xludf.DUMMYFUNCTION("""COMPUTED_VALUE"""),"")</f>
        <v/>
      </c>
    </row>
    <row r="6">
      <c r="A6" t="str">
        <f>IFERROR(__xludf.DUMMYFUNCTION("""COMPUTED_VALUE"""),"")</f>
        <v/>
      </c>
      <c r="B6" t="str">
        <f>IFERROR(__xludf.DUMMYFUNCTION("""COMPUTED_VALUE"""),"John Rutledge")</f>
        <v>John Rutledge</v>
      </c>
      <c r="C6" t="str">
        <f>IFERROR(__xludf.DUMMYFUNCTION("""COMPUTED_VALUE"""),"")</f>
        <v/>
      </c>
      <c r="D6">
        <f>IFERROR(__xludf.DUMMYFUNCTION("""COMPUTED_VALUE"""),6.0)</f>
        <v>6</v>
      </c>
      <c r="E6" t="str">
        <f>IFERROR(__xludf.DUMMYFUNCTION("""COMPUTED_VALUE"""),"")</f>
        <v/>
      </c>
      <c r="F6" t="str">
        <f>IFERROR(__xludf.DUMMYFUNCTION("""COMPUTED_VALUE"""),"")</f>
        <v/>
      </c>
    </row>
    <row r="7">
      <c r="A7" t="str">
        <f>IFERROR(__xludf.DUMMYFUNCTION("""COMPUTED_VALUE"""),"")</f>
        <v/>
      </c>
      <c r="B7" t="str">
        <f>IFERROR(__xludf.DUMMYFUNCTION("""COMPUTED_VALUE"""),"John Hancock")</f>
        <v>John Hancock</v>
      </c>
      <c r="C7" t="str">
        <f>IFERROR(__xludf.DUMMYFUNCTION("""COMPUTED_VALUE"""),"")</f>
        <v/>
      </c>
      <c r="D7">
        <f>IFERROR(__xludf.DUMMYFUNCTION("""COMPUTED_VALUE"""),4.0)</f>
        <v>4</v>
      </c>
      <c r="E7" t="str">
        <f>IFERROR(__xludf.DUMMYFUNCTION("""COMPUTED_VALUE"""),"")</f>
        <v/>
      </c>
      <c r="F7" t="str">
        <f>IFERROR(__xludf.DUMMYFUNCTION("""COMPUTED_VALUE"""),"")</f>
        <v/>
      </c>
    </row>
    <row r="8">
      <c r="A8" t="str">
        <f>IFERROR(__xludf.DUMMYFUNCTION("""COMPUTED_VALUE"""),"")</f>
        <v/>
      </c>
      <c r="B8" t="str">
        <f>IFERROR(__xludf.DUMMYFUNCTION("""COMPUTED_VALUE"""),"George Clinton")</f>
        <v>George Clinton</v>
      </c>
      <c r="C8" t="str">
        <f>IFERROR(__xludf.DUMMYFUNCTION("""COMPUTED_VALUE"""),"")</f>
        <v/>
      </c>
      <c r="D8">
        <f>IFERROR(__xludf.DUMMYFUNCTION("""COMPUTED_VALUE"""),3.0)</f>
        <v>3</v>
      </c>
      <c r="E8" t="str">
        <f>IFERROR(__xludf.DUMMYFUNCTION("""COMPUTED_VALUE"""),"")</f>
        <v/>
      </c>
      <c r="F8" t="str">
        <f>IFERROR(__xludf.DUMMYFUNCTION("""COMPUTED_VALUE"""),"")</f>
        <v/>
      </c>
    </row>
    <row r="9">
      <c r="A9" t="str">
        <f>IFERROR(__xludf.DUMMYFUNCTION("""COMPUTED_VALUE"""),"")</f>
        <v/>
      </c>
      <c r="B9" t="str">
        <f>IFERROR(__xludf.DUMMYFUNCTION("""COMPUTED_VALUE"""),"Samuel Huntington")</f>
        <v>Samuel Huntington</v>
      </c>
      <c r="C9" t="str">
        <f>IFERROR(__xludf.DUMMYFUNCTION("""COMPUTED_VALUE"""),"")</f>
        <v/>
      </c>
      <c r="D9">
        <f>IFERROR(__xludf.DUMMYFUNCTION("""COMPUTED_VALUE"""),2.0)</f>
        <v>2</v>
      </c>
      <c r="E9" t="str">
        <f>IFERROR(__xludf.DUMMYFUNCTION("""COMPUTED_VALUE"""),"")</f>
        <v/>
      </c>
      <c r="F9" t="str">
        <f>IFERROR(__xludf.DUMMYFUNCTION("""COMPUTED_VALUE"""),"")</f>
        <v/>
      </c>
    </row>
    <row r="10">
      <c r="A10" t="str">
        <f>IFERROR(__xludf.DUMMYFUNCTION("""COMPUTED_VALUE"""),"")</f>
        <v/>
      </c>
      <c r="B10" t="str">
        <f>IFERROR(__xludf.DUMMYFUNCTION("""COMPUTED_VALUE"""),"John Milton")</f>
        <v>John Milton</v>
      </c>
      <c r="C10" t="str">
        <f>IFERROR(__xludf.DUMMYFUNCTION("""COMPUTED_VALUE"""),"")</f>
        <v/>
      </c>
      <c r="D10">
        <f>IFERROR(__xludf.DUMMYFUNCTION("""COMPUTED_VALUE"""),2.0)</f>
        <v>2</v>
      </c>
      <c r="E10" t="str">
        <f>IFERROR(__xludf.DUMMYFUNCTION("""COMPUTED_VALUE"""),"")</f>
        <v/>
      </c>
      <c r="F10" t="str">
        <f>IFERROR(__xludf.DUMMYFUNCTION("""COMPUTED_VALUE"""),"")</f>
        <v/>
      </c>
    </row>
    <row r="11">
      <c r="A11" t="str">
        <f>IFERROR(__xludf.DUMMYFUNCTION("""COMPUTED_VALUE"""),"")</f>
        <v/>
      </c>
      <c r="B11" t="str">
        <f>IFERROR(__xludf.DUMMYFUNCTION("""COMPUTED_VALUE"""),"James Armstrong")</f>
        <v>James Armstrong</v>
      </c>
      <c r="C11" t="str">
        <f>IFERROR(__xludf.DUMMYFUNCTION("""COMPUTED_VALUE"""),"")</f>
        <v/>
      </c>
      <c r="D11">
        <f>IFERROR(__xludf.DUMMYFUNCTION("""COMPUTED_VALUE"""),1.0)</f>
        <v>1</v>
      </c>
      <c r="E11" t="str">
        <f>IFERROR(__xludf.DUMMYFUNCTION("""COMPUTED_VALUE"""),"")</f>
        <v/>
      </c>
      <c r="F11" t="str">
        <f>IFERROR(__xludf.DUMMYFUNCTION("""COMPUTED_VALUE"""),"")</f>
        <v/>
      </c>
    </row>
    <row r="12">
      <c r="A12" t="str">
        <f>IFERROR(__xludf.DUMMYFUNCTION("""COMPUTED_VALUE"""),"")</f>
        <v/>
      </c>
      <c r="B12" t="str">
        <f>IFERROR(__xludf.DUMMYFUNCTION("""COMPUTED_VALUE"""),"Benjamin Lincoln")</f>
        <v>Benjamin Lincoln</v>
      </c>
      <c r="C12" t="str">
        <f>IFERROR(__xludf.DUMMYFUNCTION("""COMPUTED_VALUE"""),"")</f>
        <v/>
      </c>
      <c r="D12">
        <f>IFERROR(__xludf.DUMMYFUNCTION("""COMPUTED_VALUE"""),1.0)</f>
        <v>1</v>
      </c>
      <c r="E12" t="str">
        <f>IFERROR(__xludf.DUMMYFUNCTION("""COMPUTED_VALUE"""),"")</f>
        <v/>
      </c>
      <c r="F12" t="str">
        <f>IFERROR(__xludf.DUMMYFUNCTION("""COMPUTED_VALUE"""),"")</f>
        <v/>
      </c>
    </row>
    <row r="13">
      <c r="A13" t="str">
        <f>IFERROR(__xludf.DUMMYFUNCTION("""COMPUTED_VALUE"""),"")</f>
        <v/>
      </c>
      <c r="B13" t="str">
        <f>IFERROR(__xludf.DUMMYFUNCTION("""COMPUTED_VALUE"""),"Edward Telfair")</f>
        <v>Edward Telfair</v>
      </c>
      <c r="C13" t="str">
        <f>IFERROR(__xludf.DUMMYFUNCTION("""COMPUTED_VALUE"""),"")</f>
        <v/>
      </c>
      <c r="D13">
        <f>IFERROR(__xludf.DUMMYFUNCTION("""COMPUTED_VALUE"""),1.0)</f>
        <v>1</v>
      </c>
      <c r="E13" t="str">
        <f>IFERROR(__xludf.DUMMYFUNCTION("""COMPUTED_VALUE"""),"")</f>
        <v/>
      </c>
      <c r="F13" t="str">
        <f>IFERROR(__xludf.DUMMYFUNCTION("""COMPUTED_VALUE"""),"")</f>
        <v/>
      </c>
    </row>
    <row r="14">
      <c r="A14" t="str">
        <f>IFERROR(__xludf.DUMMYFUNCTION("""COMPUTED_VALUE"""),"")</f>
        <v/>
      </c>
      <c r="B14" t="str">
        <f>IFERROR(__xludf.DUMMYFUNCTION("""COMPUTED_VALUE"""),"not voted")</f>
        <v>not voted</v>
      </c>
      <c r="C14" t="str">
        <f>IFERROR(__xludf.DUMMYFUNCTION("""COMPUTED_VALUE"""),"")</f>
        <v/>
      </c>
      <c r="D14">
        <f>IFERROR(__xludf.DUMMYFUNCTION("""COMPUTED_VALUE"""),44.0)</f>
        <v>44</v>
      </c>
      <c r="E14" t="str">
        <f>IFERROR(__xludf.DUMMYFUNCTION("""COMPUTED_VALUE"""),"")</f>
        <v/>
      </c>
      <c r="F14" t="str">
        <f>IFERROR(__xludf.DUMMYFUNCTION("""COMPUTED_VALUE"""),"")</f>
        <v/>
      </c>
    </row>
    <row r="15">
      <c r="A15" t="str">
        <f>IFERROR(__xludf.DUMMYFUNCTION("""COMPUTED_VALUE"""),"*1792*")</f>
        <v>*1792*</v>
      </c>
      <c r="B15" t="str">
        <f>IFERROR(__xludf.DUMMYFUNCTION("""COMPUTED_VALUE"""),"George Washington 4")</f>
        <v>George Washington 4</v>
      </c>
      <c r="C15" t="str">
        <f>IFERROR(__xludf.DUMMYFUNCTION("""COMPUTED_VALUE"""),"Federalist")</f>
        <v>Federalist</v>
      </c>
      <c r="D15">
        <f>IFERROR(__xludf.DUMMYFUNCTION("""COMPUTED_VALUE"""),132.0)</f>
        <v>132</v>
      </c>
      <c r="E15" t="str">
        <f>IFERROR(__xludf.DUMMYFUNCTION("""COMPUTED_VALUE"""),"")</f>
        <v/>
      </c>
      <c r="F15" t="str">
        <f>IFERROR(__xludf.DUMMYFUNCTION("""COMPUTED_VALUE"""),"")</f>
        <v/>
      </c>
    </row>
    <row r="16">
      <c r="A16" t="str">
        <f>IFERROR(__xludf.DUMMYFUNCTION("""COMPUTED_VALUE"""),"")</f>
        <v/>
      </c>
      <c r="B16" t="str">
        <f>IFERROR(__xludf.DUMMYFUNCTION("""COMPUTED_VALUE"""),"John Adams")</f>
        <v>John Adams</v>
      </c>
      <c r="C16" t="str">
        <f>IFERROR(__xludf.DUMMYFUNCTION("""COMPUTED_VALUE"""),"Federalist")</f>
        <v>Federalist</v>
      </c>
      <c r="D16">
        <f>IFERROR(__xludf.DUMMYFUNCTION("""COMPUTED_VALUE"""),77.0)</f>
        <v>77</v>
      </c>
      <c r="E16" t="str">
        <f>IFERROR(__xludf.DUMMYFUNCTION("""COMPUTED_VALUE"""),"")</f>
        <v/>
      </c>
      <c r="F16" t="str">
        <f>IFERROR(__xludf.DUMMYFUNCTION("""COMPUTED_VALUE"""),"")</f>
        <v/>
      </c>
    </row>
    <row r="17">
      <c r="A17" t="str">
        <f>IFERROR(__xludf.DUMMYFUNCTION("""COMPUTED_VALUE"""),"")</f>
        <v/>
      </c>
      <c r="B17" t="str">
        <f>IFERROR(__xludf.DUMMYFUNCTION("""COMPUTED_VALUE"""),"George Clinton")</f>
        <v>George Clinton</v>
      </c>
      <c r="C17" t="str">
        <f>IFERROR(__xludf.DUMMYFUNCTION("""COMPUTED_VALUE"""),"Democratic-Republican")</f>
        <v>Democratic-Republican</v>
      </c>
      <c r="D17">
        <f>IFERROR(__xludf.DUMMYFUNCTION("""COMPUTED_VALUE"""),50.0)</f>
        <v>50</v>
      </c>
      <c r="E17" t="str">
        <f>IFERROR(__xludf.DUMMYFUNCTION("""COMPUTED_VALUE"""),"")</f>
        <v/>
      </c>
      <c r="F17" t="str">
        <f>IFERROR(__xludf.DUMMYFUNCTION("""COMPUTED_VALUE"""),"")</f>
        <v/>
      </c>
    </row>
    <row r="18">
      <c r="A18" t="str">
        <f>IFERROR(__xludf.DUMMYFUNCTION("""COMPUTED_VALUE"""),"")</f>
        <v/>
      </c>
      <c r="B18" t="str">
        <f>IFERROR(__xludf.DUMMYFUNCTION("""COMPUTED_VALUE"""),"Thomas Jefferson")</f>
        <v>Thomas Jefferson</v>
      </c>
      <c r="C18" t="str">
        <f>IFERROR(__xludf.DUMMYFUNCTION("""COMPUTED_VALUE"""),"")</f>
        <v/>
      </c>
      <c r="D18">
        <f>IFERROR(__xludf.DUMMYFUNCTION("""COMPUTED_VALUE"""),4.0)</f>
        <v>4</v>
      </c>
      <c r="E18" t="str">
        <f>IFERROR(__xludf.DUMMYFUNCTION("""COMPUTED_VALUE"""),"")</f>
        <v/>
      </c>
      <c r="F18" t="str">
        <f>IFERROR(__xludf.DUMMYFUNCTION("""COMPUTED_VALUE"""),"")</f>
        <v/>
      </c>
    </row>
    <row r="19">
      <c r="A19" t="str">
        <f>IFERROR(__xludf.DUMMYFUNCTION("""COMPUTED_VALUE"""),"")</f>
        <v/>
      </c>
      <c r="B19" t="str">
        <f>IFERROR(__xludf.DUMMYFUNCTION("""COMPUTED_VALUE"""),"Aaron Burr")</f>
        <v>Aaron Burr</v>
      </c>
      <c r="C19" t="str">
        <f>IFERROR(__xludf.DUMMYFUNCTION("""COMPUTED_VALUE"""),"")</f>
        <v/>
      </c>
      <c r="D19">
        <f>IFERROR(__xludf.DUMMYFUNCTION("""COMPUTED_VALUE"""),1.0)</f>
        <v>1</v>
      </c>
      <c r="E19" t="str">
        <f>IFERROR(__xludf.DUMMYFUNCTION("""COMPUTED_VALUE"""),"")</f>
        <v/>
      </c>
      <c r="F19" t="str">
        <f>IFERROR(__xludf.DUMMYFUNCTION("""COMPUTED_VALUE"""),"")</f>
        <v/>
      </c>
    </row>
    <row r="20">
      <c r="A20" t="str">
        <f>IFERROR(__xludf.DUMMYFUNCTION("""COMPUTED_VALUE"""),"*1796*")</f>
        <v>*1796*</v>
      </c>
      <c r="B20" t="str">
        <f>IFERROR(__xludf.DUMMYFUNCTION("""COMPUTED_VALUE"""),"John Adams")</f>
        <v>John Adams</v>
      </c>
      <c r="C20" t="str">
        <f>IFERROR(__xludf.DUMMYFUNCTION("""COMPUTED_VALUE"""),"Federalist")</f>
        <v>Federalist</v>
      </c>
      <c r="D20">
        <f>IFERROR(__xludf.DUMMYFUNCTION("""COMPUTED_VALUE"""),71.0)</f>
        <v>71</v>
      </c>
      <c r="E20" t="str">
        <f>IFERROR(__xludf.DUMMYFUNCTION("""COMPUTED_VALUE"""),"")</f>
        <v/>
      </c>
      <c r="F20" t="str">
        <f>IFERROR(__xludf.DUMMYFUNCTION("""COMPUTED_VALUE"""),"")</f>
        <v/>
      </c>
    </row>
    <row r="21">
      <c r="A21" t="str">
        <f>IFERROR(__xludf.DUMMYFUNCTION("""COMPUTED_VALUE"""),"")</f>
        <v/>
      </c>
      <c r="B21" t="str">
        <f>IFERROR(__xludf.DUMMYFUNCTION("""COMPUTED_VALUE"""),"Thomas Jefferson")</f>
        <v>Thomas Jefferson</v>
      </c>
      <c r="C21" t="str">
        <f>IFERROR(__xludf.DUMMYFUNCTION("""COMPUTED_VALUE"""),"Democratic-Republican")</f>
        <v>Democratic-Republican</v>
      </c>
      <c r="D21">
        <f>IFERROR(__xludf.DUMMYFUNCTION("""COMPUTED_VALUE"""),68.0)</f>
        <v>68</v>
      </c>
      <c r="E21" t="str">
        <f>IFERROR(__xludf.DUMMYFUNCTION("""COMPUTED_VALUE"""),"")</f>
        <v/>
      </c>
      <c r="F21" t="str">
        <f>IFERROR(__xludf.DUMMYFUNCTION("""COMPUTED_VALUE"""),"")</f>
        <v/>
      </c>
    </row>
    <row r="22">
      <c r="A22" t="str">
        <f>IFERROR(__xludf.DUMMYFUNCTION("""COMPUTED_VALUE"""),"")</f>
        <v/>
      </c>
      <c r="B22" t="str">
        <f>IFERROR(__xludf.DUMMYFUNCTION("""COMPUTED_VALUE"""),"Thomas Pinckney")</f>
        <v>Thomas Pinckney</v>
      </c>
      <c r="C22" t="str">
        <f>IFERROR(__xludf.DUMMYFUNCTION("""COMPUTED_VALUE"""),"Federalist")</f>
        <v>Federalist</v>
      </c>
      <c r="D22">
        <f>IFERROR(__xludf.DUMMYFUNCTION("""COMPUTED_VALUE"""),59.0)</f>
        <v>59</v>
      </c>
      <c r="E22" t="str">
        <f>IFERROR(__xludf.DUMMYFUNCTION("""COMPUTED_VALUE"""),"")</f>
        <v/>
      </c>
      <c r="F22" t="str">
        <f>IFERROR(__xludf.DUMMYFUNCTION("""COMPUTED_VALUE"""),"")</f>
        <v/>
      </c>
    </row>
    <row r="23">
      <c r="A23" t="str">
        <f>IFERROR(__xludf.DUMMYFUNCTION("""COMPUTED_VALUE"""),"")</f>
        <v/>
      </c>
      <c r="B23" t="str">
        <f>IFERROR(__xludf.DUMMYFUNCTION("""COMPUTED_VALUE"""),"Aaron Burr")</f>
        <v>Aaron Burr</v>
      </c>
      <c r="C23" t="str">
        <f>IFERROR(__xludf.DUMMYFUNCTION("""COMPUTED_VALUE"""),"Antifederalist")</f>
        <v>Antifederalist</v>
      </c>
      <c r="D23">
        <f>IFERROR(__xludf.DUMMYFUNCTION("""COMPUTED_VALUE"""),30.0)</f>
        <v>30</v>
      </c>
      <c r="E23" t="str">
        <f>IFERROR(__xludf.DUMMYFUNCTION("""COMPUTED_VALUE"""),"")</f>
        <v/>
      </c>
      <c r="F23" t="str">
        <f>IFERROR(__xludf.DUMMYFUNCTION("""COMPUTED_VALUE"""),"")</f>
        <v/>
      </c>
    </row>
    <row r="24">
      <c r="A24" t="str">
        <f>IFERROR(__xludf.DUMMYFUNCTION("""COMPUTED_VALUE"""),"")</f>
        <v/>
      </c>
      <c r="B24" t="str">
        <f>IFERROR(__xludf.DUMMYFUNCTION("""COMPUTED_VALUE"""),"Samuel Adams")</f>
        <v>Samuel Adams</v>
      </c>
      <c r="C24" t="str">
        <f>IFERROR(__xludf.DUMMYFUNCTION("""COMPUTED_VALUE"""),"Democratic-Republican")</f>
        <v>Democratic-Republican</v>
      </c>
      <c r="D24">
        <f>IFERROR(__xludf.DUMMYFUNCTION("""COMPUTED_VALUE"""),15.0)</f>
        <v>15</v>
      </c>
      <c r="E24" t="str">
        <f>IFERROR(__xludf.DUMMYFUNCTION("""COMPUTED_VALUE"""),"")</f>
        <v/>
      </c>
      <c r="F24" t="str">
        <f>IFERROR(__xludf.DUMMYFUNCTION("""COMPUTED_VALUE"""),"")</f>
        <v/>
      </c>
    </row>
    <row r="25">
      <c r="A25" t="str">
        <f>IFERROR(__xludf.DUMMYFUNCTION("""COMPUTED_VALUE"""),"")</f>
        <v/>
      </c>
      <c r="B25" t="str">
        <f>IFERROR(__xludf.DUMMYFUNCTION("""COMPUTED_VALUE"""),"Oliver Ellsworth")</f>
        <v>Oliver Ellsworth</v>
      </c>
      <c r="C25" t="str">
        <f>IFERROR(__xludf.DUMMYFUNCTION("""COMPUTED_VALUE"""),"Federalist")</f>
        <v>Federalist</v>
      </c>
      <c r="D25">
        <f>IFERROR(__xludf.DUMMYFUNCTION("""COMPUTED_VALUE"""),11.0)</f>
        <v>11</v>
      </c>
      <c r="E25" t="str">
        <f>IFERROR(__xludf.DUMMYFUNCTION("""COMPUTED_VALUE"""),"")</f>
        <v/>
      </c>
      <c r="F25" t="str">
        <f>IFERROR(__xludf.DUMMYFUNCTION("""COMPUTED_VALUE"""),"")</f>
        <v/>
      </c>
    </row>
    <row r="26">
      <c r="A26" t="str">
        <f>IFERROR(__xludf.DUMMYFUNCTION("""COMPUTED_VALUE"""),"")</f>
        <v/>
      </c>
      <c r="B26" t="str">
        <f>IFERROR(__xludf.DUMMYFUNCTION("""COMPUTED_VALUE"""),"George Clinton")</f>
        <v>George Clinton</v>
      </c>
      <c r="C26" t="str">
        <f>IFERROR(__xludf.DUMMYFUNCTION("""COMPUTED_VALUE"""),"Democratic-Republican")</f>
        <v>Democratic-Republican</v>
      </c>
      <c r="D26">
        <f>IFERROR(__xludf.DUMMYFUNCTION("""COMPUTED_VALUE"""),7.0)</f>
        <v>7</v>
      </c>
      <c r="E26" t="str">
        <f>IFERROR(__xludf.DUMMYFUNCTION("""COMPUTED_VALUE"""),"")</f>
        <v/>
      </c>
      <c r="F26" t="str">
        <f>IFERROR(__xludf.DUMMYFUNCTION("""COMPUTED_VALUE"""),"")</f>
        <v/>
      </c>
    </row>
    <row r="27">
      <c r="A27" t="str">
        <f>IFERROR(__xludf.DUMMYFUNCTION("""COMPUTED_VALUE"""),"")</f>
        <v/>
      </c>
      <c r="B27" t="str">
        <f>IFERROR(__xludf.DUMMYFUNCTION("""COMPUTED_VALUE"""),"John Jay")</f>
        <v>John Jay</v>
      </c>
      <c r="C27" t="str">
        <f>IFERROR(__xludf.DUMMYFUNCTION("""COMPUTED_VALUE"""),"Independent-Federalist")</f>
        <v>Independent-Federalist</v>
      </c>
      <c r="D27">
        <f>IFERROR(__xludf.DUMMYFUNCTION("""COMPUTED_VALUE"""),5.0)</f>
        <v>5</v>
      </c>
      <c r="E27" t="str">
        <f>IFERROR(__xludf.DUMMYFUNCTION("""COMPUTED_VALUE"""),"")</f>
        <v/>
      </c>
      <c r="F27" t="str">
        <f>IFERROR(__xludf.DUMMYFUNCTION("""COMPUTED_VALUE"""),"")</f>
        <v/>
      </c>
    </row>
    <row r="28">
      <c r="A28" t="str">
        <f>IFERROR(__xludf.DUMMYFUNCTION("""COMPUTED_VALUE"""),"")</f>
        <v/>
      </c>
      <c r="B28" t="str">
        <f>IFERROR(__xludf.DUMMYFUNCTION("""COMPUTED_VALUE"""),"James Iredell")</f>
        <v>James Iredell</v>
      </c>
      <c r="C28" t="str">
        <f>IFERROR(__xludf.DUMMYFUNCTION("""COMPUTED_VALUE"""),"Federalist")</f>
        <v>Federalist</v>
      </c>
      <c r="D28">
        <f>IFERROR(__xludf.DUMMYFUNCTION("""COMPUTED_VALUE"""),3.0)</f>
        <v>3</v>
      </c>
      <c r="E28" t="str">
        <f>IFERROR(__xludf.DUMMYFUNCTION("""COMPUTED_VALUE"""),"")</f>
        <v/>
      </c>
      <c r="F28" t="str">
        <f>IFERROR(__xludf.DUMMYFUNCTION("""COMPUTED_VALUE"""),"")</f>
        <v/>
      </c>
    </row>
    <row r="29">
      <c r="A29" t="str">
        <f>IFERROR(__xludf.DUMMYFUNCTION("""COMPUTED_VALUE"""),"")</f>
        <v/>
      </c>
      <c r="B29" t="str">
        <f>IFERROR(__xludf.DUMMYFUNCTION("""COMPUTED_VALUE"""),"George Washington")</f>
        <v>George Washington</v>
      </c>
      <c r="C29" t="str">
        <f>IFERROR(__xludf.DUMMYFUNCTION("""COMPUTED_VALUE"""),"Federalist")</f>
        <v>Federalist</v>
      </c>
      <c r="D29">
        <f>IFERROR(__xludf.DUMMYFUNCTION("""COMPUTED_VALUE"""),2.0)</f>
        <v>2</v>
      </c>
      <c r="E29" t="str">
        <f>IFERROR(__xludf.DUMMYFUNCTION("""COMPUTED_VALUE"""),"")</f>
        <v/>
      </c>
      <c r="F29" t="str">
        <f>IFERROR(__xludf.DUMMYFUNCTION("""COMPUTED_VALUE"""),"")</f>
        <v/>
      </c>
    </row>
    <row r="30">
      <c r="A30" t="str">
        <f>IFERROR(__xludf.DUMMYFUNCTION("""COMPUTED_VALUE"""),"")</f>
        <v/>
      </c>
      <c r="B30" t="str">
        <f>IFERROR(__xludf.DUMMYFUNCTION("""COMPUTED_VALUE"""),"John Henry")</f>
        <v>John Henry</v>
      </c>
      <c r="C30" t="str">
        <f>IFERROR(__xludf.DUMMYFUNCTION("""COMPUTED_VALUE"""),"Independent")</f>
        <v>Independent</v>
      </c>
      <c r="D30">
        <f>IFERROR(__xludf.DUMMYFUNCTION("""COMPUTED_VALUE"""),2.0)</f>
        <v>2</v>
      </c>
      <c r="E30" t="str">
        <f>IFERROR(__xludf.DUMMYFUNCTION("""COMPUTED_VALUE"""),"")</f>
        <v/>
      </c>
      <c r="F30" t="str">
        <f>IFERROR(__xludf.DUMMYFUNCTION("""COMPUTED_VALUE"""),"")</f>
        <v/>
      </c>
    </row>
    <row r="31">
      <c r="A31" t="str">
        <f>IFERROR(__xludf.DUMMYFUNCTION("""COMPUTED_VALUE"""),"")</f>
        <v/>
      </c>
      <c r="B31" t="str">
        <f>IFERROR(__xludf.DUMMYFUNCTION("""COMPUTED_VALUE"""),"S. Johnston")</f>
        <v>S. Johnston</v>
      </c>
      <c r="C31" t="str">
        <f>IFERROR(__xludf.DUMMYFUNCTION("""COMPUTED_VALUE"""),"Independent-Federalist")</f>
        <v>Independent-Federalist</v>
      </c>
      <c r="D31">
        <f>IFERROR(__xludf.DUMMYFUNCTION("""COMPUTED_VALUE"""),2.0)</f>
        <v>2</v>
      </c>
      <c r="E31" t="str">
        <f>IFERROR(__xludf.DUMMYFUNCTION("""COMPUTED_VALUE"""),"")</f>
        <v/>
      </c>
      <c r="F31" t="str">
        <f>IFERROR(__xludf.DUMMYFUNCTION("""COMPUTED_VALUE"""),"")</f>
        <v/>
      </c>
    </row>
    <row r="32">
      <c r="A32" t="str">
        <f>IFERROR(__xludf.DUMMYFUNCTION("""COMPUTED_VALUE"""),"")</f>
        <v/>
      </c>
      <c r="B32" t="str">
        <f>IFERROR(__xludf.DUMMYFUNCTION("""COMPUTED_VALUE"""),"Charles Cotesworth Pinckney")</f>
        <v>Charles Cotesworth Pinckney</v>
      </c>
      <c r="C32" t="str">
        <f>IFERROR(__xludf.DUMMYFUNCTION("""COMPUTED_VALUE"""),"Independent-Federalist")</f>
        <v>Independent-Federalist</v>
      </c>
      <c r="D32">
        <f>IFERROR(__xludf.DUMMYFUNCTION("""COMPUTED_VALUE"""),1.0)</f>
        <v>1</v>
      </c>
      <c r="E32" t="str">
        <f>IFERROR(__xludf.DUMMYFUNCTION("""COMPUTED_VALUE"""),"")</f>
        <v/>
      </c>
      <c r="F32" t="str">
        <f>IFERROR(__xludf.DUMMYFUNCTION("""COMPUTED_VALUE"""),"")</f>
        <v/>
      </c>
    </row>
    <row r="33">
      <c r="A33" t="str">
        <f>IFERROR(__xludf.DUMMYFUNCTION("""COMPUTED_VALUE"""),"*1800*")</f>
        <v>*1800*</v>
      </c>
      <c r="B33" t="str">
        <f>IFERROR(__xludf.DUMMYFUNCTION("""COMPUTED_VALUE"""),"Thomas Jefferson")</f>
        <v>Thomas Jefferson</v>
      </c>
      <c r="C33" t="str">
        <f>IFERROR(__xludf.DUMMYFUNCTION("""COMPUTED_VALUE"""),"Democratic-Republican")</f>
        <v>Democratic-Republican</v>
      </c>
      <c r="D33">
        <f>IFERROR(__xludf.DUMMYFUNCTION("""COMPUTED_VALUE"""),736.0)</f>
        <v>736</v>
      </c>
      <c r="E33" t="str">
        <f>IFERROR(__xludf.DUMMYFUNCTION("""COMPUTED_VALUE"""),"")</f>
        <v/>
      </c>
      <c r="F33" t="str">
        <f>IFERROR(__xludf.DUMMYFUNCTION("""COMPUTED_VALUE"""),"")</f>
        <v/>
      </c>
    </row>
    <row r="34">
      <c r="A34" t="str">
        <f>IFERROR(__xludf.DUMMYFUNCTION("""COMPUTED_VALUE"""),"")</f>
        <v/>
      </c>
      <c r="B34" t="str">
        <f>IFERROR(__xludf.DUMMYFUNCTION("""COMPUTED_VALUE"""),"Aaron Burr")</f>
        <v>Aaron Burr</v>
      </c>
      <c r="C34" t="str">
        <f>IFERROR(__xludf.DUMMYFUNCTION("""COMPUTED_VALUE"""),"Democratic-Republican")</f>
        <v>Democratic-Republican</v>
      </c>
      <c r="D34">
        <f>IFERROR(__xludf.DUMMYFUNCTION("""COMPUTED_VALUE"""),736.0)</f>
        <v>736</v>
      </c>
      <c r="E34" t="str">
        <f>IFERROR(__xludf.DUMMYFUNCTION("""COMPUTED_VALUE"""),"")</f>
        <v/>
      </c>
      <c r="F34" t="str">
        <f>IFERROR(__xludf.DUMMYFUNCTION("""COMPUTED_VALUE"""),"")</f>
        <v/>
      </c>
    </row>
    <row r="35">
      <c r="A35" t="str">
        <f>IFERROR(__xludf.DUMMYFUNCTION("""COMPUTED_VALUE"""),"")</f>
        <v/>
      </c>
      <c r="B35" t="str">
        <f>IFERROR(__xludf.DUMMYFUNCTION("""COMPUTED_VALUE"""),"John Adams")</f>
        <v>John Adams</v>
      </c>
      <c r="C35" t="str">
        <f>IFERROR(__xludf.DUMMYFUNCTION("""COMPUTED_VALUE"""),"Federalist")</f>
        <v>Federalist</v>
      </c>
      <c r="D35">
        <f>IFERROR(__xludf.DUMMYFUNCTION("""COMPUTED_VALUE"""),65.0)</f>
        <v>65</v>
      </c>
      <c r="E35" t="str">
        <f>IFERROR(__xludf.DUMMYFUNCTION("""COMPUTED_VALUE"""),"")</f>
        <v/>
      </c>
      <c r="F35" t="str">
        <f>IFERROR(__xludf.DUMMYFUNCTION("""COMPUTED_VALUE"""),"")</f>
        <v/>
      </c>
    </row>
    <row r="36">
      <c r="A36" t="str">
        <f>IFERROR(__xludf.DUMMYFUNCTION("""COMPUTED_VALUE"""),"")</f>
        <v/>
      </c>
      <c r="B36" t="str">
        <f>IFERROR(__xludf.DUMMYFUNCTION("""COMPUTED_VALUE"""),"Charles Cotesworth Pinckney")</f>
        <v>Charles Cotesworth Pinckney</v>
      </c>
      <c r="C36" t="str">
        <f>IFERROR(__xludf.DUMMYFUNCTION("""COMPUTED_VALUE"""),"Federalist")</f>
        <v>Federalist</v>
      </c>
      <c r="D36">
        <f>IFERROR(__xludf.DUMMYFUNCTION("""COMPUTED_VALUE"""),64.0)</f>
        <v>64</v>
      </c>
      <c r="E36" t="str">
        <f>IFERROR(__xludf.DUMMYFUNCTION("""COMPUTED_VALUE"""),"")</f>
        <v/>
      </c>
      <c r="F36" t="str">
        <f>IFERROR(__xludf.DUMMYFUNCTION("""COMPUTED_VALUE"""),"")</f>
        <v/>
      </c>
    </row>
    <row r="37">
      <c r="A37" t="str">
        <f>IFERROR(__xludf.DUMMYFUNCTION("""COMPUTED_VALUE"""),"")</f>
        <v/>
      </c>
      <c r="B37" t="str">
        <f>IFERROR(__xludf.DUMMYFUNCTION("""COMPUTED_VALUE"""),"John Jay")</f>
        <v>John Jay</v>
      </c>
      <c r="C37" t="str">
        <f>IFERROR(__xludf.DUMMYFUNCTION("""COMPUTED_VALUE"""),"Federalist")</f>
        <v>Federalist</v>
      </c>
      <c r="D37">
        <f>IFERROR(__xludf.DUMMYFUNCTION("""COMPUTED_VALUE"""),1.0)</f>
        <v>1</v>
      </c>
      <c r="E37" t="str">
        <f>IFERROR(__xludf.DUMMYFUNCTION("""COMPUTED_VALUE"""),"")</f>
        <v/>
      </c>
      <c r="F37" t="str">
        <f>IFERROR(__xludf.DUMMYFUNCTION("""COMPUTED_VALUE"""),"")</f>
        <v/>
      </c>
    </row>
    <row r="38">
      <c r="A38" t="str">
        <f>IFERROR(__xludf.DUMMYFUNCTION("""COMPUTED_VALUE"""),"*1804*")</f>
        <v>*1804*</v>
      </c>
      <c r="B38" t="str">
        <f>IFERROR(__xludf.DUMMYFUNCTION("""COMPUTED_VALUE"""),"Thomas Jefferson")</f>
        <v>Thomas Jefferson</v>
      </c>
      <c r="C38" t="str">
        <f>IFERROR(__xludf.DUMMYFUNCTION("""COMPUTED_VALUE"""),"Democratic-Republican")</f>
        <v>Democratic-Republican</v>
      </c>
      <c r="D38">
        <f>IFERROR(__xludf.DUMMYFUNCTION("""COMPUTED_VALUE"""),162.0)</f>
        <v>162</v>
      </c>
      <c r="E38" t="str">
        <f>IFERROR(__xludf.DUMMYFUNCTION("""COMPUTED_VALUE"""),"")</f>
        <v/>
      </c>
      <c r="F38" t="str">
        <f>IFERROR(__xludf.DUMMYFUNCTION("""COMPUTED_VALUE"""),"")</f>
        <v/>
      </c>
    </row>
    <row r="39">
      <c r="A39" t="str">
        <f>IFERROR(__xludf.DUMMYFUNCTION("""COMPUTED_VALUE"""),"")</f>
        <v/>
      </c>
      <c r="B39" t="str">
        <f>IFERROR(__xludf.DUMMYFUNCTION("""COMPUTED_VALUE"""),"Charles Cotesworth Pinckney")</f>
        <v>Charles Cotesworth Pinckney</v>
      </c>
      <c r="C39" t="str">
        <f>IFERROR(__xludf.DUMMYFUNCTION("""COMPUTED_VALUE"""),"Federalist")</f>
        <v>Federalist</v>
      </c>
      <c r="D39">
        <f>IFERROR(__xludf.DUMMYFUNCTION("""COMPUTED_VALUE"""),14.0)</f>
        <v>14</v>
      </c>
      <c r="E39" t="str">
        <f>IFERROR(__xludf.DUMMYFUNCTION("""COMPUTED_VALUE"""),"")</f>
        <v/>
      </c>
      <c r="F39" t="str">
        <f>IFERROR(__xludf.DUMMYFUNCTION("""COMPUTED_VALUE"""),"")</f>
        <v/>
      </c>
    </row>
    <row r="40">
      <c r="A40" t="str">
        <f>IFERROR(__xludf.DUMMYFUNCTION("""COMPUTED_VALUE"""),"*1808*")</f>
        <v>*1808*</v>
      </c>
      <c r="B40" t="str">
        <f>IFERROR(__xludf.DUMMYFUNCTION("""COMPUTED_VALUE"""),"James Madison")</f>
        <v>James Madison</v>
      </c>
      <c r="C40" t="str">
        <f>IFERROR(__xludf.DUMMYFUNCTION("""COMPUTED_VALUE"""),"Democratic-Republican")</f>
        <v>Democratic-Republican</v>
      </c>
      <c r="D40">
        <f>IFERROR(__xludf.DUMMYFUNCTION("""COMPUTED_VALUE"""),122.0)</f>
        <v>122</v>
      </c>
      <c r="E40" t="str">
        <f>IFERROR(__xludf.DUMMYFUNCTION("""COMPUTED_VALUE"""),"")</f>
        <v/>
      </c>
      <c r="F40" t="str">
        <f>IFERROR(__xludf.DUMMYFUNCTION("""COMPUTED_VALUE"""),"")</f>
        <v/>
      </c>
    </row>
    <row r="41">
      <c r="A41" t="str">
        <f>IFERROR(__xludf.DUMMYFUNCTION("""COMPUTED_VALUE"""),"")</f>
        <v/>
      </c>
      <c r="B41" t="str">
        <f>IFERROR(__xludf.DUMMYFUNCTION("""COMPUTED_VALUE"""),"Charles Cotesworth Pinckney")</f>
        <v>Charles Cotesworth Pinckney</v>
      </c>
      <c r="C41" t="str">
        <f>IFERROR(__xludf.DUMMYFUNCTION("""COMPUTED_VALUE"""),"Federalist")</f>
        <v>Federalist</v>
      </c>
      <c r="D41">
        <f>IFERROR(__xludf.DUMMYFUNCTION("""COMPUTED_VALUE"""),47.0)</f>
        <v>47</v>
      </c>
      <c r="E41" t="str">
        <f>IFERROR(__xludf.DUMMYFUNCTION("""COMPUTED_VALUE"""),"")</f>
        <v/>
      </c>
      <c r="F41" t="str">
        <f>IFERROR(__xludf.DUMMYFUNCTION("""COMPUTED_VALUE"""),"")</f>
        <v/>
      </c>
    </row>
    <row r="42">
      <c r="A42" t="str">
        <f>IFERROR(__xludf.DUMMYFUNCTION("""COMPUTED_VALUE"""),"")</f>
        <v/>
      </c>
      <c r="B42" t="str">
        <f>IFERROR(__xludf.DUMMYFUNCTION("""COMPUTED_VALUE"""),"George Clinton")</f>
        <v>George Clinton</v>
      </c>
      <c r="C42" t="str">
        <f>IFERROR(__xludf.DUMMYFUNCTION("""COMPUTED_VALUE"""),"Independent-Republican")</f>
        <v>Independent-Republican</v>
      </c>
      <c r="D42">
        <f>IFERROR(__xludf.DUMMYFUNCTION("""COMPUTED_VALUE"""),6.0)</f>
        <v>6</v>
      </c>
      <c r="E42" t="str">
        <f>IFERROR(__xludf.DUMMYFUNCTION("""COMPUTED_VALUE"""),"")</f>
        <v/>
      </c>
      <c r="F42" t="str">
        <f>IFERROR(__xludf.DUMMYFUNCTION("""COMPUTED_VALUE"""),"")</f>
        <v/>
      </c>
    </row>
    <row r="43">
      <c r="A43" t="str">
        <f>IFERROR(__xludf.DUMMYFUNCTION("""COMPUTED_VALUE"""),"")</f>
        <v/>
      </c>
      <c r="B43" t="str">
        <f>IFERROR(__xludf.DUMMYFUNCTION("""COMPUTED_VALUE"""),"not voted")</f>
        <v>not voted</v>
      </c>
      <c r="C43" t="str">
        <f>IFERROR(__xludf.DUMMYFUNCTION("""COMPUTED_VALUE"""),"")</f>
        <v/>
      </c>
      <c r="D43">
        <f>IFERROR(__xludf.DUMMYFUNCTION("""COMPUTED_VALUE"""),1.0)</f>
        <v>1</v>
      </c>
      <c r="E43" t="str">
        <f>IFERROR(__xludf.DUMMYFUNCTION("""COMPUTED_VALUE"""),"")</f>
        <v/>
      </c>
      <c r="F43" t="str">
        <f>IFERROR(__xludf.DUMMYFUNCTION("""COMPUTED_VALUE"""),"")</f>
        <v/>
      </c>
    </row>
    <row r="44">
      <c r="A44" t="str">
        <f>IFERROR(__xludf.DUMMYFUNCTION("""COMPUTED_VALUE"""),"*1812*")</f>
        <v>*1812*</v>
      </c>
      <c r="B44" t="str">
        <f>IFERROR(__xludf.DUMMYFUNCTION("""COMPUTED_VALUE"""),"James Madison")</f>
        <v>James Madison</v>
      </c>
      <c r="C44" t="str">
        <f>IFERROR(__xludf.DUMMYFUNCTION("""COMPUTED_VALUE"""),"Democratic-Republican")</f>
        <v>Democratic-Republican</v>
      </c>
      <c r="D44">
        <f>IFERROR(__xludf.DUMMYFUNCTION("""COMPUTED_VALUE"""),128.0)</f>
        <v>128</v>
      </c>
      <c r="E44" t="str">
        <f>IFERROR(__xludf.DUMMYFUNCTION("""COMPUTED_VALUE"""),"")</f>
        <v/>
      </c>
      <c r="F44" t="str">
        <f>IFERROR(__xludf.DUMMYFUNCTION("""COMPUTED_VALUE"""),"")</f>
        <v/>
      </c>
    </row>
    <row r="45">
      <c r="A45" t="str">
        <f>IFERROR(__xludf.DUMMYFUNCTION("""COMPUTED_VALUE"""),"")</f>
        <v/>
      </c>
      <c r="B45" t="str">
        <f>IFERROR(__xludf.DUMMYFUNCTION("""COMPUTED_VALUE"""),"DeWitt Clinton")</f>
        <v>DeWitt Clinton</v>
      </c>
      <c r="C45" t="str">
        <f>IFERROR(__xludf.DUMMYFUNCTION("""COMPUTED_VALUE"""),"Fusion")</f>
        <v>Fusion</v>
      </c>
      <c r="D45">
        <f>IFERROR(__xludf.DUMMYFUNCTION("""COMPUTED_VALUE"""),89.0)</f>
        <v>89</v>
      </c>
      <c r="E45" t="str">
        <f>IFERROR(__xludf.DUMMYFUNCTION("""COMPUTED_VALUE"""),"")</f>
        <v/>
      </c>
      <c r="F45" t="str">
        <f>IFERROR(__xludf.DUMMYFUNCTION("""COMPUTED_VALUE"""),"")</f>
        <v/>
      </c>
    </row>
    <row r="46">
      <c r="A46" t="str">
        <f>IFERROR(__xludf.DUMMYFUNCTION("""COMPUTED_VALUE"""),"")</f>
        <v/>
      </c>
      <c r="B46" t="str">
        <f>IFERROR(__xludf.DUMMYFUNCTION("""COMPUTED_VALUE"""),"not voted")</f>
        <v>not voted</v>
      </c>
      <c r="C46" t="str">
        <f>IFERROR(__xludf.DUMMYFUNCTION("""COMPUTED_VALUE"""),"")</f>
        <v/>
      </c>
      <c r="D46">
        <f>IFERROR(__xludf.DUMMYFUNCTION("""COMPUTED_VALUE"""),1.0)</f>
        <v>1</v>
      </c>
      <c r="E46" t="str">
        <f>IFERROR(__xludf.DUMMYFUNCTION("""COMPUTED_VALUE"""),"")</f>
        <v/>
      </c>
      <c r="F46" t="str">
        <f>IFERROR(__xludf.DUMMYFUNCTION("""COMPUTED_VALUE"""),"")</f>
        <v/>
      </c>
    </row>
    <row r="47">
      <c r="A47" t="str">
        <f>IFERROR(__xludf.DUMMYFUNCTION("""COMPUTED_VALUE"""),"*1816*")</f>
        <v>*1816*</v>
      </c>
      <c r="B47" t="str">
        <f>IFERROR(__xludf.DUMMYFUNCTION("""COMPUTED_VALUE"""),"James Monroe")</f>
        <v>James Monroe</v>
      </c>
      <c r="C47" t="str">
        <f>IFERROR(__xludf.DUMMYFUNCTION("""COMPUTED_VALUE"""),"Democratic-Republican")</f>
        <v>Democratic-Republican</v>
      </c>
      <c r="D47">
        <f>IFERROR(__xludf.DUMMYFUNCTION("""COMPUTED_VALUE"""),183.0)</f>
        <v>183</v>
      </c>
      <c r="E47" t="str">
        <f>IFERROR(__xludf.DUMMYFUNCTION("""COMPUTED_VALUE"""),"")</f>
        <v/>
      </c>
      <c r="F47" t="str">
        <f>IFERROR(__xludf.DUMMYFUNCTION("""COMPUTED_VALUE"""),"")</f>
        <v/>
      </c>
    </row>
    <row r="48">
      <c r="A48" t="str">
        <f>IFERROR(__xludf.DUMMYFUNCTION("""COMPUTED_VALUE"""),"")</f>
        <v/>
      </c>
      <c r="B48" t="str">
        <f>IFERROR(__xludf.DUMMYFUNCTION("""COMPUTED_VALUE"""),"Rufus King")</f>
        <v>Rufus King</v>
      </c>
      <c r="C48" t="str">
        <f>IFERROR(__xludf.DUMMYFUNCTION("""COMPUTED_VALUE"""),"Federalist")</f>
        <v>Federalist</v>
      </c>
      <c r="D48">
        <f>IFERROR(__xludf.DUMMYFUNCTION("""COMPUTED_VALUE"""),34.0)</f>
        <v>34</v>
      </c>
      <c r="E48" t="str">
        <f>IFERROR(__xludf.DUMMYFUNCTION("""COMPUTED_VALUE"""),"")</f>
        <v/>
      </c>
      <c r="F48" t="str">
        <f>IFERROR(__xludf.DUMMYFUNCTION("""COMPUTED_VALUE"""),"")</f>
        <v/>
      </c>
    </row>
    <row r="49">
      <c r="A49" t="str">
        <f>IFERROR(__xludf.DUMMYFUNCTION("""COMPUTED_VALUE"""),"")</f>
        <v/>
      </c>
      <c r="B49" t="str">
        <f>IFERROR(__xludf.DUMMYFUNCTION("""COMPUTED_VALUE"""),"not voted")</f>
        <v>not voted</v>
      </c>
      <c r="C49" t="str">
        <f>IFERROR(__xludf.DUMMYFUNCTION("""COMPUTED_VALUE"""),"")</f>
        <v/>
      </c>
      <c r="D49">
        <f>IFERROR(__xludf.DUMMYFUNCTION("""COMPUTED_VALUE"""),4.0)</f>
        <v>4</v>
      </c>
      <c r="E49" t="str">
        <f>IFERROR(__xludf.DUMMYFUNCTION("""COMPUTED_VALUE"""),"")</f>
        <v/>
      </c>
      <c r="F49" t="str">
        <f>IFERROR(__xludf.DUMMYFUNCTION("""COMPUTED_VALUE"""),"")</f>
        <v/>
      </c>
    </row>
    <row r="50">
      <c r="A50" t="str">
        <f>IFERROR(__xludf.DUMMYFUNCTION("""COMPUTED_VALUE"""),"*1820*")</f>
        <v>*1820*</v>
      </c>
      <c r="B50" t="str">
        <f>IFERROR(__xludf.DUMMYFUNCTION("""COMPUTED_VALUE"""),"James Monroe")</f>
        <v>James Monroe</v>
      </c>
      <c r="C50" t="str">
        <f>IFERROR(__xludf.DUMMYFUNCTION("""COMPUTED_VALUE"""),"Democratic-Republican")</f>
        <v>Democratic-Republican</v>
      </c>
      <c r="D50">
        <f>IFERROR(__xludf.DUMMYFUNCTION("""COMPUTED_VALUE"""),231.0)</f>
        <v>231</v>
      </c>
      <c r="E50" t="str">
        <f>IFERROR(__xludf.DUMMYFUNCTION("""COMPUTED_VALUE"""),"")</f>
        <v/>
      </c>
      <c r="F50" t="str">
        <f>IFERROR(__xludf.DUMMYFUNCTION("""COMPUTED_VALUE"""),"")</f>
        <v/>
      </c>
    </row>
    <row r="51">
      <c r="A51" t="str">
        <f>IFERROR(__xludf.DUMMYFUNCTION("""COMPUTED_VALUE"""),"")</f>
        <v/>
      </c>
      <c r="B51" t="str">
        <f>IFERROR(__xludf.DUMMYFUNCTION("""COMPUTED_VALUE"""),"John Quincy Adams")</f>
        <v>John Quincy Adams</v>
      </c>
      <c r="C51" t="str">
        <f>IFERROR(__xludf.DUMMYFUNCTION("""COMPUTED_VALUE"""),"Independent-Republican")</f>
        <v>Independent-Republican</v>
      </c>
      <c r="D51">
        <f>IFERROR(__xludf.DUMMYFUNCTION("""COMPUTED_VALUE"""),1.0)</f>
        <v>1</v>
      </c>
      <c r="E51" t="str">
        <f>IFERROR(__xludf.DUMMYFUNCTION("""COMPUTED_VALUE"""),"")</f>
        <v/>
      </c>
      <c r="F51" t="str">
        <f>IFERROR(__xludf.DUMMYFUNCTION("""COMPUTED_VALUE"""),"")</f>
        <v/>
      </c>
    </row>
    <row r="52">
      <c r="A52" t="str">
        <f>IFERROR(__xludf.DUMMYFUNCTION("""COMPUTED_VALUE"""),"")</f>
        <v/>
      </c>
      <c r="B52" t="str">
        <f>IFERROR(__xludf.DUMMYFUNCTION("""COMPUTED_VALUE"""),"not voted")</f>
        <v>not voted</v>
      </c>
      <c r="C52" t="str">
        <f>IFERROR(__xludf.DUMMYFUNCTION("""COMPUTED_VALUE"""),"")</f>
        <v/>
      </c>
      <c r="D52">
        <f>IFERROR(__xludf.DUMMYFUNCTION("""COMPUTED_VALUE"""),3.0)</f>
        <v>3</v>
      </c>
      <c r="E52" t="str">
        <f>IFERROR(__xludf.DUMMYFUNCTION("""COMPUTED_VALUE"""),"")</f>
        <v/>
      </c>
      <c r="F52" t="str">
        <f>IFERROR(__xludf.DUMMYFUNCTION("""COMPUTED_VALUE"""),"")</f>
        <v/>
      </c>
    </row>
    <row r="53">
      <c r="A53" t="str">
        <f>IFERROR(__xludf.DUMMYFUNCTION("""COMPUTED_VALUE"""),"*1824*")</f>
        <v>*1824*</v>
      </c>
      <c r="B53" t="str">
        <f>IFERROR(__xludf.DUMMYFUNCTION("""COMPUTED_VALUE"""),"John Quincy Adams")</f>
        <v>John Quincy Adams</v>
      </c>
      <c r="C53" t="str">
        <f>IFERROR(__xludf.DUMMYFUNCTION("""COMPUTED_VALUE"""),"no distinct party designations")</f>
        <v>no distinct party designations</v>
      </c>
      <c r="D53">
        <f>IFERROR(__xludf.DUMMYFUNCTION("""COMPUTED_VALUE"""),847.0)</f>
        <v>847</v>
      </c>
      <c r="E53" s="2">
        <f>IFERROR(__xludf.DUMMYFUNCTION("""COMPUTED_VALUE"""),108740.0)</f>
        <v>108740</v>
      </c>
      <c r="F53">
        <f>IFERROR(__xludf.DUMMYFUNCTION("""COMPUTED_VALUE"""),30.9)</f>
        <v>30.9</v>
      </c>
    </row>
    <row r="54">
      <c r="A54" t="str">
        <f>IFERROR(__xludf.DUMMYFUNCTION("""COMPUTED_VALUE"""),"")</f>
        <v/>
      </c>
      <c r="B54" t="str">
        <f>IFERROR(__xludf.DUMMYFUNCTION("""COMPUTED_VALUE"""),"Andrew Jackson")</f>
        <v>Andrew Jackson</v>
      </c>
      <c r="C54" t="str">
        <f>IFERROR(__xludf.DUMMYFUNCTION("""COMPUTED_VALUE"""),"")</f>
        <v/>
      </c>
      <c r="D54">
        <f>IFERROR(__xludf.DUMMYFUNCTION("""COMPUTED_VALUE"""),99.0)</f>
        <v>99</v>
      </c>
      <c r="E54" s="2">
        <f>IFERROR(__xludf.DUMMYFUNCTION("""COMPUTED_VALUE"""),153544.0)</f>
        <v>153544</v>
      </c>
      <c r="F54">
        <f>IFERROR(__xludf.DUMMYFUNCTION("""COMPUTED_VALUE"""),41.3)</f>
        <v>41.3</v>
      </c>
    </row>
    <row r="55">
      <c r="A55" t="str">
        <f>IFERROR(__xludf.DUMMYFUNCTION("""COMPUTED_VALUE"""),"")</f>
        <v/>
      </c>
      <c r="B55" t="str">
        <f>IFERROR(__xludf.DUMMYFUNCTION("""COMPUTED_VALUE"""),"Henry Clay")</f>
        <v>Henry Clay</v>
      </c>
      <c r="C55" t="str">
        <f>IFERROR(__xludf.DUMMYFUNCTION("""COMPUTED_VALUE"""),"")</f>
        <v/>
      </c>
      <c r="D55">
        <f>IFERROR(__xludf.DUMMYFUNCTION("""COMPUTED_VALUE"""),37.0)</f>
        <v>37</v>
      </c>
      <c r="E55" s="2">
        <f>IFERROR(__xludf.DUMMYFUNCTION("""COMPUTED_VALUE"""),47531.0)</f>
        <v>47531</v>
      </c>
      <c r="F55">
        <f>IFERROR(__xludf.DUMMYFUNCTION("""COMPUTED_VALUE"""),13.0)</f>
        <v>13</v>
      </c>
    </row>
    <row r="56">
      <c r="A56" t="str">
        <f>IFERROR(__xludf.DUMMYFUNCTION("""COMPUTED_VALUE"""),"")</f>
        <v/>
      </c>
      <c r="B56" t="str">
        <f>IFERROR(__xludf.DUMMYFUNCTION("""COMPUTED_VALUE"""),"William H. Crawford")</f>
        <v>William H. Crawford</v>
      </c>
      <c r="C56" t="str">
        <f>IFERROR(__xludf.DUMMYFUNCTION("""COMPUTED_VALUE"""),"")</f>
        <v/>
      </c>
      <c r="D56">
        <f>IFERROR(__xludf.DUMMYFUNCTION("""COMPUTED_VALUE"""),41.0)</f>
        <v>41</v>
      </c>
      <c r="E56" s="2">
        <f>IFERROR(__xludf.DUMMYFUNCTION("""COMPUTED_VALUE"""),40856.0)</f>
        <v>40856</v>
      </c>
      <c r="F56">
        <f>IFERROR(__xludf.DUMMYFUNCTION("""COMPUTED_VALUE"""),11.2)</f>
        <v>11.2</v>
      </c>
    </row>
    <row r="57">
      <c r="A57" t="str">
        <f>IFERROR(__xludf.DUMMYFUNCTION("""COMPUTED_VALUE"""),"*1828*")</f>
        <v>*1828*</v>
      </c>
      <c r="B57" t="str">
        <f>IFERROR(__xludf.DUMMYFUNCTION("""COMPUTED_VALUE"""),"Andrew Jackson")</f>
        <v>Andrew Jackson</v>
      </c>
      <c r="C57" t="str">
        <f>IFERROR(__xludf.DUMMYFUNCTION("""COMPUTED_VALUE"""),"Democratic")</f>
        <v>Democratic</v>
      </c>
      <c r="D57">
        <f>IFERROR(__xludf.DUMMYFUNCTION("""COMPUTED_VALUE"""),178.0)</f>
        <v>178</v>
      </c>
      <c r="E57" s="2">
        <f>IFERROR(__xludf.DUMMYFUNCTION("""COMPUTED_VALUE"""),647286.0)</f>
        <v>647286</v>
      </c>
      <c r="F57">
        <f>IFERROR(__xludf.DUMMYFUNCTION("""COMPUTED_VALUE"""),56.0)</f>
        <v>56</v>
      </c>
    </row>
    <row r="58">
      <c r="A58" t="str">
        <f>IFERROR(__xludf.DUMMYFUNCTION("""COMPUTED_VALUE"""),"")</f>
        <v/>
      </c>
      <c r="B58" t="str">
        <f>IFERROR(__xludf.DUMMYFUNCTION("""COMPUTED_VALUE"""),"John Quincy Adams")</f>
        <v>John Quincy Adams</v>
      </c>
      <c r="C58" t="str">
        <f>IFERROR(__xludf.DUMMYFUNCTION("""COMPUTED_VALUE"""),"National Republican")</f>
        <v>National Republican</v>
      </c>
      <c r="D58">
        <f>IFERROR(__xludf.DUMMYFUNCTION("""COMPUTED_VALUE"""),83.0)</f>
        <v>83</v>
      </c>
      <c r="E58" s="2">
        <f>IFERROR(__xludf.DUMMYFUNCTION("""COMPUTED_VALUE"""),508064.0)</f>
        <v>508064</v>
      </c>
      <c r="F58">
        <f>IFERROR(__xludf.DUMMYFUNCTION("""COMPUTED_VALUE"""),43.6)</f>
        <v>43.6</v>
      </c>
    </row>
    <row r="59">
      <c r="A59" t="str">
        <f>IFERROR(__xludf.DUMMYFUNCTION("""COMPUTED_VALUE"""),"*1832*")</f>
        <v>*1832*</v>
      </c>
      <c r="B59" t="str">
        <f>IFERROR(__xludf.DUMMYFUNCTION("""COMPUTED_VALUE"""),"Andrew Jackson")</f>
        <v>Andrew Jackson</v>
      </c>
      <c r="C59" t="str">
        <f>IFERROR(__xludf.DUMMYFUNCTION("""COMPUTED_VALUE"""),"Democratic")</f>
        <v>Democratic</v>
      </c>
      <c r="D59">
        <f>IFERROR(__xludf.DUMMYFUNCTION("""COMPUTED_VALUE"""),219.0)</f>
        <v>219</v>
      </c>
      <c r="E59" s="2">
        <f>IFERROR(__xludf.DUMMYFUNCTION("""COMPUTED_VALUE"""),687502.0)</f>
        <v>687502</v>
      </c>
      <c r="F59">
        <f>IFERROR(__xludf.DUMMYFUNCTION("""COMPUTED_VALUE"""),54.2)</f>
        <v>54.2</v>
      </c>
    </row>
    <row r="60">
      <c r="A60" t="str">
        <f>IFERROR(__xludf.DUMMYFUNCTION("""COMPUTED_VALUE"""),"")</f>
        <v/>
      </c>
      <c r="B60" t="str">
        <f>IFERROR(__xludf.DUMMYFUNCTION("""COMPUTED_VALUE"""),"Henry Clay")</f>
        <v>Henry Clay</v>
      </c>
      <c r="C60" t="str">
        <f>IFERROR(__xludf.DUMMYFUNCTION("""COMPUTED_VALUE"""),"National Republican")</f>
        <v>National Republican</v>
      </c>
      <c r="D60">
        <f>IFERROR(__xludf.DUMMYFUNCTION("""COMPUTED_VALUE"""),49.0)</f>
        <v>49</v>
      </c>
      <c r="E60" s="2">
        <f>IFERROR(__xludf.DUMMYFUNCTION("""COMPUTED_VALUE"""),530189.0)</f>
        <v>530189</v>
      </c>
      <c r="F60">
        <f>IFERROR(__xludf.DUMMYFUNCTION("""COMPUTED_VALUE"""),37.4)</f>
        <v>37.4</v>
      </c>
    </row>
    <row r="61">
      <c r="A61" t="str">
        <f>IFERROR(__xludf.DUMMYFUNCTION("""COMPUTED_VALUE"""),"")</f>
        <v/>
      </c>
      <c r="B61" t="str">
        <f>IFERROR(__xludf.DUMMYFUNCTION("""COMPUTED_VALUE"""),"William Wirt")</f>
        <v>William Wirt</v>
      </c>
      <c r="C61" t="str">
        <f>IFERROR(__xludf.DUMMYFUNCTION("""COMPUTED_VALUE"""),"Anti-Masonic")</f>
        <v>Anti-Masonic</v>
      </c>
      <c r="D61">
        <f>IFERROR(__xludf.DUMMYFUNCTION("""COMPUTED_VALUE"""),7.0)</f>
        <v>7</v>
      </c>
      <c r="E61" s="2">
        <f>IFERROR(__xludf.DUMMYFUNCTION("""COMPUTED_VALUE"""),100715.0)</f>
        <v>100715</v>
      </c>
      <c r="F61">
        <f>IFERROR(__xludf.DUMMYFUNCTION("""COMPUTED_VALUE"""),7.8)</f>
        <v>7.8</v>
      </c>
    </row>
    <row r="62">
      <c r="A62" t="str">
        <f>IFERROR(__xludf.DUMMYFUNCTION("""COMPUTED_VALUE"""),"")</f>
        <v/>
      </c>
      <c r="B62" t="str">
        <f>IFERROR(__xludf.DUMMYFUNCTION("""COMPUTED_VALUE"""),"John Floyd")</f>
        <v>John Floyd</v>
      </c>
      <c r="C62" t="str">
        <f>IFERROR(__xludf.DUMMYFUNCTION("""COMPUTED_VALUE"""),"Nullifiers")</f>
        <v>Nullifiers</v>
      </c>
      <c r="D62">
        <f>IFERROR(__xludf.DUMMYFUNCTION("""COMPUTED_VALUE"""),11.0)</f>
        <v>11</v>
      </c>
      <c r="E62" t="str">
        <f>IFERROR(__xludf.DUMMYFUNCTION("""COMPUTED_VALUE"""),"")</f>
        <v/>
      </c>
      <c r="F62" t="str">
        <f>IFERROR(__xludf.DUMMYFUNCTION("""COMPUTED_VALUE"""),"")</f>
        <v/>
      </c>
    </row>
    <row r="63">
      <c r="A63" t="str">
        <f>IFERROR(__xludf.DUMMYFUNCTION("""COMPUTED_VALUE"""),"")</f>
        <v/>
      </c>
      <c r="B63" t="str">
        <f>IFERROR(__xludf.DUMMYFUNCTION("""COMPUTED_VALUE"""),"not voted")</f>
        <v>not voted</v>
      </c>
      <c r="C63" t="str">
        <f>IFERROR(__xludf.DUMMYFUNCTION("""COMPUTED_VALUE"""),"")</f>
        <v/>
      </c>
      <c r="D63">
        <f>IFERROR(__xludf.DUMMYFUNCTION("""COMPUTED_VALUE"""),2.0)</f>
        <v>2</v>
      </c>
      <c r="E63" t="str">
        <f>IFERROR(__xludf.DUMMYFUNCTION("""COMPUTED_VALUE"""),"")</f>
        <v/>
      </c>
      <c r="F63" t="str">
        <f>IFERROR(__xludf.DUMMYFUNCTION("""COMPUTED_VALUE"""),"")</f>
        <v/>
      </c>
    </row>
    <row r="64">
      <c r="A64" t="str">
        <f>IFERROR(__xludf.DUMMYFUNCTION("""COMPUTED_VALUE"""),"*1836*")</f>
        <v>*1836*</v>
      </c>
      <c r="B64" t="str">
        <f>IFERROR(__xludf.DUMMYFUNCTION("""COMPUTED_VALUE"""),"Martin Van Buren")</f>
        <v>Martin Van Buren</v>
      </c>
      <c r="C64" t="str">
        <f>IFERROR(__xludf.DUMMYFUNCTION("""COMPUTED_VALUE"""),"Democratic")</f>
        <v>Democratic</v>
      </c>
      <c r="D64">
        <f>IFERROR(__xludf.DUMMYFUNCTION("""COMPUTED_VALUE"""),170.0)</f>
        <v>170</v>
      </c>
      <c r="E64" s="2">
        <f>IFERROR(__xludf.DUMMYFUNCTION("""COMPUTED_VALUE"""),762678.0)</f>
        <v>762678</v>
      </c>
      <c r="F64">
        <f>IFERROR(__xludf.DUMMYFUNCTION("""COMPUTED_VALUE"""),50.8)</f>
        <v>50.8</v>
      </c>
    </row>
    <row r="65">
      <c r="A65" t="str">
        <f>IFERROR(__xludf.DUMMYFUNCTION("""COMPUTED_VALUE"""),"")</f>
        <v/>
      </c>
      <c r="B65" t="str">
        <f>IFERROR(__xludf.DUMMYFUNCTION("""COMPUTED_VALUE"""),"William Henry Harrison")</f>
        <v>William Henry Harrison</v>
      </c>
      <c r="C65" t="str">
        <f>IFERROR(__xludf.DUMMYFUNCTION("""COMPUTED_VALUE"""),"Whig")</f>
        <v>Whig</v>
      </c>
      <c r="D65">
        <f>IFERROR(__xludf.DUMMYFUNCTION("""COMPUTED_VALUE"""),73.0)</f>
        <v>73</v>
      </c>
      <c r="E65" s="2">
        <f>IFERROR(__xludf.DUMMYFUNCTION("""COMPUTED_VALUE"""),550816.0)</f>
        <v>550816</v>
      </c>
      <c r="F65">
        <f>IFERROR(__xludf.DUMMYFUNCTION("""COMPUTED_VALUE"""),36.6)</f>
        <v>36.6</v>
      </c>
    </row>
    <row r="66">
      <c r="A66" t="str">
        <f>IFERROR(__xludf.DUMMYFUNCTION("""COMPUTED_VALUE"""),"")</f>
        <v/>
      </c>
      <c r="B66" t="str">
        <f>IFERROR(__xludf.DUMMYFUNCTION("""COMPUTED_VALUE"""),"Hugh L. White")</f>
        <v>Hugh L. White</v>
      </c>
      <c r="C66" t="str">
        <f>IFERROR(__xludf.DUMMYFUNCTION("""COMPUTED_VALUE"""),"Whig")</f>
        <v>Whig</v>
      </c>
      <c r="D66">
        <f>IFERROR(__xludf.DUMMYFUNCTION("""COMPUTED_VALUE"""),26.0)</f>
        <v>26</v>
      </c>
      <c r="E66" s="2">
        <f>IFERROR(__xludf.DUMMYFUNCTION("""COMPUTED_VALUE"""),146107.0)</f>
        <v>146107</v>
      </c>
      <c r="F66">
        <f>IFERROR(__xludf.DUMMYFUNCTION("""COMPUTED_VALUE"""),9.7)</f>
        <v>9.7</v>
      </c>
    </row>
    <row r="67">
      <c r="A67" t="str">
        <f>IFERROR(__xludf.DUMMYFUNCTION("""COMPUTED_VALUE"""),"")</f>
        <v/>
      </c>
      <c r="B67" t="str">
        <f>IFERROR(__xludf.DUMMYFUNCTION("""COMPUTED_VALUE"""),"Daniel Webster")</f>
        <v>Daniel Webster</v>
      </c>
      <c r="C67" t="str">
        <f>IFERROR(__xludf.DUMMYFUNCTION("""COMPUTED_VALUE"""),"Whig")</f>
        <v>Whig</v>
      </c>
      <c r="D67">
        <f>IFERROR(__xludf.DUMMYFUNCTION("""COMPUTED_VALUE"""),14.0)</f>
        <v>14</v>
      </c>
      <c r="E67" s="2">
        <f>IFERROR(__xludf.DUMMYFUNCTION("""COMPUTED_VALUE"""),41201.0)</f>
        <v>41201</v>
      </c>
      <c r="F67">
        <f>IFERROR(__xludf.DUMMYFUNCTION("""COMPUTED_VALUE"""),2.7)</f>
        <v>2.7</v>
      </c>
    </row>
    <row r="68">
      <c r="A68" t="str">
        <f>IFERROR(__xludf.DUMMYFUNCTION("""COMPUTED_VALUE"""),"")</f>
        <v/>
      </c>
      <c r="B68" t="str">
        <f>IFERROR(__xludf.DUMMYFUNCTION("""COMPUTED_VALUE"""),"W.P. Mangum")</f>
        <v>W.P. Mangum</v>
      </c>
      <c r="C68" t="str">
        <f>IFERROR(__xludf.DUMMYFUNCTION("""COMPUTED_VALUE"""),"Anti-Jackson")</f>
        <v>Anti-Jackson</v>
      </c>
      <c r="D68">
        <f>IFERROR(__xludf.DUMMYFUNCTION("""COMPUTED_VALUE"""),11.0)</f>
        <v>11</v>
      </c>
      <c r="E68" t="str">
        <f>IFERROR(__xludf.DUMMYFUNCTION("""COMPUTED_VALUE"""),"")</f>
        <v/>
      </c>
      <c r="F68" t="str">
        <f>IFERROR(__xludf.DUMMYFUNCTION("""COMPUTED_VALUE"""),"")</f>
        <v/>
      </c>
    </row>
    <row r="69">
      <c r="A69" t="str">
        <f>IFERROR(__xludf.DUMMYFUNCTION("""COMPUTED_VALUE"""),"*1840*")</f>
        <v>*1840*</v>
      </c>
      <c r="B69" t="str">
        <f>IFERROR(__xludf.DUMMYFUNCTION("""COMPUTED_VALUE"""),"William Henry Harrison")</f>
        <v>William Henry Harrison</v>
      </c>
      <c r="C69" t="str">
        <f>IFERROR(__xludf.DUMMYFUNCTION("""COMPUTED_VALUE"""),"Whig")</f>
        <v>Whig</v>
      </c>
      <c r="D69">
        <f>IFERROR(__xludf.DUMMYFUNCTION("""COMPUTED_VALUE"""),234.0)</f>
        <v>234</v>
      </c>
      <c r="E69" s="2">
        <f>IFERROR(__xludf.DUMMYFUNCTION("""COMPUTED_VALUE"""),1275016.0)</f>
        <v>1275016</v>
      </c>
      <c r="F69">
        <f>IFERROR(__xludf.DUMMYFUNCTION("""COMPUTED_VALUE"""),52.9)</f>
        <v>52.9</v>
      </c>
    </row>
    <row r="70">
      <c r="A70" t="str">
        <f>IFERROR(__xludf.DUMMYFUNCTION("""COMPUTED_VALUE"""),"")</f>
        <v/>
      </c>
      <c r="B70" t="str">
        <f>IFERROR(__xludf.DUMMYFUNCTION("""COMPUTED_VALUE"""),"Martin Van Buren")</f>
        <v>Martin Van Buren</v>
      </c>
      <c r="C70" t="str">
        <f>IFERROR(__xludf.DUMMYFUNCTION("""COMPUTED_VALUE"""),"Democratic")</f>
        <v>Democratic</v>
      </c>
      <c r="D70">
        <f>IFERROR(__xludf.DUMMYFUNCTION("""COMPUTED_VALUE"""),60.0)</f>
        <v>60</v>
      </c>
      <c r="E70" s="2">
        <f>IFERROR(__xludf.DUMMYFUNCTION("""COMPUTED_VALUE"""),1129102.0)</f>
        <v>1129102</v>
      </c>
      <c r="F70">
        <f>IFERROR(__xludf.DUMMYFUNCTION("""COMPUTED_VALUE"""),46.8)</f>
        <v>46.8</v>
      </c>
    </row>
    <row r="71">
      <c r="A71" t="str">
        <f>IFERROR(__xludf.DUMMYFUNCTION("""COMPUTED_VALUE"""),"*1844*")</f>
        <v>*1844*</v>
      </c>
      <c r="B71" t="str">
        <f>IFERROR(__xludf.DUMMYFUNCTION("""COMPUTED_VALUE"""),"James K. Polk")</f>
        <v>James K. Polk</v>
      </c>
      <c r="C71" t="str">
        <f>IFERROR(__xludf.DUMMYFUNCTION("""COMPUTED_VALUE"""),"Democratic")</f>
        <v>Democratic</v>
      </c>
      <c r="D71">
        <f>IFERROR(__xludf.DUMMYFUNCTION("""COMPUTED_VALUE"""),170.0)</f>
        <v>170</v>
      </c>
      <c r="E71" s="2">
        <f>IFERROR(__xludf.DUMMYFUNCTION("""COMPUTED_VALUE"""),1337243.0)</f>
        <v>1337243</v>
      </c>
      <c r="F71">
        <f>IFERROR(__xludf.DUMMYFUNCTION("""COMPUTED_VALUE"""),49.5)</f>
        <v>49.5</v>
      </c>
    </row>
    <row r="72">
      <c r="A72" t="str">
        <f>IFERROR(__xludf.DUMMYFUNCTION("""COMPUTED_VALUE"""),"")</f>
        <v/>
      </c>
      <c r="B72" t="str">
        <f>IFERROR(__xludf.DUMMYFUNCTION("""COMPUTED_VALUE"""),"Henry Clay")</f>
        <v>Henry Clay</v>
      </c>
      <c r="C72" t="str">
        <f>IFERROR(__xludf.DUMMYFUNCTION("""COMPUTED_VALUE"""),"Whig")</f>
        <v>Whig</v>
      </c>
      <c r="D72">
        <f>IFERROR(__xludf.DUMMYFUNCTION("""COMPUTED_VALUE"""),105.0)</f>
        <v>105</v>
      </c>
      <c r="E72" s="2">
        <f>IFERROR(__xludf.DUMMYFUNCTION("""COMPUTED_VALUE"""),1299062.0)</f>
        <v>1299062</v>
      </c>
      <c r="F72">
        <f>IFERROR(__xludf.DUMMYFUNCTION("""COMPUTED_VALUE"""),48.1)</f>
        <v>48.1</v>
      </c>
    </row>
    <row r="73">
      <c r="A73" t="str">
        <f>IFERROR(__xludf.DUMMYFUNCTION("""COMPUTED_VALUE"""),"")</f>
        <v/>
      </c>
      <c r="B73" t="str">
        <f>IFERROR(__xludf.DUMMYFUNCTION("""COMPUTED_VALUE"""),"James Gillespie Birney")</f>
        <v>James Gillespie Birney</v>
      </c>
      <c r="C73" t="str">
        <f>IFERROR(__xludf.DUMMYFUNCTION("""COMPUTED_VALUE"""),"Liberty")</f>
        <v>Liberty</v>
      </c>
      <c r="D73" t="str">
        <f>IFERROR(__xludf.DUMMYFUNCTION("""COMPUTED_VALUE"""),"")</f>
        <v/>
      </c>
      <c r="E73" s="2">
        <f>IFERROR(__xludf.DUMMYFUNCTION("""COMPUTED_VALUE"""),62103.0)</f>
        <v>62103</v>
      </c>
      <c r="F73">
        <f>IFERROR(__xludf.DUMMYFUNCTION("""COMPUTED_VALUE"""),2.3)</f>
        <v>2.3</v>
      </c>
    </row>
    <row r="74">
      <c r="A74" t="str">
        <f>IFERROR(__xludf.DUMMYFUNCTION("""COMPUTED_VALUE"""),"*1848*")</f>
        <v>*1848*</v>
      </c>
      <c r="B74" t="str">
        <f>IFERROR(__xludf.DUMMYFUNCTION("""COMPUTED_VALUE"""),"Zachary Taylor")</f>
        <v>Zachary Taylor</v>
      </c>
      <c r="C74" t="str">
        <f>IFERROR(__xludf.DUMMYFUNCTION("""COMPUTED_VALUE"""),"Whig")</f>
        <v>Whig</v>
      </c>
      <c r="D74">
        <f>IFERROR(__xludf.DUMMYFUNCTION("""COMPUTED_VALUE"""),163.0)</f>
        <v>163</v>
      </c>
      <c r="E74" s="2">
        <f>IFERROR(__xludf.DUMMYFUNCTION("""COMPUTED_VALUE"""),1360099.0)</f>
        <v>1360099</v>
      </c>
      <c r="F74">
        <f>IFERROR(__xludf.DUMMYFUNCTION("""COMPUTED_VALUE"""),47.3)</f>
        <v>47.3</v>
      </c>
    </row>
    <row r="75">
      <c r="A75" t="str">
        <f>IFERROR(__xludf.DUMMYFUNCTION("""COMPUTED_VALUE"""),"")</f>
        <v/>
      </c>
      <c r="B75" t="str">
        <f>IFERROR(__xludf.DUMMYFUNCTION("""COMPUTED_VALUE"""),"Lewis Cass")</f>
        <v>Lewis Cass</v>
      </c>
      <c r="C75" t="str">
        <f>IFERROR(__xludf.DUMMYFUNCTION("""COMPUTED_VALUE"""),"Democratic")</f>
        <v>Democratic</v>
      </c>
      <c r="D75">
        <f>IFERROR(__xludf.DUMMYFUNCTION("""COMPUTED_VALUE"""),127.0)</f>
        <v>127</v>
      </c>
      <c r="E75" s="2">
        <f>IFERROR(__xludf.DUMMYFUNCTION("""COMPUTED_VALUE"""),1220544.0)</f>
        <v>1220544</v>
      </c>
      <c r="F75">
        <f>IFERROR(__xludf.DUMMYFUNCTION("""COMPUTED_VALUE"""),42.5)</f>
        <v>42.5</v>
      </c>
    </row>
    <row r="76">
      <c r="A76" t="str">
        <f>IFERROR(__xludf.DUMMYFUNCTION("""COMPUTED_VALUE"""),"")</f>
        <v/>
      </c>
      <c r="B76" t="str">
        <f>IFERROR(__xludf.DUMMYFUNCTION("""COMPUTED_VALUE"""),"Martin Van Buren")</f>
        <v>Martin Van Buren</v>
      </c>
      <c r="C76" t="str">
        <f>IFERROR(__xludf.DUMMYFUNCTION("""COMPUTED_VALUE"""),"Free Soil")</f>
        <v>Free Soil</v>
      </c>
      <c r="D76" t="str">
        <f>IFERROR(__xludf.DUMMYFUNCTION("""COMPUTED_VALUE"""),"")</f>
        <v/>
      </c>
      <c r="E76" s="2">
        <f>IFERROR(__xludf.DUMMYFUNCTION("""COMPUTED_VALUE"""),291501.0)</f>
        <v>291501</v>
      </c>
      <c r="F76">
        <f>IFERROR(__xludf.DUMMYFUNCTION("""COMPUTED_VALUE"""),10.1)</f>
        <v>10.1</v>
      </c>
    </row>
    <row r="77">
      <c r="A77" t="str">
        <f>IFERROR(__xludf.DUMMYFUNCTION("""COMPUTED_VALUE"""),"*1852*")</f>
        <v>*1852*</v>
      </c>
      <c r="B77" t="str">
        <f>IFERROR(__xludf.DUMMYFUNCTION("""COMPUTED_VALUE"""),"Franklin Pierce")</f>
        <v>Franklin Pierce</v>
      </c>
      <c r="C77" t="str">
        <f>IFERROR(__xludf.DUMMYFUNCTION("""COMPUTED_VALUE"""),"Democratic")</f>
        <v>Democratic</v>
      </c>
      <c r="D77">
        <f>IFERROR(__xludf.DUMMYFUNCTION("""COMPUTED_VALUE"""),254.0)</f>
        <v>254</v>
      </c>
      <c r="E77" s="2">
        <f>IFERROR(__xludf.DUMMYFUNCTION("""COMPUTED_VALUE"""),1601274.0)</f>
        <v>1601274</v>
      </c>
      <c r="F77">
        <f>IFERROR(__xludf.DUMMYFUNCTION("""COMPUTED_VALUE"""),50.8)</f>
        <v>50.8</v>
      </c>
    </row>
    <row r="78">
      <c r="A78" t="str">
        <f>IFERROR(__xludf.DUMMYFUNCTION("""COMPUTED_VALUE"""),"")</f>
        <v/>
      </c>
      <c r="B78" t="str">
        <f>IFERROR(__xludf.DUMMYFUNCTION("""COMPUTED_VALUE"""),"Winfield Scott")</f>
        <v>Winfield Scott</v>
      </c>
      <c r="C78" t="str">
        <f>IFERROR(__xludf.DUMMYFUNCTION("""COMPUTED_VALUE"""),"Whig")</f>
        <v>Whig</v>
      </c>
      <c r="D78">
        <f>IFERROR(__xludf.DUMMYFUNCTION("""COMPUTED_VALUE"""),42.0)</f>
        <v>42</v>
      </c>
      <c r="E78" s="2">
        <f>IFERROR(__xludf.DUMMYFUNCTION("""COMPUTED_VALUE"""),1386580.0)</f>
        <v>1386580</v>
      </c>
      <c r="F78">
        <f>IFERROR(__xludf.DUMMYFUNCTION("""COMPUTED_VALUE"""),43.9)</f>
        <v>43.9</v>
      </c>
    </row>
    <row r="79">
      <c r="A79" t="str">
        <f>IFERROR(__xludf.DUMMYFUNCTION("""COMPUTED_VALUE"""),"")</f>
        <v/>
      </c>
      <c r="B79" t="str">
        <f>IFERROR(__xludf.DUMMYFUNCTION("""COMPUTED_VALUE"""),"John Parker Hale")</f>
        <v>John Parker Hale</v>
      </c>
      <c r="C79" t="str">
        <f>IFERROR(__xludf.DUMMYFUNCTION("""COMPUTED_VALUE"""),"Free Soil")</f>
        <v>Free Soil</v>
      </c>
      <c r="D79" t="str">
        <f>IFERROR(__xludf.DUMMYFUNCTION("""COMPUTED_VALUE"""),"")</f>
        <v/>
      </c>
      <c r="E79" s="2">
        <f>IFERROR(__xludf.DUMMYFUNCTION("""COMPUTED_VALUE"""),155210.0)</f>
        <v>155210</v>
      </c>
      <c r="F79">
        <f>IFERROR(__xludf.DUMMYFUNCTION("""COMPUTED_VALUE"""),4.9)</f>
        <v>4.9</v>
      </c>
    </row>
    <row r="80">
      <c r="A80" t="str">
        <f>IFERROR(__xludf.DUMMYFUNCTION("""COMPUTED_VALUE"""),"*1856*")</f>
        <v>*1856*</v>
      </c>
      <c r="B80" t="str">
        <f>IFERROR(__xludf.DUMMYFUNCTION("""COMPUTED_VALUE"""),"James Buchanan")</f>
        <v>James Buchanan</v>
      </c>
      <c r="C80" t="str">
        <f>IFERROR(__xludf.DUMMYFUNCTION("""COMPUTED_VALUE"""),"Democratic")</f>
        <v>Democratic</v>
      </c>
      <c r="D80">
        <f>IFERROR(__xludf.DUMMYFUNCTION("""COMPUTED_VALUE"""),174.0)</f>
        <v>174</v>
      </c>
      <c r="E80" s="2">
        <f>IFERROR(__xludf.DUMMYFUNCTION("""COMPUTED_VALUE"""),1838169.0)</f>
        <v>1838169</v>
      </c>
      <c r="F80">
        <f>IFERROR(__xludf.DUMMYFUNCTION("""COMPUTED_VALUE"""),45.3)</f>
        <v>45.3</v>
      </c>
    </row>
    <row r="81">
      <c r="A81" t="str">
        <f>IFERROR(__xludf.DUMMYFUNCTION("""COMPUTED_VALUE"""),"")</f>
        <v/>
      </c>
      <c r="B81" t="str">
        <f>IFERROR(__xludf.DUMMYFUNCTION("""COMPUTED_VALUE"""),"John C. Frémont")</f>
        <v>John C. Frémont</v>
      </c>
      <c r="C81" t="str">
        <f>IFERROR(__xludf.DUMMYFUNCTION("""COMPUTED_VALUE"""),"Republican")</f>
        <v>Republican</v>
      </c>
      <c r="D81">
        <f>IFERROR(__xludf.DUMMYFUNCTION("""COMPUTED_VALUE"""),114.0)</f>
        <v>114</v>
      </c>
      <c r="E81" s="2">
        <f>IFERROR(__xludf.DUMMYFUNCTION("""COMPUTED_VALUE"""),1341264.0)</f>
        <v>1341264</v>
      </c>
      <c r="F81">
        <f>IFERROR(__xludf.DUMMYFUNCTION("""COMPUTED_VALUE"""),33.1)</f>
        <v>33.1</v>
      </c>
    </row>
    <row r="82">
      <c r="A82" t="str">
        <f>IFERROR(__xludf.DUMMYFUNCTION("""COMPUTED_VALUE"""),"")</f>
        <v/>
      </c>
      <c r="B82" t="str">
        <f>IFERROR(__xludf.DUMMYFUNCTION("""COMPUTED_VALUE"""),"Millard Fillmore")</f>
        <v>Millard Fillmore</v>
      </c>
      <c r="C82" t="str">
        <f>IFERROR(__xludf.DUMMYFUNCTION("""COMPUTED_VALUE"""),"American (Know-Nothing)")</f>
        <v>American (Know-Nothing)</v>
      </c>
      <c r="D82">
        <f>IFERROR(__xludf.DUMMYFUNCTION("""COMPUTED_VALUE"""),8.0)</f>
        <v>8</v>
      </c>
      <c r="E82" s="2">
        <f>IFERROR(__xludf.DUMMYFUNCTION("""COMPUTED_VALUE"""),873053.0)</f>
        <v>873053</v>
      </c>
      <c r="F82">
        <f>IFERROR(__xludf.DUMMYFUNCTION("""COMPUTED_VALUE"""),21.5)</f>
        <v>21.5</v>
      </c>
    </row>
    <row r="83">
      <c r="A83" t="str">
        <f>IFERROR(__xludf.DUMMYFUNCTION("""COMPUTED_VALUE"""),"*1860*")</f>
        <v>*1860*</v>
      </c>
      <c r="B83" t="str">
        <f>IFERROR(__xludf.DUMMYFUNCTION("""COMPUTED_VALUE"""),"Abraham Lincoln")</f>
        <v>Abraham Lincoln</v>
      </c>
      <c r="C83" t="str">
        <f>IFERROR(__xludf.DUMMYFUNCTION("""COMPUTED_VALUE"""),"Republican")</f>
        <v>Republican</v>
      </c>
      <c r="D83">
        <f>IFERROR(__xludf.DUMMYFUNCTION("""COMPUTED_VALUE"""),180.0)</f>
        <v>180</v>
      </c>
      <c r="E83" s="2">
        <f>IFERROR(__xludf.DUMMYFUNCTION("""COMPUTED_VALUE"""),1866452.0)</f>
        <v>1866452</v>
      </c>
      <c r="F83">
        <f>IFERROR(__xludf.DUMMYFUNCTION("""COMPUTED_VALUE"""),39.9)</f>
        <v>39.9</v>
      </c>
    </row>
    <row r="84">
      <c r="A84" t="str">
        <f>IFERROR(__xludf.DUMMYFUNCTION("""COMPUTED_VALUE"""),"")</f>
        <v/>
      </c>
      <c r="B84" t="str">
        <f>IFERROR(__xludf.DUMMYFUNCTION("""COMPUTED_VALUE"""),"John C. Breckinridge")</f>
        <v>John C. Breckinridge</v>
      </c>
      <c r="C84" t="str">
        <f>IFERROR(__xludf.DUMMYFUNCTION("""COMPUTED_VALUE"""),"Southern Democratic")</f>
        <v>Southern Democratic</v>
      </c>
      <c r="D84">
        <f>IFERROR(__xludf.DUMMYFUNCTION("""COMPUTED_VALUE"""),72.0)</f>
        <v>72</v>
      </c>
      <c r="E84" s="2">
        <f>IFERROR(__xludf.DUMMYFUNCTION("""COMPUTED_VALUE"""),847953.0)</f>
        <v>847953</v>
      </c>
      <c r="F84">
        <f>IFERROR(__xludf.DUMMYFUNCTION("""COMPUTED_VALUE"""),18.1)</f>
        <v>18.1</v>
      </c>
    </row>
    <row r="85">
      <c r="A85" t="str">
        <f>IFERROR(__xludf.DUMMYFUNCTION("""COMPUTED_VALUE"""),"")</f>
        <v/>
      </c>
      <c r="B85" t="str">
        <f>IFERROR(__xludf.DUMMYFUNCTION("""COMPUTED_VALUE"""),"Stephen A. Douglas")</f>
        <v>Stephen A. Douglas</v>
      </c>
      <c r="C85" t="str">
        <f>IFERROR(__xludf.DUMMYFUNCTION("""COMPUTED_VALUE"""),"Democratic")</f>
        <v>Democratic</v>
      </c>
      <c r="D85">
        <f>IFERROR(__xludf.DUMMYFUNCTION("""COMPUTED_VALUE"""),12.0)</f>
        <v>12</v>
      </c>
      <c r="E85" s="2">
        <f>IFERROR(__xludf.DUMMYFUNCTION("""COMPUTED_VALUE"""),1380202.0)</f>
        <v>1380202</v>
      </c>
      <c r="F85">
        <f>IFERROR(__xludf.DUMMYFUNCTION("""COMPUTED_VALUE"""),29.5)</f>
        <v>29.5</v>
      </c>
    </row>
    <row r="86">
      <c r="A86" t="str">
        <f>IFERROR(__xludf.DUMMYFUNCTION("""COMPUTED_VALUE"""),"")</f>
        <v/>
      </c>
      <c r="B86" t="str">
        <f>IFERROR(__xludf.DUMMYFUNCTION("""COMPUTED_VALUE"""),"John Bell")</f>
        <v>John Bell</v>
      </c>
      <c r="C86" t="str">
        <f>IFERROR(__xludf.DUMMYFUNCTION("""COMPUTED_VALUE"""),"Constitutional Union")</f>
        <v>Constitutional Union</v>
      </c>
      <c r="D86">
        <f>IFERROR(__xludf.DUMMYFUNCTION("""COMPUTED_VALUE"""),39.0)</f>
        <v>39</v>
      </c>
      <c r="E86" s="2">
        <f>IFERROR(__xludf.DUMMYFUNCTION("""COMPUTED_VALUE"""),590901.0)</f>
        <v>590901</v>
      </c>
      <c r="F86">
        <f>IFERROR(__xludf.DUMMYFUNCTION("""COMPUTED_VALUE"""),12.6)</f>
        <v>12.6</v>
      </c>
    </row>
    <row r="87">
      <c r="A87" t="str">
        <f>IFERROR(__xludf.DUMMYFUNCTION("""COMPUTED_VALUE"""),"*1864*")</f>
        <v>*1864*</v>
      </c>
      <c r="B87" t="str">
        <f>IFERROR(__xludf.DUMMYFUNCTION("""COMPUTED_VALUE"""),"Abraham Lincoln")</f>
        <v>Abraham Lincoln</v>
      </c>
      <c r="C87" t="str">
        <f>IFERROR(__xludf.DUMMYFUNCTION("""COMPUTED_VALUE"""),"Republican")</f>
        <v>Republican</v>
      </c>
      <c r="D87">
        <f>IFERROR(__xludf.DUMMYFUNCTION("""COMPUTED_VALUE"""),212.0)</f>
        <v>212</v>
      </c>
      <c r="E87" s="2">
        <f>IFERROR(__xludf.DUMMYFUNCTION("""COMPUTED_VALUE"""),2213665.0)</f>
        <v>2213665</v>
      </c>
      <c r="F87">
        <f>IFERROR(__xludf.DUMMYFUNCTION("""COMPUTED_VALUE"""),55.0)</f>
        <v>55</v>
      </c>
    </row>
    <row r="88">
      <c r="A88" t="str">
        <f>IFERROR(__xludf.DUMMYFUNCTION("""COMPUTED_VALUE"""),"")</f>
        <v/>
      </c>
      <c r="B88" t="str">
        <f>IFERROR(__xludf.DUMMYFUNCTION("""COMPUTED_VALUE"""),"George B. McClellan")</f>
        <v>George B. McClellan</v>
      </c>
      <c r="C88" t="str">
        <f>IFERROR(__xludf.DUMMYFUNCTION("""COMPUTED_VALUE"""),"Democratic")</f>
        <v>Democratic</v>
      </c>
      <c r="D88">
        <f>IFERROR(__xludf.DUMMYFUNCTION("""COMPUTED_VALUE"""),21.0)</f>
        <v>21</v>
      </c>
      <c r="E88" s="2">
        <f>IFERROR(__xludf.DUMMYFUNCTION("""COMPUTED_VALUE"""),1805237.0)</f>
        <v>1805237</v>
      </c>
      <c r="F88">
        <f>IFERROR(__xludf.DUMMYFUNCTION("""COMPUTED_VALUE"""),45.0)</f>
        <v>45</v>
      </c>
    </row>
    <row r="89">
      <c r="A89" t="str">
        <f>IFERROR(__xludf.DUMMYFUNCTION("""COMPUTED_VALUE"""),"")</f>
        <v/>
      </c>
      <c r="B89" t="str">
        <f>IFERROR(__xludf.DUMMYFUNCTION("""COMPUTED_VALUE"""),"not voted")</f>
        <v>not voted</v>
      </c>
      <c r="C89" t="str">
        <f>IFERROR(__xludf.DUMMYFUNCTION("""COMPUTED_VALUE"""),"")</f>
        <v/>
      </c>
      <c r="D89">
        <f>IFERROR(__xludf.DUMMYFUNCTION("""COMPUTED_VALUE"""),81.0)</f>
        <v>81</v>
      </c>
      <c r="E89" t="str">
        <f>IFERROR(__xludf.DUMMYFUNCTION("""COMPUTED_VALUE"""),"")</f>
        <v/>
      </c>
      <c r="F89" t="str">
        <f>IFERROR(__xludf.DUMMYFUNCTION("""COMPUTED_VALUE"""),"")</f>
        <v/>
      </c>
    </row>
    <row r="90">
      <c r="A90" t="str">
        <f>IFERROR(__xludf.DUMMYFUNCTION("""COMPUTED_VALUE"""),"*1868*")</f>
        <v>*1868*</v>
      </c>
      <c r="B90" t="str">
        <f>IFERROR(__xludf.DUMMYFUNCTION("""COMPUTED_VALUE"""),"Ulysses S. Grant")</f>
        <v>Ulysses S. Grant</v>
      </c>
      <c r="C90" t="str">
        <f>IFERROR(__xludf.DUMMYFUNCTION("""COMPUTED_VALUE"""),"Republican")</f>
        <v>Republican</v>
      </c>
      <c r="D90">
        <f>IFERROR(__xludf.DUMMYFUNCTION("""COMPUTED_VALUE"""),214.0)</f>
        <v>214</v>
      </c>
      <c r="E90" s="2">
        <f>IFERROR(__xludf.DUMMYFUNCTION("""COMPUTED_VALUE"""),3012833.0)</f>
        <v>3012833</v>
      </c>
      <c r="F90">
        <f>IFERROR(__xludf.DUMMYFUNCTION("""COMPUTED_VALUE"""),52.7)</f>
        <v>52.7</v>
      </c>
    </row>
    <row r="91">
      <c r="A91" t="str">
        <f>IFERROR(__xludf.DUMMYFUNCTION("""COMPUTED_VALUE"""),"")</f>
        <v/>
      </c>
      <c r="B91" t="str">
        <f>IFERROR(__xludf.DUMMYFUNCTION("""COMPUTED_VALUE"""),"Horatio Seymour")</f>
        <v>Horatio Seymour</v>
      </c>
      <c r="C91" t="str">
        <f>IFERROR(__xludf.DUMMYFUNCTION("""COMPUTED_VALUE"""),"Democratic")</f>
        <v>Democratic</v>
      </c>
      <c r="D91">
        <f>IFERROR(__xludf.DUMMYFUNCTION("""COMPUTED_VALUE"""),80.0)</f>
        <v>80</v>
      </c>
      <c r="E91" s="2">
        <f>IFERROR(__xludf.DUMMYFUNCTION("""COMPUTED_VALUE"""),2703249.0)</f>
        <v>2703249</v>
      </c>
      <c r="F91">
        <f>IFERROR(__xludf.DUMMYFUNCTION("""COMPUTED_VALUE"""),47.3)</f>
        <v>47.3</v>
      </c>
    </row>
    <row r="92">
      <c r="A92" t="str">
        <f>IFERROR(__xludf.DUMMYFUNCTION("""COMPUTED_VALUE"""),"")</f>
        <v/>
      </c>
      <c r="B92" t="str">
        <f>IFERROR(__xludf.DUMMYFUNCTION("""COMPUTED_VALUE"""),"not voted")</f>
        <v>not voted</v>
      </c>
      <c r="C92" t="str">
        <f>IFERROR(__xludf.DUMMYFUNCTION("""COMPUTED_VALUE"""),"")</f>
        <v/>
      </c>
      <c r="D92">
        <f>IFERROR(__xludf.DUMMYFUNCTION("""COMPUTED_VALUE"""),23.0)</f>
        <v>23</v>
      </c>
      <c r="E92" t="str">
        <f>IFERROR(__xludf.DUMMYFUNCTION("""COMPUTED_VALUE"""),"")</f>
        <v/>
      </c>
      <c r="F92" t="str">
        <f>IFERROR(__xludf.DUMMYFUNCTION("""COMPUTED_VALUE"""),"")</f>
        <v/>
      </c>
    </row>
    <row r="93">
      <c r="A93" t="str">
        <f>IFERROR(__xludf.DUMMYFUNCTION("""COMPUTED_VALUE"""),"*1872*")</f>
        <v>*1872*</v>
      </c>
      <c r="B93" t="str">
        <f>IFERROR(__xludf.DUMMYFUNCTION("""COMPUTED_VALUE"""),"Ulysses S. Grant")</f>
        <v>Ulysses S. Grant</v>
      </c>
      <c r="C93" t="str">
        <f>IFERROR(__xludf.DUMMYFUNCTION("""COMPUTED_VALUE"""),"Republican")</f>
        <v>Republican</v>
      </c>
      <c r="D93">
        <f>IFERROR(__xludf.DUMMYFUNCTION("""COMPUTED_VALUE"""),286.0)</f>
        <v>286</v>
      </c>
      <c r="E93" s="2">
        <f>IFERROR(__xludf.DUMMYFUNCTION("""COMPUTED_VALUE"""),3597132.0)</f>
        <v>3597132</v>
      </c>
      <c r="F93">
        <f>IFERROR(__xludf.DUMMYFUNCTION("""COMPUTED_VALUE"""),55.6)</f>
        <v>55.6</v>
      </c>
    </row>
    <row r="94">
      <c r="A94" t="str">
        <f>IFERROR(__xludf.DUMMYFUNCTION("""COMPUTED_VALUE"""),"")</f>
        <v/>
      </c>
      <c r="B94" t="str">
        <f>IFERROR(__xludf.DUMMYFUNCTION("""COMPUTED_VALUE"""),"Horace Greeley 8")</f>
        <v>Horace Greeley 8</v>
      </c>
      <c r="C94" t="str">
        <f>IFERROR(__xludf.DUMMYFUNCTION("""COMPUTED_VALUE"""),"Democratic/Liberal Republican")</f>
        <v>Democratic/Liberal Republican</v>
      </c>
      <c r="D94" t="str">
        <f>IFERROR(__xludf.DUMMYFUNCTION("""COMPUTED_VALUE"""),"")</f>
        <v/>
      </c>
      <c r="E94" s="2">
        <f>IFERROR(__xludf.DUMMYFUNCTION("""COMPUTED_VALUE"""),2834125.0)</f>
        <v>2834125</v>
      </c>
      <c r="F94">
        <f>IFERROR(__xludf.DUMMYFUNCTION("""COMPUTED_VALUE"""),43.8)</f>
        <v>43.8</v>
      </c>
    </row>
    <row r="95">
      <c r="A95" t="str">
        <f>IFERROR(__xludf.DUMMYFUNCTION("""COMPUTED_VALUE"""),"")</f>
        <v/>
      </c>
      <c r="B95" t="str">
        <f>IFERROR(__xludf.DUMMYFUNCTION("""COMPUTED_VALUE"""),"Thomas A. Hendricks")</f>
        <v>Thomas A. Hendricks</v>
      </c>
      <c r="C95" t="str">
        <f>IFERROR(__xludf.DUMMYFUNCTION("""COMPUTED_VALUE"""),"Independent-Democratic")</f>
        <v>Independent-Democratic</v>
      </c>
      <c r="D95">
        <f>IFERROR(__xludf.DUMMYFUNCTION("""COMPUTED_VALUE"""),42.0)</f>
        <v>42</v>
      </c>
      <c r="E95" t="str">
        <f>IFERROR(__xludf.DUMMYFUNCTION("""COMPUTED_VALUE"""),"")</f>
        <v/>
      </c>
      <c r="F95" t="str">
        <f>IFERROR(__xludf.DUMMYFUNCTION("""COMPUTED_VALUE"""),"")</f>
        <v/>
      </c>
    </row>
    <row r="96">
      <c r="A96" t="str">
        <f>IFERROR(__xludf.DUMMYFUNCTION("""COMPUTED_VALUE"""),"")</f>
        <v/>
      </c>
      <c r="B96" t="str">
        <f>IFERROR(__xludf.DUMMYFUNCTION("""COMPUTED_VALUE"""),"B. Gratz Brown")</f>
        <v>B. Gratz Brown</v>
      </c>
      <c r="C96" t="str">
        <f>IFERROR(__xludf.DUMMYFUNCTION("""COMPUTED_VALUE"""),"Democratic")</f>
        <v>Democratic</v>
      </c>
      <c r="D96">
        <f>IFERROR(__xludf.DUMMYFUNCTION("""COMPUTED_VALUE"""),18.0)</f>
        <v>18</v>
      </c>
      <c r="E96" t="str">
        <f>IFERROR(__xludf.DUMMYFUNCTION("""COMPUTED_VALUE"""),"")</f>
        <v/>
      </c>
      <c r="F96" t="str">
        <f>IFERROR(__xludf.DUMMYFUNCTION("""COMPUTED_VALUE"""),"")</f>
        <v/>
      </c>
    </row>
    <row r="97">
      <c r="A97" t="str">
        <f>IFERROR(__xludf.DUMMYFUNCTION("""COMPUTED_VALUE"""),"")</f>
        <v/>
      </c>
      <c r="B97" t="str">
        <f>IFERROR(__xludf.DUMMYFUNCTION("""COMPUTED_VALUE"""),"Charles J. Jenkins")</f>
        <v>Charles J. Jenkins</v>
      </c>
      <c r="C97" t="str">
        <f>IFERROR(__xludf.DUMMYFUNCTION("""COMPUTED_VALUE"""),"Democratic")</f>
        <v>Democratic</v>
      </c>
      <c r="D97">
        <f>IFERROR(__xludf.DUMMYFUNCTION("""COMPUTED_VALUE"""),2.0)</f>
        <v>2</v>
      </c>
      <c r="E97" t="str">
        <f>IFERROR(__xludf.DUMMYFUNCTION("""COMPUTED_VALUE"""),"")</f>
        <v/>
      </c>
      <c r="F97" t="str">
        <f>IFERROR(__xludf.DUMMYFUNCTION("""COMPUTED_VALUE"""),"")</f>
        <v/>
      </c>
    </row>
    <row r="98">
      <c r="A98" t="str">
        <f>IFERROR(__xludf.DUMMYFUNCTION("""COMPUTED_VALUE"""),"")</f>
        <v/>
      </c>
      <c r="B98" t="str">
        <f>IFERROR(__xludf.DUMMYFUNCTION("""COMPUTED_VALUE"""),"David Davis")</f>
        <v>David Davis</v>
      </c>
      <c r="C98" t="str">
        <f>IFERROR(__xludf.DUMMYFUNCTION("""COMPUTED_VALUE"""),"Democratic")</f>
        <v>Democratic</v>
      </c>
      <c r="D98">
        <f>IFERROR(__xludf.DUMMYFUNCTION("""COMPUTED_VALUE"""),1.0)</f>
        <v>1</v>
      </c>
      <c r="E98" t="str">
        <f>IFERROR(__xludf.DUMMYFUNCTION("""COMPUTED_VALUE"""),"")</f>
        <v/>
      </c>
      <c r="F98" t="str">
        <f>IFERROR(__xludf.DUMMYFUNCTION("""COMPUTED_VALUE"""),"")</f>
        <v/>
      </c>
    </row>
    <row r="99">
      <c r="A99" t="str">
        <f>IFERROR(__xludf.DUMMYFUNCTION("""COMPUTED_VALUE"""),"")</f>
        <v/>
      </c>
      <c r="B99" t="str">
        <f>IFERROR(__xludf.DUMMYFUNCTION("""COMPUTED_VALUE"""),"not voted")</f>
        <v>not voted</v>
      </c>
      <c r="C99" t="str">
        <f>IFERROR(__xludf.DUMMYFUNCTION("""COMPUTED_VALUE"""),"")</f>
        <v/>
      </c>
      <c r="D99">
        <f>IFERROR(__xludf.DUMMYFUNCTION("""COMPUTED_VALUE"""),17.0)</f>
        <v>17</v>
      </c>
      <c r="E99" t="str">
        <f>IFERROR(__xludf.DUMMYFUNCTION("""COMPUTED_VALUE"""),"")</f>
        <v/>
      </c>
      <c r="F99" t="str">
        <f>IFERROR(__xludf.DUMMYFUNCTION("""COMPUTED_VALUE"""),"")</f>
        <v/>
      </c>
    </row>
    <row r="100">
      <c r="A100" t="str">
        <f>IFERROR(__xludf.DUMMYFUNCTION("""COMPUTED_VALUE"""),"*1876*")</f>
        <v>*1876*</v>
      </c>
      <c r="B100" t="str">
        <f>IFERROR(__xludf.DUMMYFUNCTION("""COMPUTED_VALUE"""),"Rutherford B. Hayes")</f>
        <v>Rutherford B. Hayes</v>
      </c>
      <c r="C100" t="str">
        <f>IFERROR(__xludf.DUMMYFUNCTION("""COMPUTED_VALUE"""),"Republican")</f>
        <v>Republican</v>
      </c>
      <c r="D100">
        <f>IFERROR(__xludf.DUMMYFUNCTION("""COMPUTED_VALUE"""),185.0)</f>
        <v>185</v>
      </c>
      <c r="E100" s="2">
        <f>IFERROR(__xludf.DUMMYFUNCTION("""COMPUTED_VALUE"""),4036298.0)</f>
        <v>4036298</v>
      </c>
      <c r="F100">
        <f>IFERROR(__xludf.DUMMYFUNCTION("""COMPUTED_VALUE"""),48.0)</f>
        <v>48</v>
      </c>
    </row>
    <row r="101">
      <c r="A101" t="str">
        <f>IFERROR(__xludf.DUMMYFUNCTION("""COMPUTED_VALUE"""),"")</f>
        <v/>
      </c>
      <c r="B101" t="str">
        <f>IFERROR(__xludf.DUMMYFUNCTION("""COMPUTED_VALUE"""),"Samuel J. Tilden")</f>
        <v>Samuel J. Tilden</v>
      </c>
      <c r="C101" t="str">
        <f>IFERROR(__xludf.DUMMYFUNCTION("""COMPUTED_VALUE"""),"Democratic")</f>
        <v>Democratic</v>
      </c>
      <c r="D101">
        <f>IFERROR(__xludf.DUMMYFUNCTION("""COMPUTED_VALUE"""),184.0)</f>
        <v>184</v>
      </c>
      <c r="E101" s="2">
        <f>IFERROR(__xludf.DUMMYFUNCTION("""COMPUTED_VALUE"""),4300590.0)</f>
        <v>4300590</v>
      </c>
      <c r="F101">
        <f>IFERROR(__xludf.DUMMYFUNCTION("""COMPUTED_VALUE"""),51.0)</f>
        <v>51</v>
      </c>
    </row>
    <row r="102">
      <c r="A102" t="str">
        <f>IFERROR(__xludf.DUMMYFUNCTION("""COMPUTED_VALUE"""),"*1880*")</f>
        <v>*1880*</v>
      </c>
      <c r="B102" t="str">
        <f>IFERROR(__xludf.DUMMYFUNCTION("""COMPUTED_VALUE"""),"James A. Garfield")</f>
        <v>James A. Garfield</v>
      </c>
      <c r="C102" t="str">
        <f>IFERROR(__xludf.DUMMYFUNCTION("""COMPUTED_VALUE"""),"Republican")</f>
        <v>Republican</v>
      </c>
      <c r="D102">
        <f>IFERROR(__xludf.DUMMYFUNCTION("""COMPUTED_VALUE"""),214.0)</f>
        <v>214</v>
      </c>
      <c r="E102" s="2">
        <f>IFERROR(__xludf.DUMMYFUNCTION("""COMPUTED_VALUE"""),4454416.0)</f>
        <v>4454416</v>
      </c>
      <c r="F102">
        <f>IFERROR(__xludf.DUMMYFUNCTION("""COMPUTED_VALUE"""),48.3)</f>
        <v>48.3</v>
      </c>
    </row>
    <row r="103">
      <c r="A103" t="str">
        <f>IFERROR(__xludf.DUMMYFUNCTION("""COMPUTED_VALUE"""),"")</f>
        <v/>
      </c>
      <c r="B103" t="str">
        <f>IFERROR(__xludf.DUMMYFUNCTION("""COMPUTED_VALUE"""),"Winfield Scott Hancock")</f>
        <v>Winfield Scott Hancock</v>
      </c>
      <c r="C103" t="str">
        <f>IFERROR(__xludf.DUMMYFUNCTION("""COMPUTED_VALUE"""),"Democratic")</f>
        <v>Democratic</v>
      </c>
      <c r="D103">
        <f>IFERROR(__xludf.DUMMYFUNCTION("""COMPUTED_VALUE"""),155.0)</f>
        <v>155</v>
      </c>
      <c r="E103" s="2">
        <f>IFERROR(__xludf.DUMMYFUNCTION("""COMPUTED_VALUE"""),4444952.0)</f>
        <v>4444952</v>
      </c>
      <c r="F103">
        <f>IFERROR(__xludf.DUMMYFUNCTION("""COMPUTED_VALUE"""),48.2)</f>
        <v>48.2</v>
      </c>
    </row>
    <row r="104">
      <c r="A104" t="str">
        <f>IFERROR(__xludf.DUMMYFUNCTION("""COMPUTED_VALUE"""),"")</f>
        <v/>
      </c>
      <c r="B104" t="str">
        <f>IFERROR(__xludf.DUMMYFUNCTION("""COMPUTED_VALUE"""),"James B. Weaver")</f>
        <v>James B. Weaver</v>
      </c>
      <c r="C104" t="str">
        <f>IFERROR(__xludf.DUMMYFUNCTION("""COMPUTED_VALUE"""),"Greenback")</f>
        <v>Greenback</v>
      </c>
      <c r="D104" t="str">
        <f>IFERROR(__xludf.DUMMYFUNCTION("""COMPUTED_VALUE"""),"")</f>
        <v/>
      </c>
      <c r="E104" s="2">
        <f>IFERROR(__xludf.DUMMYFUNCTION("""COMPUTED_VALUE"""),305997.0)</f>
        <v>305997</v>
      </c>
      <c r="F104">
        <f>IFERROR(__xludf.DUMMYFUNCTION("""COMPUTED_VALUE"""),3.3)</f>
        <v>3.3</v>
      </c>
    </row>
    <row r="105">
      <c r="A105" t="str">
        <f>IFERROR(__xludf.DUMMYFUNCTION("""COMPUTED_VALUE"""),"*1884*")</f>
        <v>*1884*</v>
      </c>
      <c r="B105" t="str">
        <f>IFERROR(__xludf.DUMMYFUNCTION("""COMPUTED_VALUE"""),"Grover Cleveland")</f>
        <v>Grover Cleveland</v>
      </c>
      <c r="C105" t="str">
        <f>IFERROR(__xludf.DUMMYFUNCTION("""COMPUTED_VALUE"""),"Democratic")</f>
        <v>Democratic</v>
      </c>
      <c r="D105">
        <f>IFERROR(__xludf.DUMMYFUNCTION("""COMPUTED_VALUE"""),219.0)</f>
        <v>219</v>
      </c>
      <c r="E105" s="2">
        <f>IFERROR(__xludf.DUMMYFUNCTION("""COMPUTED_VALUE"""),4874986.0)</f>
        <v>4874986</v>
      </c>
      <c r="F105">
        <f>IFERROR(__xludf.DUMMYFUNCTION("""COMPUTED_VALUE"""),48.5)</f>
        <v>48.5</v>
      </c>
    </row>
    <row r="106">
      <c r="A106" t="str">
        <f>IFERROR(__xludf.DUMMYFUNCTION("""COMPUTED_VALUE"""),"")</f>
        <v/>
      </c>
      <c r="B106" t="str">
        <f>IFERROR(__xludf.DUMMYFUNCTION("""COMPUTED_VALUE"""),"James G. Blaine")</f>
        <v>James G. Blaine</v>
      </c>
      <c r="C106" t="str">
        <f>IFERROR(__xludf.DUMMYFUNCTION("""COMPUTED_VALUE"""),"Republican")</f>
        <v>Republican</v>
      </c>
      <c r="D106">
        <f>IFERROR(__xludf.DUMMYFUNCTION("""COMPUTED_VALUE"""),182.0)</f>
        <v>182</v>
      </c>
      <c r="E106" s="2">
        <f>IFERROR(__xludf.DUMMYFUNCTION("""COMPUTED_VALUE"""),4851981.0)</f>
        <v>4851981</v>
      </c>
      <c r="F106">
        <f>IFERROR(__xludf.DUMMYFUNCTION("""COMPUTED_VALUE"""),48.3)</f>
        <v>48.3</v>
      </c>
    </row>
    <row r="107">
      <c r="A107" t="str">
        <f>IFERROR(__xludf.DUMMYFUNCTION("""COMPUTED_VALUE"""),"*1888*")</f>
        <v>*1888*</v>
      </c>
      <c r="B107" t="str">
        <f>IFERROR(__xludf.DUMMYFUNCTION("""COMPUTED_VALUE"""),"Benjamin Harrison")</f>
        <v>Benjamin Harrison</v>
      </c>
      <c r="C107" t="str">
        <f>IFERROR(__xludf.DUMMYFUNCTION("""COMPUTED_VALUE"""),"Republican")</f>
        <v>Republican</v>
      </c>
      <c r="D107">
        <f>IFERROR(__xludf.DUMMYFUNCTION("""COMPUTED_VALUE"""),233.0)</f>
        <v>233</v>
      </c>
      <c r="E107" s="2">
        <f>IFERROR(__xludf.DUMMYFUNCTION("""COMPUTED_VALUE"""),5439853.0)</f>
        <v>5439853</v>
      </c>
      <c r="F107">
        <f>IFERROR(__xludf.DUMMYFUNCTION("""COMPUTED_VALUE"""),47.8)</f>
        <v>47.8</v>
      </c>
    </row>
    <row r="108">
      <c r="A108" t="str">
        <f>IFERROR(__xludf.DUMMYFUNCTION("""COMPUTED_VALUE"""),"")</f>
        <v/>
      </c>
      <c r="B108" t="str">
        <f>IFERROR(__xludf.DUMMYFUNCTION("""COMPUTED_VALUE"""),"Grover Cleveland")</f>
        <v>Grover Cleveland</v>
      </c>
      <c r="C108" t="str">
        <f>IFERROR(__xludf.DUMMYFUNCTION("""COMPUTED_VALUE"""),"Democratic")</f>
        <v>Democratic</v>
      </c>
      <c r="D108">
        <f>IFERROR(__xludf.DUMMYFUNCTION("""COMPUTED_VALUE"""),168.0)</f>
        <v>168</v>
      </c>
      <c r="E108" s="2">
        <f>IFERROR(__xludf.DUMMYFUNCTION("""COMPUTED_VALUE"""),5540309.0)</f>
        <v>5540309</v>
      </c>
      <c r="F108">
        <f>IFERROR(__xludf.DUMMYFUNCTION("""COMPUTED_VALUE"""),48.6)</f>
        <v>48.6</v>
      </c>
    </row>
    <row r="109">
      <c r="A109" t="str">
        <f>IFERROR(__xludf.DUMMYFUNCTION("""COMPUTED_VALUE"""),"")</f>
        <v/>
      </c>
      <c r="B109" t="str">
        <f>IFERROR(__xludf.DUMMYFUNCTION("""COMPUTED_VALUE"""),"Clinton B. Fisk")</f>
        <v>Clinton B. Fisk</v>
      </c>
      <c r="C109" t="str">
        <f>IFERROR(__xludf.DUMMYFUNCTION("""COMPUTED_VALUE"""),"Prohibition")</f>
        <v>Prohibition</v>
      </c>
      <c r="D109" t="str">
        <f>IFERROR(__xludf.DUMMYFUNCTION("""COMPUTED_VALUE"""),"")</f>
        <v/>
      </c>
      <c r="E109" s="2">
        <f>IFERROR(__xludf.DUMMYFUNCTION("""COMPUTED_VALUE"""),249819.0)</f>
        <v>249819</v>
      </c>
      <c r="F109">
        <f>IFERROR(__xludf.DUMMYFUNCTION("""COMPUTED_VALUE"""),2.2)</f>
        <v>2.2</v>
      </c>
    </row>
    <row r="110">
      <c r="A110" t="str">
        <f>IFERROR(__xludf.DUMMYFUNCTION("""COMPUTED_VALUE"""),"*1892*")</f>
        <v>*1892*</v>
      </c>
      <c r="B110" t="str">
        <f>IFERROR(__xludf.DUMMYFUNCTION("""COMPUTED_VALUE"""),"Grover Cleveland")</f>
        <v>Grover Cleveland</v>
      </c>
      <c r="C110" t="str">
        <f>IFERROR(__xludf.DUMMYFUNCTION("""COMPUTED_VALUE"""),"Democratic")</f>
        <v>Democratic</v>
      </c>
      <c r="D110">
        <f>IFERROR(__xludf.DUMMYFUNCTION("""COMPUTED_VALUE"""),277.0)</f>
        <v>277</v>
      </c>
      <c r="E110" s="2">
        <f>IFERROR(__xludf.DUMMYFUNCTION("""COMPUTED_VALUE"""),5556918.0)</f>
        <v>5556918</v>
      </c>
      <c r="F110">
        <f>IFERROR(__xludf.DUMMYFUNCTION("""COMPUTED_VALUE"""),46.1)</f>
        <v>46.1</v>
      </c>
    </row>
    <row r="111">
      <c r="A111" t="str">
        <f>IFERROR(__xludf.DUMMYFUNCTION("""COMPUTED_VALUE"""),"")</f>
        <v/>
      </c>
      <c r="B111" t="str">
        <f>IFERROR(__xludf.DUMMYFUNCTION("""COMPUTED_VALUE"""),"Benjamin Harrison")</f>
        <v>Benjamin Harrison</v>
      </c>
      <c r="C111" t="str">
        <f>IFERROR(__xludf.DUMMYFUNCTION("""COMPUTED_VALUE"""),"Republican")</f>
        <v>Republican</v>
      </c>
      <c r="D111">
        <f>IFERROR(__xludf.DUMMYFUNCTION("""COMPUTED_VALUE"""),145.0)</f>
        <v>145</v>
      </c>
      <c r="E111" s="2">
        <f>IFERROR(__xludf.DUMMYFUNCTION("""COMPUTED_VALUE"""),5176108.0)</f>
        <v>5176108</v>
      </c>
      <c r="F111">
        <f>IFERROR(__xludf.DUMMYFUNCTION("""COMPUTED_VALUE"""),43.0)</f>
        <v>43</v>
      </c>
    </row>
    <row r="112">
      <c r="A112" t="str">
        <f>IFERROR(__xludf.DUMMYFUNCTION("""COMPUTED_VALUE"""),"")</f>
        <v/>
      </c>
      <c r="B112" t="str">
        <f>IFERROR(__xludf.DUMMYFUNCTION("""COMPUTED_VALUE"""),"James B. Weaver")</f>
        <v>James B. Weaver</v>
      </c>
      <c r="C112" t="str">
        <f>IFERROR(__xludf.DUMMYFUNCTION("""COMPUTED_VALUE"""),"People's (Populist)")</f>
        <v>People's (Populist)</v>
      </c>
      <c r="D112">
        <f>IFERROR(__xludf.DUMMYFUNCTION("""COMPUTED_VALUE"""),22.0)</f>
        <v>22</v>
      </c>
      <c r="E112" s="2">
        <f>IFERROR(__xludf.DUMMYFUNCTION("""COMPUTED_VALUE"""),1027329.0)</f>
        <v>1027329</v>
      </c>
      <c r="F112">
        <f>IFERROR(__xludf.DUMMYFUNCTION("""COMPUTED_VALUE"""),8.5)</f>
        <v>8.5</v>
      </c>
    </row>
    <row r="113">
      <c r="A113" t="str">
        <f>IFERROR(__xludf.DUMMYFUNCTION("""COMPUTED_VALUE"""),"")</f>
        <v/>
      </c>
      <c r="B113" t="str">
        <f>IFERROR(__xludf.DUMMYFUNCTION("""COMPUTED_VALUE"""),"John Bidwell")</f>
        <v>John Bidwell</v>
      </c>
      <c r="C113" t="str">
        <f>IFERROR(__xludf.DUMMYFUNCTION("""COMPUTED_VALUE"""),"Prohibition")</f>
        <v>Prohibition</v>
      </c>
      <c r="D113" t="str">
        <f>IFERROR(__xludf.DUMMYFUNCTION("""COMPUTED_VALUE"""),"")</f>
        <v/>
      </c>
      <c r="E113" s="2">
        <f>IFERROR(__xludf.DUMMYFUNCTION("""COMPUTED_VALUE"""),270770.0)</f>
        <v>270770</v>
      </c>
      <c r="F113">
        <f>IFERROR(__xludf.DUMMYFUNCTION("""COMPUTED_VALUE"""),2.2)</f>
        <v>2.2</v>
      </c>
    </row>
    <row r="114">
      <c r="A114" t="str">
        <f>IFERROR(__xludf.DUMMYFUNCTION("""COMPUTED_VALUE"""),"*1896*")</f>
        <v>*1896*</v>
      </c>
      <c r="B114" t="str">
        <f>IFERROR(__xludf.DUMMYFUNCTION("""COMPUTED_VALUE"""),"William McKinley")</f>
        <v>William McKinley</v>
      </c>
      <c r="C114" t="str">
        <f>IFERROR(__xludf.DUMMYFUNCTION("""COMPUTED_VALUE"""),"Republican")</f>
        <v>Republican</v>
      </c>
      <c r="D114">
        <f>IFERROR(__xludf.DUMMYFUNCTION("""COMPUTED_VALUE"""),271.0)</f>
        <v>271</v>
      </c>
      <c r="E114" s="2">
        <f>IFERROR(__xludf.DUMMYFUNCTION("""COMPUTED_VALUE"""),7104779.0)</f>
        <v>7104779</v>
      </c>
      <c r="F114">
        <f>IFERROR(__xludf.DUMMYFUNCTION("""COMPUTED_VALUE"""),51.0)</f>
        <v>51</v>
      </c>
    </row>
    <row r="115">
      <c r="A115" t="str">
        <f>IFERROR(__xludf.DUMMYFUNCTION("""COMPUTED_VALUE"""),"")</f>
        <v/>
      </c>
      <c r="B115" t="str">
        <f>IFERROR(__xludf.DUMMYFUNCTION("""COMPUTED_VALUE"""),"William Jennings Bryan")</f>
        <v>William Jennings Bryan</v>
      </c>
      <c r="C115" t="str">
        <f>IFERROR(__xludf.DUMMYFUNCTION("""COMPUTED_VALUE"""),"Democratic 9")</f>
        <v>Democratic 9</v>
      </c>
      <c r="D115">
        <f>IFERROR(__xludf.DUMMYFUNCTION("""COMPUTED_VALUE"""),176.0)</f>
        <v>176</v>
      </c>
      <c r="E115" s="2">
        <f>IFERROR(__xludf.DUMMYFUNCTION("""COMPUTED_VALUE"""),6502925.0)</f>
        <v>6502925</v>
      </c>
      <c r="F115">
        <f>IFERROR(__xludf.DUMMYFUNCTION("""COMPUTED_VALUE"""),46.7)</f>
        <v>46.7</v>
      </c>
    </row>
    <row r="116">
      <c r="A116" t="str">
        <f>IFERROR(__xludf.DUMMYFUNCTION("""COMPUTED_VALUE"""),"*1900*")</f>
        <v>*1900*</v>
      </c>
      <c r="B116" t="str">
        <f>IFERROR(__xludf.DUMMYFUNCTION("""COMPUTED_VALUE"""),"William McKinley")</f>
        <v>William McKinley</v>
      </c>
      <c r="C116" t="str">
        <f>IFERROR(__xludf.DUMMYFUNCTION("""COMPUTED_VALUE"""),"Republican")</f>
        <v>Republican</v>
      </c>
      <c r="D116">
        <f>IFERROR(__xludf.DUMMYFUNCTION("""COMPUTED_VALUE"""),292.0)</f>
        <v>292</v>
      </c>
      <c r="E116" s="2">
        <f>IFERROR(__xludf.DUMMYFUNCTION("""COMPUTED_VALUE"""),7207923.0)</f>
        <v>7207923</v>
      </c>
      <c r="F116">
        <f>IFERROR(__xludf.DUMMYFUNCTION("""COMPUTED_VALUE"""),51.7)</f>
        <v>51.7</v>
      </c>
    </row>
    <row r="117">
      <c r="A117" t="str">
        <f>IFERROR(__xludf.DUMMYFUNCTION("""COMPUTED_VALUE"""),"")</f>
        <v/>
      </c>
      <c r="B117" t="str">
        <f>IFERROR(__xludf.DUMMYFUNCTION("""COMPUTED_VALUE"""),"William Jennings Bryan")</f>
        <v>William Jennings Bryan</v>
      </c>
      <c r="C117" t="str">
        <f>IFERROR(__xludf.DUMMYFUNCTION("""COMPUTED_VALUE"""),"Democratic 9")</f>
        <v>Democratic 9</v>
      </c>
      <c r="D117">
        <f>IFERROR(__xludf.DUMMYFUNCTION("""COMPUTED_VALUE"""),155.0)</f>
        <v>155</v>
      </c>
      <c r="E117" s="2">
        <f>IFERROR(__xludf.DUMMYFUNCTION("""COMPUTED_VALUE"""),6358133.0)</f>
        <v>6358133</v>
      </c>
      <c r="F117">
        <f>IFERROR(__xludf.DUMMYFUNCTION("""COMPUTED_VALUE"""),45.5)</f>
        <v>45.5</v>
      </c>
    </row>
    <row r="118">
      <c r="A118" t="str">
        <f>IFERROR(__xludf.DUMMYFUNCTION("""COMPUTED_VALUE"""),"*1904*")</f>
        <v>*1904*</v>
      </c>
      <c r="B118" t="str">
        <f>IFERROR(__xludf.DUMMYFUNCTION("""COMPUTED_VALUE"""),"Theodore Roosevelt")</f>
        <v>Theodore Roosevelt</v>
      </c>
      <c r="C118" t="str">
        <f>IFERROR(__xludf.DUMMYFUNCTION("""COMPUTED_VALUE"""),"Republican")</f>
        <v>Republican</v>
      </c>
      <c r="D118">
        <f>IFERROR(__xludf.DUMMYFUNCTION("""COMPUTED_VALUE"""),336.0)</f>
        <v>336</v>
      </c>
      <c r="E118" s="2">
        <f>IFERROR(__xludf.DUMMYFUNCTION("""COMPUTED_VALUE"""),7623486.0)</f>
        <v>7623486</v>
      </c>
      <c r="F118">
        <f>IFERROR(__xludf.DUMMYFUNCTION("""COMPUTED_VALUE"""),56.4)</f>
        <v>56.4</v>
      </c>
    </row>
    <row r="119">
      <c r="A119" t="str">
        <f>IFERROR(__xludf.DUMMYFUNCTION("""COMPUTED_VALUE"""),"")</f>
        <v/>
      </c>
      <c r="B119" t="str">
        <f>IFERROR(__xludf.DUMMYFUNCTION("""COMPUTED_VALUE"""),"Alton B. Parker")</f>
        <v>Alton B. Parker</v>
      </c>
      <c r="C119" t="str">
        <f>IFERROR(__xludf.DUMMYFUNCTION("""COMPUTED_VALUE"""),"Democratic")</f>
        <v>Democratic</v>
      </c>
      <c r="D119">
        <f>IFERROR(__xludf.DUMMYFUNCTION("""COMPUTED_VALUE"""),140.0)</f>
        <v>140</v>
      </c>
      <c r="E119" s="2">
        <f>IFERROR(__xludf.DUMMYFUNCTION("""COMPUTED_VALUE"""),5077911.0)</f>
        <v>5077911</v>
      </c>
      <c r="F119">
        <f>IFERROR(__xludf.DUMMYFUNCTION("""COMPUTED_VALUE"""),37.6)</f>
        <v>37.6</v>
      </c>
    </row>
    <row r="120">
      <c r="A120" t="str">
        <f>IFERROR(__xludf.DUMMYFUNCTION("""COMPUTED_VALUE"""),"")</f>
        <v/>
      </c>
      <c r="B120" t="str">
        <f>IFERROR(__xludf.DUMMYFUNCTION("""COMPUTED_VALUE"""),"Eugene V. Debs")</f>
        <v>Eugene V. Debs</v>
      </c>
      <c r="C120" t="str">
        <f>IFERROR(__xludf.DUMMYFUNCTION("""COMPUTED_VALUE"""),"Socialist")</f>
        <v>Socialist</v>
      </c>
      <c r="D120" t="str">
        <f>IFERROR(__xludf.DUMMYFUNCTION("""COMPUTED_VALUE"""),"")</f>
        <v/>
      </c>
      <c r="E120" s="2">
        <f>IFERROR(__xludf.DUMMYFUNCTION("""COMPUTED_VALUE"""),402489.0)</f>
        <v>402489</v>
      </c>
      <c r="F120">
        <f>IFERROR(__xludf.DUMMYFUNCTION("""COMPUTED_VALUE"""),3.0)</f>
        <v>3</v>
      </c>
    </row>
    <row r="121">
      <c r="A121" t="str">
        <f>IFERROR(__xludf.DUMMYFUNCTION("""COMPUTED_VALUE"""),"*1908*")</f>
        <v>*1908*</v>
      </c>
      <c r="B121" t="str">
        <f>IFERROR(__xludf.DUMMYFUNCTION("""COMPUTED_VALUE"""),"William Howard Taft")</f>
        <v>William Howard Taft</v>
      </c>
      <c r="C121" t="str">
        <f>IFERROR(__xludf.DUMMYFUNCTION("""COMPUTED_VALUE"""),"Republican")</f>
        <v>Republican</v>
      </c>
      <c r="D121">
        <f>IFERROR(__xludf.DUMMYFUNCTION("""COMPUTED_VALUE"""),321.0)</f>
        <v>321</v>
      </c>
      <c r="E121" s="2">
        <f>IFERROR(__xludf.DUMMYFUNCTION("""COMPUTED_VALUE"""),7678908.0)</f>
        <v>7678908</v>
      </c>
      <c r="F121">
        <f>IFERROR(__xludf.DUMMYFUNCTION("""COMPUTED_VALUE"""),51.6)</f>
        <v>51.6</v>
      </c>
    </row>
    <row r="122">
      <c r="A122" t="str">
        <f>IFERROR(__xludf.DUMMYFUNCTION("""COMPUTED_VALUE"""),"")</f>
        <v/>
      </c>
      <c r="B122" t="str">
        <f>IFERROR(__xludf.DUMMYFUNCTION("""COMPUTED_VALUE"""),"William Jennings Bryan")</f>
        <v>William Jennings Bryan</v>
      </c>
      <c r="C122" t="str">
        <f>IFERROR(__xludf.DUMMYFUNCTION("""COMPUTED_VALUE"""),"Democratic")</f>
        <v>Democratic</v>
      </c>
      <c r="D122">
        <f>IFERROR(__xludf.DUMMYFUNCTION("""COMPUTED_VALUE"""),162.0)</f>
        <v>162</v>
      </c>
      <c r="E122" s="2">
        <f>IFERROR(__xludf.DUMMYFUNCTION("""COMPUTED_VALUE"""),6409104.0)</f>
        <v>6409104</v>
      </c>
      <c r="F122">
        <f>IFERROR(__xludf.DUMMYFUNCTION("""COMPUTED_VALUE"""),43.0)</f>
        <v>43</v>
      </c>
    </row>
    <row r="123">
      <c r="A123" t="str">
        <f>IFERROR(__xludf.DUMMYFUNCTION("""COMPUTED_VALUE"""),"")</f>
        <v/>
      </c>
      <c r="B123" t="str">
        <f>IFERROR(__xludf.DUMMYFUNCTION("""COMPUTED_VALUE"""),"Eugene V. Debs")</f>
        <v>Eugene V. Debs</v>
      </c>
      <c r="C123" t="str">
        <f>IFERROR(__xludf.DUMMYFUNCTION("""COMPUTED_VALUE"""),"Socialist")</f>
        <v>Socialist</v>
      </c>
      <c r="D123" t="str">
        <f>IFERROR(__xludf.DUMMYFUNCTION("""COMPUTED_VALUE"""),"")</f>
        <v/>
      </c>
      <c r="E123" s="2">
        <f>IFERROR(__xludf.DUMMYFUNCTION("""COMPUTED_VALUE"""),420380.0)</f>
        <v>420380</v>
      </c>
      <c r="F123">
        <f>IFERROR(__xludf.DUMMYFUNCTION("""COMPUTED_VALUE"""),2.8)</f>
        <v>2.8</v>
      </c>
    </row>
    <row r="124">
      <c r="A124" t="str">
        <f>IFERROR(__xludf.DUMMYFUNCTION("""COMPUTED_VALUE"""),"*1912*")</f>
        <v>*1912*</v>
      </c>
      <c r="B124" t="str">
        <f>IFERROR(__xludf.DUMMYFUNCTION("""COMPUTED_VALUE"""),"Woodrow Wilson")</f>
        <v>Woodrow Wilson</v>
      </c>
      <c r="C124" t="str">
        <f>IFERROR(__xludf.DUMMYFUNCTION("""COMPUTED_VALUE"""),"Democratic")</f>
        <v>Democratic</v>
      </c>
      <c r="D124">
        <f>IFERROR(__xludf.DUMMYFUNCTION("""COMPUTED_VALUE"""),435.0)</f>
        <v>435</v>
      </c>
      <c r="E124" s="2">
        <f>IFERROR(__xludf.DUMMYFUNCTION("""COMPUTED_VALUE"""),6293454.0)</f>
        <v>6293454</v>
      </c>
      <c r="F124">
        <f>IFERROR(__xludf.DUMMYFUNCTION("""COMPUTED_VALUE"""),41.8)</f>
        <v>41.8</v>
      </c>
    </row>
    <row r="125">
      <c r="A125" t="str">
        <f>IFERROR(__xludf.DUMMYFUNCTION("""COMPUTED_VALUE"""),"")</f>
        <v/>
      </c>
      <c r="B125" t="str">
        <f>IFERROR(__xludf.DUMMYFUNCTION("""COMPUTED_VALUE"""),"Theodore Roosevelt")</f>
        <v>Theodore Roosevelt</v>
      </c>
      <c r="C125" t="str">
        <f>IFERROR(__xludf.DUMMYFUNCTION("""COMPUTED_VALUE"""),"Progressive (Bull Moose)")</f>
        <v>Progressive (Bull Moose)</v>
      </c>
      <c r="D125">
        <f>IFERROR(__xludf.DUMMYFUNCTION("""COMPUTED_VALUE"""),88.0)</f>
        <v>88</v>
      </c>
      <c r="E125" s="2">
        <f>IFERROR(__xludf.DUMMYFUNCTION("""COMPUTED_VALUE"""),4119207.0)</f>
        <v>4119207</v>
      </c>
      <c r="F125">
        <f>IFERROR(__xludf.DUMMYFUNCTION("""COMPUTED_VALUE"""),27.4)</f>
        <v>27.4</v>
      </c>
    </row>
    <row r="126">
      <c r="A126" t="str">
        <f>IFERROR(__xludf.DUMMYFUNCTION("""COMPUTED_VALUE"""),"")</f>
        <v/>
      </c>
      <c r="B126" t="str">
        <f>IFERROR(__xludf.DUMMYFUNCTION("""COMPUTED_VALUE"""),"William Howard Taft")</f>
        <v>William Howard Taft</v>
      </c>
      <c r="C126" t="str">
        <f>IFERROR(__xludf.DUMMYFUNCTION("""COMPUTED_VALUE"""),"Republican")</f>
        <v>Republican</v>
      </c>
      <c r="D126">
        <f>IFERROR(__xludf.DUMMYFUNCTION("""COMPUTED_VALUE"""),8.0)</f>
        <v>8</v>
      </c>
      <c r="E126" s="2">
        <f>IFERROR(__xludf.DUMMYFUNCTION("""COMPUTED_VALUE"""),3483922.0)</f>
        <v>3483922</v>
      </c>
      <c r="F126">
        <f>IFERROR(__xludf.DUMMYFUNCTION("""COMPUTED_VALUE"""),23.2)</f>
        <v>23.2</v>
      </c>
    </row>
    <row r="127">
      <c r="A127" t="str">
        <f>IFERROR(__xludf.DUMMYFUNCTION("""COMPUTED_VALUE"""),"")</f>
        <v/>
      </c>
      <c r="B127" t="str">
        <f>IFERROR(__xludf.DUMMYFUNCTION("""COMPUTED_VALUE"""),"Eugene V. Debs")</f>
        <v>Eugene V. Debs</v>
      </c>
      <c r="C127" t="str">
        <f>IFERROR(__xludf.DUMMYFUNCTION("""COMPUTED_VALUE"""),"Socialist")</f>
        <v>Socialist</v>
      </c>
      <c r="D127" t="str">
        <f>IFERROR(__xludf.DUMMYFUNCTION("""COMPUTED_VALUE"""),"")</f>
        <v/>
      </c>
      <c r="E127" s="2">
        <f>IFERROR(__xludf.DUMMYFUNCTION("""COMPUTED_VALUE"""),900369.0)</f>
        <v>900369</v>
      </c>
      <c r="F127">
        <f>IFERROR(__xludf.DUMMYFUNCTION("""COMPUTED_VALUE"""),6.0)</f>
        <v>6</v>
      </c>
    </row>
    <row r="128">
      <c r="A128" t="str">
        <f>IFERROR(__xludf.DUMMYFUNCTION("""COMPUTED_VALUE"""),"*1916*")</f>
        <v>*1916*</v>
      </c>
      <c r="B128" t="str">
        <f>IFERROR(__xludf.DUMMYFUNCTION("""COMPUTED_VALUE"""),"Woodrow Wilson")</f>
        <v>Woodrow Wilson</v>
      </c>
      <c r="C128" t="str">
        <f>IFERROR(__xludf.DUMMYFUNCTION("""COMPUTED_VALUE"""),"Democratic")</f>
        <v>Democratic</v>
      </c>
      <c r="D128">
        <f>IFERROR(__xludf.DUMMYFUNCTION("""COMPUTED_VALUE"""),277.0)</f>
        <v>277</v>
      </c>
      <c r="E128" s="2">
        <f>IFERROR(__xludf.DUMMYFUNCTION("""COMPUTED_VALUE"""),9129606.0)</f>
        <v>9129606</v>
      </c>
      <c r="F128">
        <f>IFERROR(__xludf.DUMMYFUNCTION("""COMPUTED_VALUE"""),49.2)</f>
        <v>49.2</v>
      </c>
    </row>
    <row r="129">
      <c r="A129" t="str">
        <f>IFERROR(__xludf.DUMMYFUNCTION("""COMPUTED_VALUE"""),"")</f>
        <v/>
      </c>
      <c r="B129" t="str">
        <f>IFERROR(__xludf.DUMMYFUNCTION("""COMPUTED_VALUE"""),"Charles Evans Hughes")</f>
        <v>Charles Evans Hughes</v>
      </c>
      <c r="C129" t="str">
        <f>IFERROR(__xludf.DUMMYFUNCTION("""COMPUTED_VALUE"""),"Republican")</f>
        <v>Republican</v>
      </c>
      <c r="D129">
        <f>IFERROR(__xludf.DUMMYFUNCTION("""COMPUTED_VALUE"""),254.0)</f>
        <v>254</v>
      </c>
      <c r="E129" s="2">
        <f>IFERROR(__xludf.DUMMYFUNCTION("""COMPUTED_VALUE"""),8538221.0)</f>
        <v>8538221</v>
      </c>
      <c r="F129">
        <f>IFERROR(__xludf.DUMMYFUNCTION("""COMPUTED_VALUE"""),46.1)</f>
        <v>46.1</v>
      </c>
    </row>
    <row r="130">
      <c r="A130" t="str">
        <f>IFERROR(__xludf.DUMMYFUNCTION("""COMPUTED_VALUE"""),"")</f>
        <v/>
      </c>
      <c r="B130" t="str">
        <f>IFERROR(__xludf.DUMMYFUNCTION("""COMPUTED_VALUE"""),"Allan L. Benson")</f>
        <v>Allan L. Benson</v>
      </c>
      <c r="C130" t="str">
        <f>IFERROR(__xludf.DUMMYFUNCTION("""COMPUTED_VALUE"""),"Socialist")</f>
        <v>Socialist</v>
      </c>
      <c r="D130" t="str">
        <f>IFERROR(__xludf.DUMMYFUNCTION("""COMPUTED_VALUE"""),"")</f>
        <v/>
      </c>
      <c r="E130" s="2">
        <f>IFERROR(__xludf.DUMMYFUNCTION("""COMPUTED_VALUE"""),589924.0)</f>
        <v>589924</v>
      </c>
      <c r="F130">
        <f>IFERROR(__xludf.DUMMYFUNCTION("""COMPUTED_VALUE"""),3.2)</f>
        <v>3.2</v>
      </c>
    </row>
    <row r="131">
      <c r="A131" t="str">
        <f>IFERROR(__xludf.DUMMYFUNCTION("""COMPUTED_VALUE"""),"*1920*")</f>
        <v>*1920*</v>
      </c>
      <c r="B131" t="str">
        <f>IFERROR(__xludf.DUMMYFUNCTION("""COMPUTED_VALUE"""),"Warren G. Harding")</f>
        <v>Warren G. Harding</v>
      </c>
      <c r="C131" t="str">
        <f>IFERROR(__xludf.DUMMYFUNCTION("""COMPUTED_VALUE"""),"Republican")</f>
        <v>Republican</v>
      </c>
      <c r="D131">
        <f>IFERROR(__xludf.DUMMYFUNCTION("""COMPUTED_VALUE"""),404.0)</f>
        <v>404</v>
      </c>
      <c r="E131" s="2">
        <f>IFERROR(__xludf.DUMMYFUNCTION("""COMPUTED_VALUE"""),1.6147249E7)</f>
        <v>16147249</v>
      </c>
      <c r="F131">
        <f>IFERROR(__xludf.DUMMYFUNCTION("""COMPUTED_VALUE"""),60.3)</f>
        <v>60.3</v>
      </c>
    </row>
    <row r="132">
      <c r="A132" t="str">
        <f>IFERROR(__xludf.DUMMYFUNCTION("""COMPUTED_VALUE"""),"")</f>
        <v/>
      </c>
      <c r="B132" t="str">
        <f>IFERROR(__xludf.DUMMYFUNCTION("""COMPUTED_VALUE"""),"James M. Cox")</f>
        <v>James M. Cox</v>
      </c>
      <c r="C132" t="str">
        <f>IFERROR(__xludf.DUMMYFUNCTION("""COMPUTED_VALUE"""),"Democratic")</f>
        <v>Democratic</v>
      </c>
      <c r="D132">
        <f>IFERROR(__xludf.DUMMYFUNCTION("""COMPUTED_VALUE"""),127.0)</f>
        <v>127</v>
      </c>
      <c r="E132" s="2">
        <f>IFERROR(__xludf.DUMMYFUNCTION("""COMPUTED_VALUE"""),9140864.0)</f>
        <v>9140864</v>
      </c>
      <c r="F132">
        <f>IFERROR(__xludf.DUMMYFUNCTION("""COMPUTED_VALUE"""),34.1)</f>
        <v>34.1</v>
      </c>
    </row>
    <row r="133">
      <c r="A133" t="str">
        <f>IFERROR(__xludf.DUMMYFUNCTION("""COMPUTED_VALUE"""),"")</f>
        <v/>
      </c>
      <c r="B133" t="str">
        <f>IFERROR(__xludf.DUMMYFUNCTION("""COMPUTED_VALUE"""),"Eugene V. Debs")</f>
        <v>Eugene V. Debs</v>
      </c>
      <c r="C133" t="str">
        <f>IFERROR(__xludf.DUMMYFUNCTION("""COMPUTED_VALUE"""),"Socialist")</f>
        <v>Socialist</v>
      </c>
      <c r="D133" t="str">
        <f>IFERROR(__xludf.DUMMYFUNCTION("""COMPUTED_VALUE"""),"")</f>
        <v/>
      </c>
      <c r="E133" s="2">
        <f>IFERROR(__xludf.DUMMYFUNCTION("""COMPUTED_VALUE"""),897704.0)</f>
        <v>897704</v>
      </c>
      <c r="F133">
        <f>IFERROR(__xludf.DUMMYFUNCTION("""COMPUTED_VALUE"""),3.4)</f>
        <v>3.4</v>
      </c>
    </row>
    <row r="134">
      <c r="A134" t="str">
        <f>IFERROR(__xludf.DUMMYFUNCTION("""COMPUTED_VALUE"""),"*1924*")</f>
        <v>*1924*</v>
      </c>
      <c r="B134" t="str">
        <f>IFERROR(__xludf.DUMMYFUNCTION("""COMPUTED_VALUE"""),"Calvin Coolidge")</f>
        <v>Calvin Coolidge</v>
      </c>
      <c r="C134" t="str">
        <f>IFERROR(__xludf.DUMMYFUNCTION("""COMPUTED_VALUE"""),"Republican")</f>
        <v>Republican</v>
      </c>
      <c r="D134">
        <f>IFERROR(__xludf.DUMMYFUNCTION("""COMPUTED_VALUE"""),382.0)</f>
        <v>382</v>
      </c>
      <c r="E134" s="2">
        <f>IFERROR(__xludf.DUMMYFUNCTION("""COMPUTED_VALUE"""),1.5725016E7)</f>
        <v>15725016</v>
      </c>
      <c r="F134">
        <f>IFERROR(__xludf.DUMMYFUNCTION("""COMPUTED_VALUE"""),54.1)</f>
        <v>54.1</v>
      </c>
    </row>
    <row r="135">
      <c r="A135" t="str">
        <f>IFERROR(__xludf.DUMMYFUNCTION("""COMPUTED_VALUE"""),"")</f>
        <v/>
      </c>
      <c r="B135" t="str">
        <f>IFERROR(__xludf.DUMMYFUNCTION("""COMPUTED_VALUE"""),"John W. Davis")</f>
        <v>John W. Davis</v>
      </c>
      <c r="C135" t="str">
        <f>IFERROR(__xludf.DUMMYFUNCTION("""COMPUTED_VALUE"""),"Democratic")</f>
        <v>Democratic</v>
      </c>
      <c r="D135">
        <f>IFERROR(__xludf.DUMMYFUNCTION("""COMPUTED_VALUE"""),136.0)</f>
        <v>136</v>
      </c>
      <c r="E135" s="2">
        <f>IFERROR(__xludf.DUMMYFUNCTION("""COMPUTED_VALUE"""),8386503.0)</f>
        <v>8386503</v>
      </c>
      <c r="F135">
        <f>IFERROR(__xludf.DUMMYFUNCTION("""COMPUTED_VALUE"""),28.8)</f>
        <v>28.8</v>
      </c>
    </row>
    <row r="136">
      <c r="A136" t="str">
        <f>IFERROR(__xludf.DUMMYFUNCTION("""COMPUTED_VALUE"""),"")</f>
        <v/>
      </c>
      <c r="B136" t="str">
        <f>IFERROR(__xludf.DUMMYFUNCTION("""COMPUTED_VALUE"""),"Robert M. La Follette")</f>
        <v>Robert M. La Follette</v>
      </c>
      <c r="C136" t="str">
        <f>IFERROR(__xludf.DUMMYFUNCTION("""COMPUTED_VALUE"""),"Progressive")</f>
        <v>Progressive</v>
      </c>
      <c r="D136">
        <f>IFERROR(__xludf.DUMMYFUNCTION("""COMPUTED_VALUE"""),13.0)</f>
        <v>13</v>
      </c>
      <c r="E136" s="2">
        <f>IFERROR(__xludf.DUMMYFUNCTION("""COMPUTED_VALUE"""),4822856.0)</f>
        <v>4822856</v>
      </c>
      <c r="F136">
        <f>IFERROR(__xludf.DUMMYFUNCTION("""COMPUTED_VALUE"""),16.6)</f>
        <v>16.6</v>
      </c>
    </row>
    <row r="137">
      <c r="A137" t="str">
        <f>IFERROR(__xludf.DUMMYFUNCTION("""COMPUTED_VALUE"""),"*1928*")</f>
        <v>*1928*</v>
      </c>
      <c r="B137" t="str">
        <f>IFERROR(__xludf.DUMMYFUNCTION("""COMPUTED_VALUE"""),"Herbert Hoover")</f>
        <v>Herbert Hoover</v>
      </c>
      <c r="C137" t="str">
        <f>IFERROR(__xludf.DUMMYFUNCTION("""COMPUTED_VALUE"""),"Republican")</f>
        <v>Republican</v>
      </c>
      <c r="D137">
        <f>IFERROR(__xludf.DUMMYFUNCTION("""COMPUTED_VALUE"""),444.0)</f>
        <v>444</v>
      </c>
      <c r="E137" s="2">
        <f>IFERROR(__xludf.DUMMYFUNCTION("""COMPUTED_VALUE"""),2.139219E7)</f>
        <v>21392190</v>
      </c>
      <c r="F137">
        <f>IFERROR(__xludf.DUMMYFUNCTION("""COMPUTED_VALUE"""),58.0)</f>
        <v>58</v>
      </c>
    </row>
    <row r="138">
      <c r="A138" t="str">
        <f>IFERROR(__xludf.DUMMYFUNCTION("""COMPUTED_VALUE"""),"")</f>
        <v/>
      </c>
      <c r="B138" t="str">
        <f>IFERROR(__xludf.DUMMYFUNCTION("""COMPUTED_VALUE"""),"Alfred E. Smith")</f>
        <v>Alfred E. Smith</v>
      </c>
      <c r="C138" t="str">
        <f>IFERROR(__xludf.DUMMYFUNCTION("""COMPUTED_VALUE"""),"Democratic")</f>
        <v>Democratic</v>
      </c>
      <c r="D138">
        <f>IFERROR(__xludf.DUMMYFUNCTION("""COMPUTED_VALUE"""),87.0)</f>
        <v>87</v>
      </c>
      <c r="E138" s="2">
        <f>IFERROR(__xludf.DUMMYFUNCTION("""COMPUTED_VALUE"""),1.5016443E7)</f>
        <v>15016443</v>
      </c>
      <c r="F138">
        <f>IFERROR(__xludf.DUMMYFUNCTION("""COMPUTED_VALUE"""),40.7)</f>
        <v>40.7</v>
      </c>
    </row>
    <row r="139">
      <c r="A139" t="str">
        <f>IFERROR(__xludf.DUMMYFUNCTION("""COMPUTED_VALUE"""),"*1932*")</f>
        <v>*1932*</v>
      </c>
      <c r="B139" t="str">
        <f>IFERROR(__xludf.DUMMYFUNCTION("""COMPUTED_VALUE"""),"Franklin D. Roosevelt")</f>
        <v>Franklin D. Roosevelt</v>
      </c>
      <c r="C139" t="str">
        <f>IFERROR(__xludf.DUMMYFUNCTION("""COMPUTED_VALUE"""),"Democratic")</f>
        <v>Democratic</v>
      </c>
      <c r="D139">
        <f>IFERROR(__xludf.DUMMYFUNCTION("""COMPUTED_VALUE"""),472.0)</f>
        <v>472</v>
      </c>
      <c r="E139" s="2">
        <f>IFERROR(__xludf.DUMMYFUNCTION("""COMPUTED_VALUE"""),2.2821857E7)</f>
        <v>22821857</v>
      </c>
      <c r="F139">
        <f>IFERROR(__xludf.DUMMYFUNCTION("""COMPUTED_VALUE"""),57.3)</f>
        <v>57.3</v>
      </c>
    </row>
    <row r="140">
      <c r="A140" t="str">
        <f>IFERROR(__xludf.DUMMYFUNCTION("""COMPUTED_VALUE"""),"")</f>
        <v/>
      </c>
      <c r="B140" t="str">
        <f>IFERROR(__xludf.DUMMYFUNCTION("""COMPUTED_VALUE"""),"Herbert Hoover")</f>
        <v>Herbert Hoover</v>
      </c>
      <c r="C140" t="str">
        <f>IFERROR(__xludf.DUMMYFUNCTION("""COMPUTED_VALUE"""),"Republican")</f>
        <v>Republican</v>
      </c>
      <c r="D140">
        <f>IFERROR(__xludf.DUMMYFUNCTION("""COMPUTED_VALUE"""),59.0)</f>
        <v>59</v>
      </c>
      <c r="E140" s="2">
        <f>IFERROR(__xludf.DUMMYFUNCTION("""COMPUTED_VALUE"""),1.5761841E7)</f>
        <v>15761841</v>
      </c>
      <c r="F140">
        <f>IFERROR(__xludf.DUMMYFUNCTION("""COMPUTED_VALUE"""),39.6)</f>
        <v>39.6</v>
      </c>
    </row>
    <row r="141">
      <c r="A141" t="str">
        <f>IFERROR(__xludf.DUMMYFUNCTION("""COMPUTED_VALUE"""),"")</f>
        <v/>
      </c>
      <c r="B141" t="str">
        <f>IFERROR(__xludf.DUMMYFUNCTION("""COMPUTED_VALUE"""),"Norman Thomas")</f>
        <v>Norman Thomas</v>
      </c>
      <c r="C141" t="str">
        <f>IFERROR(__xludf.DUMMYFUNCTION("""COMPUTED_VALUE"""),"Socialist")</f>
        <v>Socialist</v>
      </c>
      <c r="D141" t="str">
        <f>IFERROR(__xludf.DUMMYFUNCTION("""COMPUTED_VALUE"""),"")</f>
        <v/>
      </c>
      <c r="E141" s="2">
        <f>IFERROR(__xludf.DUMMYFUNCTION("""COMPUTED_VALUE"""),884781.0)</f>
        <v>884781</v>
      </c>
      <c r="F141">
        <f>IFERROR(__xludf.DUMMYFUNCTION("""COMPUTED_VALUE"""),2.2)</f>
        <v>2.2</v>
      </c>
    </row>
    <row r="142">
      <c r="A142" t="str">
        <f>IFERROR(__xludf.DUMMYFUNCTION("""COMPUTED_VALUE"""),"*1936*")</f>
        <v>*1936*</v>
      </c>
      <c r="B142" t="str">
        <f>IFERROR(__xludf.DUMMYFUNCTION("""COMPUTED_VALUE"""),"Franklin D. Roosevelt")</f>
        <v>Franklin D. Roosevelt</v>
      </c>
      <c r="C142" t="str">
        <f>IFERROR(__xludf.DUMMYFUNCTION("""COMPUTED_VALUE"""),"Democratic")</f>
        <v>Democratic</v>
      </c>
      <c r="D142">
        <f>IFERROR(__xludf.DUMMYFUNCTION("""COMPUTED_VALUE"""),523.0)</f>
        <v>523</v>
      </c>
      <c r="E142" s="2">
        <f>IFERROR(__xludf.DUMMYFUNCTION("""COMPUTED_VALUE"""),2.7476673E7)</f>
        <v>27476673</v>
      </c>
      <c r="F142">
        <f>IFERROR(__xludf.DUMMYFUNCTION("""COMPUTED_VALUE"""),60.2)</f>
        <v>60.2</v>
      </c>
    </row>
    <row r="143">
      <c r="A143" t="str">
        <f>IFERROR(__xludf.DUMMYFUNCTION("""COMPUTED_VALUE"""),"")</f>
        <v/>
      </c>
      <c r="B143" t="str">
        <f>IFERROR(__xludf.DUMMYFUNCTION("""COMPUTED_VALUE"""),"Alfred M. Landon")</f>
        <v>Alfred M. Landon</v>
      </c>
      <c r="C143" t="str">
        <f>IFERROR(__xludf.DUMMYFUNCTION("""COMPUTED_VALUE"""),"Republican")</f>
        <v>Republican</v>
      </c>
      <c r="D143">
        <f>IFERROR(__xludf.DUMMYFUNCTION("""COMPUTED_VALUE"""),8.0)</f>
        <v>8</v>
      </c>
      <c r="E143" s="2">
        <f>IFERROR(__xludf.DUMMYFUNCTION("""COMPUTED_VALUE"""),1.6679583E7)</f>
        <v>16679583</v>
      </c>
      <c r="F143">
        <f>IFERROR(__xludf.DUMMYFUNCTION("""COMPUTED_VALUE"""),36.5)</f>
        <v>36.5</v>
      </c>
    </row>
    <row r="144">
      <c r="A144" t="str">
        <f>IFERROR(__xludf.DUMMYFUNCTION("""COMPUTED_VALUE"""),"*1940*")</f>
        <v>*1940*</v>
      </c>
      <c r="B144" t="str">
        <f>IFERROR(__xludf.DUMMYFUNCTION("""COMPUTED_VALUE"""),"Franklin D. Roosevelt")</f>
        <v>Franklin D. Roosevelt</v>
      </c>
      <c r="C144" t="str">
        <f>IFERROR(__xludf.DUMMYFUNCTION("""COMPUTED_VALUE"""),"Democratic")</f>
        <v>Democratic</v>
      </c>
      <c r="D144">
        <f>IFERROR(__xludf.DUMMYFUNCTION("""COMPUTED_VALUE"""),449.0)</f>
        <v>449</v>
      </c>
      <c r="E144" s="2">
        <f>IFERROR(__xludf.DUMMYFUNCTION("""COMPUTED_VALUE"""),2.7243466E7)</f>
        <v>27243466</v>
      </c>
      <c r="F144">
        <f>IFERROR(__xludf.DUMMYFUNCTION("""COMPUTED_VALUE"""),54.7)</f>
        <v>54.7</v>
      </c>
    </row>
    <row r="145">
      <c r="A145" t="str">
        <f>IFERROR(__xludf.DUMMYFUNCTION("""COMPUTED_VALUE"""),"")</f>
        <v/>
      </c>
      <c r="B145" t="str">
        <f>IFERROR(__xludf.DUMMYFUNCTION("""COMPUTED_VALUE"""),"Wendell L. Willkie")</f>
        <v>Wendell L. Willkie</v>
      </c>
      <c r="C145" t="str">
        <f>IFERROR(__xludf.DUMMYFUNCTION("""COMPUTED_VALUE"""),"Republican")</f>
        <v>Republican</v>
      </c>
      <c r="D145">
        <f>IFERROR(__xludf.DUMMYFUNCTION("""COMPUTED_VALUE"""),82.0)</f>
        <v>82</v>
      </c>
      <c r="E145" s="2">
        <f>IFERROR(__xludf.DUMMYFUNCTION("""COMPUTED_VALUE"""),2.2304755E7)</f>
        <v>22304755</v>
      </c>
      <c r="F145">
        <f>IFERROR(__xludf.DUMMYFUNCTION("""COMPUTED_VALUE"""),44.8)</f>
        <v>44.8</v>
      </c>
    </row>
    <row r="146">
      <c r="A146" t="str">
        <f>IFERROR(__xludf.DUMMYFUNCTION("""COMPUTED_VALUE"""),"*1944*")</f>
        <v>*1944*</v>
      </c>
      <c r="B146" t="str">
        <f>IFERROR(__xludf.DUMMYFUNCTION("""COMPUTED_VALUE"""),"Franklin D. Roosevelt")</f>
        <v>Franklin D. Roosevelt</v>
      </c>
      <c r="C146" t="str">
        <f>IFERROR(__xludf.DUMMYFUNCTION("""COMPUTED_VALUE"""),"Democratic")</f>
        <v>Democratic</v>
      </c>
      <c r="D146">
        <f>IFERROR(__xludf.DUMMYFUNCTION("""COMPUTED_VALUE"""),432.0)</f>
        <v>432</v>
      </c>
      <c r="E146" s="2">
        <f>IFERROR(__xludf.DUMMYFUNCTION("""COMPUTED_VALUE"""),2.5602505E7)</f>
        <v>25602505</v>
      </c>
      <c r="F146">
        <f>IFERROR(__xludf.DUMMYFUNCTION("""COMPUTED_VALUE"""),53.3)</f>
        <v>53.3</v>
      </c>
    </row>
    <row r="147">
      <c r="A147" t="str">
        <f>IFERROR(__xludf.DUMMYFUNCTION("""COMPUTED_VALUE"""),"")</f>
        <v/>
      </c>
      <c r="B147" t="str">
        <f>IFERROR(__xludf.DUMMYFUNCTION("""COMPUTED_VALUE"""),"Thomas E. Dewey")</f>
        <v>Thomas E. Dewey</v>
      </c>
      <c r="C147" t="str">
        <f>IFERROR(__xludf.DUMMYFUNCTION("""COMPUTED_VALUE"""),"Republican")</f>
        <v>Republican</v>
      </c>
      <c r="D147">
        <f>IFERROR(__xludf.DUMMYFUNCTION("""COMPUTED_VALUE"""),99.0)</f>
        <v>99</v>
      </c>
      <c r="E147" s="2">
        <f>IFERROR(__xludf.DUMMYFUNCTION("""COMPUTED_VALUE"""),2.2006278E7)</f>
        <v>22006278</v>
      </c>
      <c r="F147">
        <f>IFERROR(__xludf.DUMMYFUNCTION("""COMPUTED_VALUE"""),45.8)</f>
        <v>45.8</v>
      </c>
    </row>
    <row r="148">
      <c r="A148" t="str">
        <f>IFERROR(__xludf.DUMMYFUNCTION("""COMPUTED_VALUE"""),"*1948*")</f>
        <v>*1948*</v>
      </c>
      <c r="B148" t="str">
        <f>IFERROR(__xludf.DUMMYFUNCTION("""COMPUTED_VALUE"""),"Harry S. Truman")</f>
        <v>Harry S. Truman</v>
      </c>
      <c r="C148" t="str">
        <f>IFERROR(__xludf.DUMMYFUNCTION("""COMPUTED_VALUE"""),"Democratic")</f>
        <v>Democratic</v>
      </c>
      <c r="D148">
        <f>IFERROR(__xludf.DUMMYFUNCTION("""COMPUTED_VALUE"""),303.0)</f>
        <v>303</v>
      </c>
      <c r="E148" s="2">
        <f>IFERROR(__xludf.DUMMYFUNCTION("""COMPUTED_VALUE"""),2.4105695E7)</f>
        <v>24105695</v>
      </c>
      <c r="F148">
        <f>IFERROR(__xludf.DUMMYFUNCTION("""COMPUTED_VALUE"""),49.4)</f>
        <v>49.4</v>
      </c>
    </row>
    <row r="149">
      <c r="A149" t="str">
        <f>IFERROR(__xludf.DUMMYFUNCTION("""COMPUTED_VALUE"""),"")</f>
        <v/>
      </c>
      <c r="B149" t="str">
        <f>IFERROR(__xludf.DUMMYFUNCTION("""COMPUTED_VALUE"""),"Thomas E. Dewey")</f>
        <v>Thomas E. Dewey</v>
      </c>
      <c r="C149" t="str">
        <f>IFERROR(__xludf.DUMMYFUNCTION("""COMPUTED_VALUE"""),"Republican")</f>
        <v>Republican</v>
      </c>
      <c r="D149">
        <f>IFERROR(__xludf.DUMMYFUNCTION("""COMPUTED_VALUE"""),189.0)</f>
        <v>189</v>
      </c>
      <c r="E149" s="2">
        <f>IFERROR(__xludf.DUMMYFUNCTION("""COMPUTED_VALUE"""),2.196917E7)</f>
        <v>21969170</v>
      </c>
      <c r="F149">
        <f>IFERROR(__xludf.DUMMYFUNCTION("""COMPUTED_VALUE"""),45.0)</f>
        <v>45</v>
      </c>
    </row>
    <row r="150">
      <c r="A150" t="str">
        <f>IFERROR(__xludf.DUMMYFUNCTION("""COMPUTED_VALUE"""),"")</f>
        <v/>
      </c>
      <c r="B150" t="str">
        <f>IFERROR(__xludf.DUMMYFUNCTION("""COMPUTED_VALUE"""),"Strom Thurmond")</f>
        <v>Strom Thurmond</v>
      </c>
      <c r="C150" t="str">
        <f>IFERROR(__xludf.DUMMYFUNCTION("""COMPUTED_VALUE"""),"States' Rights Democratic (Dixiecrat)")</f>
        <v>States' Rights Democratic (Dixiecrat)</v>
      </c>
      <c r="D150">
        <f>IFERROR(__xludf.DUMMYFUNCTION("""COMPUTED_VALUE"""),39.0)</f>
        <v>39</v>
      </c>
      <c r="E150" s="2">
        <f>IFERROR(__xludf.DUMMYFUNCTION("""COMPUTED_VALUE"""),1169021.0)</f>
        <v>1169021</v>
      </c>
      <c r="F150">
        <f>IFERROR(__xludf.DUMMYFUNCTION("""COMPUTED_VALUE"""),2.4)</f>
        <v>2.4</v>
      </c>
    </row>
    <row r="151">
      <c r="A151" t="str">
        <f>IFERROR(__xludf.DUMMYFUNCTION("""COMPUTED_VALUE"""),"")</f>
        <v/>
      </c>
      <c r="B151" t="str">
        <f>IFERROR(__xludf.DUMMYFUNCTION("""COMPUTED_VALUE"""),"Henry A. Wallace")</f>
        <v>Henry A. Wallace</v>
      </c>
      <c r="C151" t="str">
        <f>IFERROR(__xludf.DUMMYFUNCTION("""COMPUTED_VALUE"""),"Progressive")</f>
        <v>Progressive</v>
      </c>
      <c r="D151" t="str">
        <f>IFERROR(__xludf.DUMMYFUNCTION("""COMPUTED_VALUE"""),"")</f>
        <v/>
      </c>
      <c r="E151" s="2">
        <f>IFERROR(__xludf.DUMMYFUNCTION("""COMPUTED_VALUE"""),1156103.0)</f>
        <v>1156103</v>
      </c>
      <c r="F151">
        <f>IFERROR(__xludf.DUMMYFUNCTION("""COMPUTED_VALUE"""),2.4)</f>
        <v>2.4</v>
      </c>
    </row>
    <row r="152">
      <c r="A152" t="str">
        <f>IFERROR(__xludf.DUMMYFUNCTION("""COMPUTED_VALUE"""),"*1952*")</f>
        <v>*1952*</v>
      </c>
      <c r="B152" t="str">
        <f>IFERROR(__xludf.DUMMYFUNCTION("""COMPUTED_VALUE"""),"Dwight D. Eisenhower")</f>
        <v>Dwight D. Eisenhower</v>
      </c>
      <c r="C152" t="str">
        <f>IFERROR(__xludf.DUMMYFUNCTION("""COMPUTED_VALUE"""),"Republican")</f>
        <v>Republican</v>
      </c>
      <c r="D152">
        <f>IFERROR(__xludf.DUMMYFUNCTION("""COMPUTED_VALUE"""),442.0)</f>
        <v>442</v>
      </c>
      <c r="E152" s="2">
        <f>IFERROR(__xludf.DUMMYFUNCTION("""COMPUTED_VALUE"""),3.3778963E7)</f>
        <v>33778963</v>
      </c>
      <c r="F152">
        <f>IFERROR(__xludf.DUMMYFUNCTION("""COMPUTED_VALUE"""),54.9)</f>
        <v>54.9</v>
      </c>
    </row>
    <row r="153">
      <c r="A153" t="str">
        <f>IFERROR(__xludf.DUMMYFUNCTION("""COMPUTED_VALUE"""),"")</f>
        <v/>
      </c>
      <c r="B153" t="str">
        <f>IFERROR(__xludf.DUMMYFUNCTION("""COMPUTED_VALUE"""),"Adlai E. Stevenson")</f>
        <v>Adlai E. Stevenson</v>
      </c>
      <c r="C153" t="str">
        <f>IFERROR(__xludf.DUMMYFUNCTION("""COMPUTED_VALUE"""),"Democratic")</f>
        <v>Democratic</v>
      </c>
      <c r="D153">
        <f>IFERROR(__xludf.DUMMYFUNCTION("""COMPUTED_VALUE"""),89.0)</f>
        <v>89</v>
      </c>
      <c r="E153" s="2">
        <f>IFERROR(__xludf.DUMMYFUNCTION("""COMPUTED_VALUE"""),2.7314992E7)</f>
        <v>27314992</v>
      </c>
      <c r="F153">
        <f>IFERROR(__xludf.DUMMYFUNCTION("""COMPUTED_VALUE"""),44.4)</f>
        <v>44.4</v>
      </c>
    </row>
    <row r="154">
      <c r="A154" t="str">
        <f>IFERROR(__xludf.DUMMYFUNCTION("""COMPUTED_VALUE"""),"*1956*")</f>
        <v>*1956*</v>
      </c>
      <c r="B154" t="str">
        <f>IFERROR(__xludf.DUMMYFUNCTION("""COMPUTED_VALUE"""),"Dwight D. Eisenhower")</f>
        <v>Dwight D. Eisenhower</v>
      </c>
      <c r="C154" t="str">
        <f>IFERROR(__xludf.DUMMYFUNCTION("""COMPUTED_VALUE"""),"Republican")</f>
        <v>Republican</v>
      </c>
      <c r="D154">
        <f>IFERROR(__xludf.DUMMYFUNCTION("""COMPUTED_VALUE"""),457.0)</f>
        <v>457</v>
      </c>
      <c r="E154" s="2">
        <f>IFERROR(__xludf.DUMMYFUNCTION("""COMPUTED_VALUE"""),3.5581003E7)</f>
        <v>35581003</v>
      </c>
      <c r="F154">
        <f>IFERROR(__xludf.DUMMYFUNCTION("""COMPUTED_VALUE"""),57.4)</f>
        <v>57.4</v>
      </c>
    </row>
    <row r="155">
      <c r="A155" t="str">
        <f>IFERROR(__xludf.DUMMYFUNCTION("""COMPUTED_VALUE"""),"")</f>
        <v/>
      </c>
      <c r="B155" t="str">
        <f>IFERROR(__xludf.DUMMYFUNCTION("""COMPUTED_VALUE"""),"Adlai E. Stevenson")</f>
        <v>Adlai E. Stevenson</v>
      </c>
      <c r="C155" t="str">
        <f>IFERROR(__xludf.DUMMYFUNCTION("""COMPUTED_VALUE"""),"Democratic")</f>
        <v>Democratic</v>
      </c>
      <c r="D155">
        <f>IFERROR(__xludf.DUMMYFUNCTION("""COMPUTED_VALUE"""),73.0)</f>
        <v>73</v>
      </c>
      <c r="E155" s="2">
        <f>IFERROR(__xludf.DUMMYFUNCTION("""COMPUTED_VALUE"""),2.5738765E7)</f>
        <v>25738765</v>
      </c>
      <c r="F155">
        <f>IFERROR(__xludf.DUMMYFUNCTION("""COMPUTED_VALUE"""),42.0)</f>
        <v>42</v>
      </c>
    </row>
    <row r="156">
      <c r="A156" t="str">
        <f>IFERROR(__xludf.DUMMYFUNCTION("""COMPUTED_VALUE"""),"")</f>
        <v/>
      </c>
      <c r="B156" t="str">
        <f>IFERROR(__xludf.DUMMYFUNCTION("""COMPUTED_VALUE"""),"Walter Jones")</f>
        <v>Walter Jones</v>
      </c>
      <c r="C156" t="str">
        <f>IFERROR(__xludf.DUMMYFUNCTION("""COMPUTED_VALUE"""),"not a candidate")</f>
        <v>not a candidate</v>
      </c>
      <c r="D156">
        <f>IFERROR(__xludf.DUMMYFUNCTION("""COMPUTED_VALUE"""),1.0)</f>
        <v>1</v>
      </c>
      <c r="E156" t="str">
        <f>IFERROR(__xludf.DUMMYFUNCTION("""COMPUTED_VALUE"""),"")</f>
        <v/>
      </c>
      <c r="F156" t="str">
        <f>IFERROR(__xludf.DUMMYFUNCTION("""COMPUTED_VALUE"""),"")</f>
        <v/>
      </c>
    </row>
    <row r="157">
      <c r="A157" t="str">
        <f>IFERROR(__xludf.DUMMYFUNCTION("""COMPUTED_VALUE"""),"*1960*")</f>
        <v>*1960*</v>
      </c>
      <c r="B157" t="str">
        <f>IFERROR(__xludf.DUMMYFUNCTION("""COMPUTED_VALUE"""),"John F. Kennedy")</f>
        <v>John F. Kennedy</v>
      </c>
      <c r="C157" t="str">
        <f>IFERROR(__xludf.DUMMYFUNCTION("""COMPUTED_VALUE"""),"Democratic")</f>
        <v>Democratic</v>
      </c>
      <c r="D157">
        <f>IFERROR(__xludf.DUMMYFUNCTION("""COMPUTED_VALUE"""),303.0)</f>
        <v>303</v>
      </c>
      <c r="E157" s="2">
        <f>IFERROR(__xludf.DUMMYFUNCTION("""COMPUTED_VALUE"""),3.4227096E7)</f>
        <v>34227096</v>
      </c>
      <c r="F157">
        <f>IFERROR(__xludf.DUMMYFUNCTION("""COMPUTED_VALUE"""),49.7)</f>
        <v>49.7</v>
      </c>
    </row>
    <row r="158">
      <c r="A158" t="str">
        <f>IFERROR(__xludf.DUMMYFUNCTION("""COMPUTED_VALUE"""),"")</f>
        <v/>
      </c>
      <c r="B158" t="str">
        <f>IFERROR(__xludf.DUMMYFUNCTION("""COMPUTED_VALUE"""),"Richard M. Nixon")</f>
        <v>Richard M. Nixon</v>
      </c>
      <c r="C158" t="str">
        <f>IFERROR(__xludf.DUMMYFUNCTION("""COMPUTED_VALUE"""),"Republican")</f>
        <v>Republican</v>
      </c>
      <c r="D158">
        <f>IFERROR(__xludf.DUMMYFUNCTION("""COMPUTED_VALUE"""),219.0)</f>
        <v>219</v>
      </c>
      <c r="E158" s="2">
        <f>IFERROR(__xludf.DUMMYFUNCTION("""COMPUTED_VALUE"""),3.4107646E7)</f>
        <v>34107646</v>
      </c>
      <c r="F158">
        <f>IFERROR(__xludf.DUMMYFUNCTION("""COMPUTED_VALUE"""),49.5)</f>
        <v>49.5</v>
      </c>
    </row>
    <row r="159">
      <c r="A159" t="str">
        <f>IFERROR(__xludf.DUMMYFUNCTION("""COMPUTED_VALUE"""),"")</f>
        <v/>
      </c>
      <c r="B159" t="str">
        <f>IFERROR(__xludf.DUMMYFUNCTION("""COMPUTED_VALUE"""),"Harry F. Byrd")</f>
        <v>Harry F. Byrd</v>
      </c>
      <c r="C159" t="str">
        <f>IFERROR(__xludf.DUMMYFUNCTION("""COMPUTED_VALUE"""),"not a candidate")</f>
        <v>not a candidate</v>
      </c>
      <c r="D159">
        <f>IFERROR(__xludf.DUMMYFUNCTION("""COMPUTED_VALUE"""),15.0)</f>
        <v>15</v>
      </c>
      <c r="E159" t="str">
        <f>IFERROR(__xludf.DUMMYFUNCTION("""COMPUTED_VALUE"""),"")</f>
        <v/>
      </c>
      <c r="F159" t="str">
        <f>IFERROR(__xludf.DUMMYFUNCTION("""COMPUTED_VALUE"""),"")</f>
        <v/>
      </c>
    </row>
    <row r="160">
      <c r="A160" t="str">
        <f>IFERROR(__xludf.DUMMYFUNCTION("""COMPUTED_VALUE"""),"*1964*")</f>
        <v>*1964*</v>
      </c>
      <c r="B160" t="str">
        <f>IFERROR(__xludf.DUMMYFUNCTION("""COMPUTED_VALUE"""),"Lyndon B. Johnson")</f>
        <v>Lyndon B. Johnson</v>
      </c>
      <c r="C160" t="str">
        <f>IFERROR(__xludf.DUMMYFUNCTION("""COMPUTED_VALUE"""),"Democratic")</f>
        <v>Democratic</v>
      </c>
      <c r="D160">
        <f>IFERROR(__xludf.DUMMYFUNCTION("""COMPUTED_VALUE"""),486.0)</f>
        <v>486</v>
      </c>
      <c r="E160" s="2">
        <f>IFERROR(__xludf.DUMMYFUNCTION("""COMPUTED_VALUE"""),4.2825463E7)</f>
        <v>42825463</v>
      </c>
      <c r="F160">
        <f>IFERROR(__xludf.DUMMYFUNCTION("""COMPUTED_VALUE"""),61.1)</f>
        <v>61.1</v>
      </c>
    </row>
    <row r="161">
      <c r="A161" t="str">
        <f>IFERROR(__xludf.DUMMYFUNCTION("""COMPUTED_VALUE"""),"")</f>
        <v/>
      </c>
      <c r="B161" t="str">
        <f>IFERROR(__xludf.DUMMYFUNCTION("""COMPUTED_VALUE"""),"Barry M. Goldwater")</f>
        <v>Barry M. Goldwater</v>
      </c>
      <c r="C161" t="str">
        <f>IFERROR(__xludf.DUMMYFUNCTION("""COMPUTED_VALUE"""),"Republican")</f>
        <v>Republican</v>
      </c>
      <c r="D161">
        <f>IFERROR(__xludf.DUMMYFUNCTION("""COMPUTED_VALUE"""),52.0)</f>
        <v>52</v>
      </c>
      <c r="E161" s="2">
        <f>IFERROR(__xludf.DUMMYFUNCTION("""COMPUTED_VALUE"""),2.7146969E7)</f>
        <v>27146969</v>
      </c>
      <c r="F161">
        <f>IFERROR(__xludf.DUMMYFUNCTION("""COMPUTED_VALUE"""),38.5)</f>
        <v>38.5</v>
      </c>
    </row>
    <row r="162">
      <c r="A162" t="str">
        <f>IFERROR(__xludf.DUMMYFUNCTION("""COMPUTED_VALUE"""),"*1968*")</f>
        <v>*1968*</v>
      </c>
      <c r="B162" t="str">
        <f>IFERROR(__xludf.DUMMYFUNCTION("""COMPUTED_VALUE"""),"Richard M. Nixon")</f>
        <v>Richard M. Nixon</v>
      </c>
      <c r="C162" t="str">
        <f>IFERROR(__xludf.DUMMYFUNCTION("""COMPUTED_VALUE"""),"Republican")</f>
        <v>Republican</v>
      </c>
      <c r="D162">
        <f>IFERROR(__xludf.DUMMYFUNCTION("""COMPUTED_VALUE"""),301.0)</f>
        <v>301</v>
      </c>
      <c r="E162" s="2">
        <f>IFERROR(__xludf.DUMMYFUNCTION("""COMPUTED_VALUE"""),3.171047E7)</f>
        <v>31710470</v>
      </c>
      <c r="F162">
        <f>IFERROR(__xludf.DUMMYFUNCTION("""COMPUTED_VALUE"""),43.4)</f>
        <v>43.4</v>
      </c>
    </row>
    <row r="163">
      <c r="A163" t="str">
        <f>IFERROR(__xludf.DUMMYFUNCTION("""COMPUTED_VALUE"""),"")</f>
        <v/>
      </c>
      <c r="B163" t="str">
        <f>IFERROR(__xludf.DUMMYFUNCTION("""COMPUTED_VALUE"""),"Hubert H. Humphrey")</f>
        <v>Hubert H. Humphrey</v>
      </c>
      <c r="C163" t="str">
        <f>IFERROR(__xludf.DUMMYFUNCTION("""COMPUTED_VALUE"""),"Democratic")</f>
        <v>Democratic</v>
      </c>
      <c r="D163">
        <f>IFERROR(__xludf.DUMMYFUNCTION("""COMPUTED_VALUE"""),191.0)</f>
        <v>191</v>
      </c>
      <c r="E163" s="2">
        <f>IFERROR(__xludf.DUMMYFUNCTION("""COMPUTED_VALUE"""),3.0898055E7)</f>
        <v>30898055</v>
      </c>
      <c r="F163">
        <f>IFERROR(__xludf.DUMMYFUNCTION("""COMPUTED_VALUE"""),42.7)</f>
        <v>42.7</v>
      </c>
    </row>
    <row r="164">
      <c r="A164" t="str">
        <f>IFERROR(__xludf.DUMMYFUNCTION("""COMPUTED_VALUE"""),"")</f>
        <v/>
      </c>
      <c r="B164" t="str">
        <f>IFERROR(__xludf.DUMMYFUNCTION("""COMPUTED_VALUE"""),"George C. Wallace")</f>
        <v>George C. Wallace</v>
      </c>
      <c r="C164" t="str">
        <f>IFERROR(__xludf.DUMMYFUNCTION("""COMPUTED_VALUE"""),"American Independent")</f>
        <v>American Independent</v>
      </c>
      <c r="D164">
        <f>IFERROR(__xludf.DUMMYFUNCTION("""COMPUTED_VALUE"""),46.0)</f>
        <v>46</v>
      </c>
      <c r="E164" s="2">
        <f>IFERROR(__xludf.DUMMYFUNCTION("""COMPUTED_VALUE"""),9906473.0)</f>
        <v>9906473</v>
      </c>
      <c r="F164">
        <f>IFERROR(__xludf.DUMMYFUNCTION("""COMPUTED_VALUE"""),13.5)</f>
        <v>13.5</v>
      </c>
    </row>
    <row r="165">
      <c r="A165" t="str">
        <f>IFERROR(__xludf.DUMMYFUNCTION("""COMPUTED_VALUE"""),"*1972*")</f>
        <v>*1972*</v>
      </c>
      <c r="B165" t="str">
        <f>IFERROR(__xludf.DUMMYFUNCTION("""COMPUTED_VALUE"""),"Richard M. Nixon")</f>
        <v>Richard M. Nixon</v>
      </c>
      <c r="C165" t="str">
        <f>IFERROR(__xludf.DUMMYFUNCTION("""COMPUTED_VALUE"""),"Republican")</f>
        <v>Republican</v>
      </c>
      <c r="D165">
        <f>IFERROR(__xludf.DUMMYFUNCTION("""COMPUTED_VALUE"""),520.0)</f>
        <v>520</v>
      </c>
      <c r="E165" s="2">
        <f>IFERROR(__xludf.DUMMYFUNCTION("""COMPUTED_VALUE"""),4.6740323E7)</f>
        <v>46740323</v>
      </c>
      <c r="F165">
        <f>IFERROR(__xludf.DUMMYFUNCTION("""COMPUTED_VALUE"""),60.7)</f>
        <v>60.7</v>
      </c>
    </row>
    <row r="166">
      <c r="A166" t="str">
        <f>IFERROR(__xludf.DUMMYFUNCTION("""COMPUTED_VALUE"""),"")</f>
        <v/>
      </c>
      <c r="B166" t="str">
        <f>IFERROR(__xludf.DUMMYFUNCTION("""COMPUTED_VALUE"""),"George S. McGovern")</f>
        <v>George S. McGovern</v>
      </c>
      <c r="C166" t="str">
        <f>IFERROR(__xludf.DUMMYFUNCTION("""COMPUTED_VALUE"""),"Democratic")</f>
        <v>Democratic</v>
      </c>
      <c r="D166">
        <f>IFERROR(__xludf.DUMMYFUNCTION("""COMPUTED_VALUE"""),17.0)</f>
        <v>17</v>
      </c>
      <c r="E166" s="2">
        <f>IFERROR(__xludf.DUMMYFUNCTION("""COMPUTED_VALUE"""),2.8901598E7)</f>
        <v>28901598</v>
      </c>
      <c r="F166">
        <f>IFERROR(__xludf.DUMMYFUNCTION("""COMPUTED_VALUE"""),37.5)</f>
        <v>37.5</v>
      </c>
    </row>
    <row r="167">
      <c r="A167" t="str">
        <f>IFERROR(__xludf.DUMMYFUNCTION("""COMPUTED_VALUE"""),"")</f>
        <v/>
      </c>
      <c r="B167" t="str">
        <f>IFERROR(__xludf.DUMMYFUNCTION("""COMPUTED_VALUE"""),"John Hospers")</f>
        <v>John Hospers</v>
      </c>
      <c r="C167" t="str">
        <f>IFERROR(__xludf.DUMMYFUNCTION("""COMPUTED_VALUE"""),"Libertarian")</f>
        <v>Libertarian</v>
      </c>
      <c r="D167">
        <f>IFERROR(__xludf.DUMMYFUNCTION("""COMPUTED_VALUE"""),1.0)</f>
        <v>1</v>
      </c>
      <c r="E167" s="2">
        <f>IFERROR(__xludf.DUMMYFUNCTION("""COMPUTED_VALUE"""),3673.0)</f>
        <v>3673</v>
      </c>
      <c r="F167" t="str">
        <f>IFERROR(__xludf.DUMMYFUNCTION("""COMPUTED_VALUE"""),"&lt;0.1")</f>
        <v>&lt;0.1</v>
      </c>
    </row>
    <row r="168">
      <c r="A168" t="str">
        <f>IFERROR(__xludf.DUMMYFUNCTION("""COMPUTED_VALUE"""),"*1976*")</f>
        <v>*1976*</v>
      </c>
      <c r="B168" t="str">
        <f>IFERROR(__xludf.DUMMYFUNCTION("""COMPUTED_VALUE"""),"Jimmy Carter")</f>
        <v>Jimmy Carter</v>
      </c>
      <c r="C168" t="str">
        <f>IFERROR(__xludf.DUMMYFUNCTION("""COMPUTED_VALUE"""),"Democratic")</f>
        <v>Democratic</v>
      </c>
      <c r="D168">
        <f>IFERROR(__xludf.DUMMYFUNCTION("""COMPUTED_VALUE"""),297.0)</f>
        <v>297</v>
      </c>
      <c r="E168" s="2">
        <f>IFERROR(__xludf.DUMMYFUNCTION("""COMPUTED_VALUE"""),4.0825839E7)</f>
        <v>40825839</v>
      </c>
      <c r="F168">
        <f>IFERROR(__xludf.DUMMYFUNCTION("""COMPUTED_VALUE"""),50.0)</f>
        <v>50</v>
      </c>
    </row>
    <row r="169">
      <c r="A169" t="str">
        <f>IFERROR(__xludf.DUMMYFUNCTION("""COMPUTED_VALUE"""),"")</f>
        <v/>
      </c>
      <c r="B169" t="str">
        <f>IFERROR(__xludf.DUMMYFUNCTION("""COMPUTED_VALUE"""),"Gerald R. Ford")</f>
        <v>Gerald R. Ford</v>
      </c>
      <c r="C169" t="str">
        <f>IFERROR(__xludf.DUMMYFUNCTION("""COMPUTED_VALUE"""),"Republican")</f>
        <v>Republican</v>
      </c>
      <c r="D169">
        <f>IFERROR(__xludf.DUMMYFUNCTION("""COMPUTED_VALUE"""),240.0)</f>
        <v>240</v>
      </c>
      <c r="E169" s="2">
        <f>IFERROR(__xludf.DUMMYFUNCTION("""COMPUTED_VALUE"""),3.914777E7)</f>
        <v>39147770</v>
      </c>
      <c r="F169">
        <f>IFERROR(__xludf.DUMMYFUNCTION("""COMPUTED_VALUE"""),48.0)</f>
        <v>48</v>
      </c>
    </row>
    <row r="170">
      <c r="A170" t="str">
        <f>IFERROR(__xludf.DUMMYFUNCTION("""COMPUTED_VALUE"""),"")</f>
        <v/>
      </c>
      <c r="B170" t="str">
        <f>IFERROR(__xludf.DUMMYFUNCTION("""COMPUTED_VALUE"""),"Ronald W. Reagan")</f>
        <v>Ronald W. Reagan</v>
      </c>
      <c r="C170" t="str">
        <f>IFERROR(__xludf.DUMMYFUNCTION("""COMPUTED_VALUE"""),"not a candidate")</f>
        <v>not a candidate</v>
      </c>
      <c r="D170">
        <f>IFERROR(__xludf.DUMMYFUNCTION("""COMPUTED_VALUE"""),1.0)</f>
        <v>1</v>
      </c>
      <c r="E170" t="str">
        <f>IFERROR(__xludf.DUMMYFUNCTION("""COMPUTED_VALUE"""),"")</f>
        <v/>
      </c>
      <c r="F170" t="str">
        <f>IFERROR(__xludf.DUMMYFUNCTION("""COMPUTED_VALUE"""),"")</f>
        <v/>
      </c>
    </row>
    <row r="171">
      <c r="A171" t="str">
        <f>IFERROR(__xludf.DUMMYFUNCTION("""COMPUTED_VALUE"""),"*1980*")</f>
        <v>*1980*</v>
      </c>
      <c r="B171" t="str">
        <f>IFERROR(__xludf.DUMMYFUNCTION("""COMPUTED_VALUE"""),"Ronald W. Reagan")</f>
        <v>Ronald W. Reagan</v>
      </c>
      <c r="C171" t="str">
        <f>IFERROR(__xludf.DUMMYFUNCTION("""COMPUTED_VALUE"""),"Republican")</f>
        <v>Republican</v>
      </c>
      <c r="D171">
        <f>IFERROR(__xludf.DUMMYFUNCTION("""COMPUTED_VALUE"""),489.0)</f>
        <v>489</v>
      </c>
      <c r="E171" s="2">
        <f>IFERROR(__xludf.DUMMYFUNCTION("""COMPUTED_VALUE"""),4.3642639E7)</f>
        <v>43642639</v>
      </c>
      <c r="F171">
        <f>IFERROR(__xludf.DUMMYFUNCTION("""COMPUTED_VALUE"""),50.4)</f>
        <v>50.4</v>
      </c>
    </row>
    <row r="172">
      <c r="A172" t="str">
        <f>IFERROR(__xludf.DUMMYFUNCTION("""COMPUTED_VALUE"""),"")</f>
        <v/>
      </c>
      <c r="B172" t="str">
        <f>IFERROR(__xludf.DUMMYFUNCTION("""COMPUTED_VALUE"""),"Jimmy Carter")</f>
        <v>Jimmy Carter</v>
      </c>
      <c r="C172" t="str">
        <f>IFERROR(__xludf.DUMMYFUNCTION("""COMPUTED_VALUE"""),"Democratic")</f>
        <v>Democratic</v>
      </c>
      <c r="D172">
        <f>IFERROR(__xludf.DUMMYFUNCTION("""COMPUTED_VALUE"""),49.0)</f>
        <v>49</v>
      </c>
      <c r="E172" s="2">
        <f>IFERROR(__xludf.DUMMYFUNCTION("""COMPUTED_VALUE"""),3.5480948E7)</f>
        <v>35480948</v>
      </c>
      <c r="F172">
        <f>IFERROR(__xludf.DUMMYFUNCTION("""COMPUTED_VALUE"""),41.0)</f>
        <v>41</v>
      </c>
    </row>
    <row r="173">
      <c r="A173" t="str">
        <f>IFERROR(__xludf.DUMMYFUNCTION("""COMPUTED_VALUE"""),"")</f>
        <v/>
      </c>
      <c r="B173" t="str">
        <f>IFERROR(__xludf.DUMMYFUNCTION("""COMPUTED_VALUE"""),"John B. Anderson")</f>
        <v>John B. Anderson</v>
      </c>
      <c r="C173" t="str">
        <f>IFERROR(__xludf.DUMMYFUNCTION("""COMPUTED_VALUE"""),"Independent")</f>
        <v>Independent</v>
      </c>
      <c r="D173" t="str">
        <f>IFERROR(__xludf.DUMMYFUNCTION("""COMPUTED_VALUE"""),"")</f>
        <v/>
      </c>
      <c r="E173" s="2">
        <f>IFERROR(__xludf.DUMMYFUNCTION("""COMPUTED_VALUE"""),5719437.0)</f>
        <v>5719437</v>
      </c>
      <c r="F173">
        <f>IFERROR(__xludf.DUMMYFUNCTION("""COMPUTED_VALUE"""),6.6)</f>
        <v>6.6</v>
      </c>
    </row>
    <row r="174">
      <c r="A174" t="str">
        <f>IFERROR(__xludf.DUMMYFUNCTION("""COMPUTED_VALUE"""),"*1984*")</f>
        <v>*1984*</v>
      </c>
      <c r="B174" t="str">
        <f>IFERROR(__xludf.DUMMYFUNCTION("""COMPUTED_VALUE"""),"Ronald W. Reagan")</f>
        <v>Ronald W. Reagan</v>
      </c>
      <c r="C174" t="str">
        <f>IFERROR(__xludf.DUMMYFUNCTION("""COMPUTED_VALUE"""),"Republican")</f>
        <v>Republican</v>
      </c>
      <c r="D174">
        <f>IFERROR(__xludf.DUMMYFUNCTION("""COMPUTED_VALUE"""),525.0)</f>
        <v>525</v>
      </c>
      <c r="E174" s="2">
        <f>IFERROR(__xludf.DUMMYFUNCTION("""COMPUTED_VALUE"""),5.4455075E7)</f>
        <v>54455075</v>
      </c>
      <c r="F174">
        <f>IFERROR(__xludf.DUMMYFUNCTION("""COMPUTED_VALUE"""),58.8)</f>
        <v>58.8</v>
      </c>
    </row>
    <row r="175">
      <c r="A175" t="str">
        <f>IFERROR(__xludf.DUMMYFUNCTION("""COMPUTED_VALUE"""),"")</f>
        <v/>
      </c>
      <c r="B175" t="str">
        <f>IFERROR(__xludf.DUMMYFUNCTION("""COMPUTED_VALUE"""),"Walter F. Mondale")</f>
        <v>Walter F. Mondale</v>
      </c>
      <c r="C175" t="str">
        <f>IFERROR(__xludf.DUMMYFUNCTION("""COMPUTED_VALUE"""),"Democratic")</f>
        <v>Democratic</v>
      </c>
      <c r="D175">
        <f>IFERROR(__xludf.DUMMYFUNCTION("""COMPUTED_VALUE"""),13.0)</f>
        <v>13</v>
      </c>
      <c r="E175" s="2">
        <f>IFERROR(__xludf.DUMMYFUNCTION("""COMPUTED_VALUE"""),3.7577185E7)</f>
        <v>37577185</v>
      </c>
      <c r="F175">
        <f>IFERROR(__xludf.DUMMYFUNCTION("""COMPUTED_VALUE"""),40.6)</f>
        <v>40.6</v>
      </c>
    </row>
    <row r="176">
      <c r="A176" t="str">
        <f>IFERROR(__xludf.DUMMYFUNCTION("""COMPUTED_VALUE"""),"*1988*")</f>
        <v>*1988*</v>
      </c>
      <c r="B176" t="str">
        <f>IFERROR(__xludf.DUMMYFUNCTION("""COMPUTED_VALUE"""),"George H.W. Bush")</f>
        <v>George H.W. Bush</v>
      </c>
      <c r="C176" t="str">
        <f>IFERROR(__xludf.DUMMYFUNCTION("""COMPUTED_VALUE"""),"Republican")</f>
        <v>Republican</v>
      </c>
      <c r="D176">
        <f>IFERROR(__xludf.DUMMYFUNCTION("""COMPUTED_VALUE"""),426.0)</f>
        <v>426</v>
      </c>
      <c r="E176" s="2">
        <f>IFERROR(__xludf.DUMMYFUNCTION("""COMPUTED_VALUE"""),4.8886097E7)</f>
        <v>48886097</v>
      </c>
      <c r="F176">
        <f>IFERROR(__xludf.DUMMYFUNCTION("""COMPUTED_VALUE"""),53.4)</f>
        <v>53.4</v>
      </c>
    </row>
    <row r="177">
      <c r="A177" t="str">
        <f>IFERROR(__xludf.DUMMYFUNCTION("""COMPUTED_VALUE"""),"")</f>
        <v/>
      </c>
      <c r="B177" t="str">
        <f>IFERROR(__xludf.DUMMYFUNCTION("""COMPUTED_VALUE"""),"Michael S. Dukakis")</f>
        <v>Michael S. Dukakis</v>
      </c>
      <c r="C177" t="str">
        <f>IFERROR(__xludf.DUMMYFUNCTION("""COMPUTED_VALUE"""),"Democratic")</f>
        <v>Democratic</v>
      </c>
      <c r="D177">
        <f>IFERROR(__xludf.DUMMYFUNCTION("""COMPUTED_VALUE"""),111.0)</f>
        <v>111</v>
      </c>
      <c r="E177" s="2">
        <f>IFERROR(__xludf.DUMMYFUNCTION("""COMPUTED_VALUE"""),4.1809074E7)</f>
        <v>41809074</v>
      </c>
      <c r="F177">
        <f>IFERROR(__xludf.DUMMYFUNCTION("""COMPUTED_VALUE"""),45.7)</f>
        <v>45.7</v>
      </c>
    </row>
    <row r="178">
      <c r="A178" t="str">
        <f>IFERROR(__xludf.DUMMYFUNCTION("""COMPUTED_VALUE"""),"")</f>
        <v/>
      </c>
      <c r="B178" t="str">
        <f>IFERROR(__xludf.DUMMYFUNCTION("""COMPUTED_VALUE"""),"Lloyd Bentsen")</f>
        <v>Lloyd Bentsen</v>
      </c>
      <c r="C178" t="str">
        <f>IFERROR(__xludf.DUMMYFUNCTION("""COMPUTED_VALUE"""),"not a candidate")</f>
        <v>not a candidate</v>
      </c>
      <c r="D178">
        <f>IFERROR(__xludf.DUMMYFUNCTION("""COMPUTED_VALUE"""),1.0)</f>
        <v>1</v>
      </c>
      <c r="E178" t="str">
        <f>IFERROR(__xludf.DUMMYFUNCTION("""COMPUTED_VALUE"""),"")</f>
        <v/>
      </c>
      <c r="F178" t="str">
        <f>IFERROR(__xludf.DUMMYFUNCTION("""COMPUTED_VALUE"""),"")</f>
        <v/>
      </c>
    </row>
    <row r="179">
      <c r="A179" t="str">
        <f>IFERROR(__xludf.DUMMYFUNCTION("""COMPUTED_VALUE"""),"*1992*")</f>
        <v>*1992*</v>
      </c>
      <c r="B179" t="str">
        <f>IFERROR(__xludf.DUMMYFUNCTION("""COMPUTED_VALUE"""),"Bill Clinton")</f>
        <v>Bill Clinton</v>
      </c>
      <c r="C179" t="str">
        <f>IFERROR(__xludf.DUMMYFUNCTION("""COMPUTED_VALUE"""),"Democratic")</f>
        <v>Democratic</v>
      </c>
      <c r="D179">
        <f>IFERROR(__xludf.DUMMYFUNCTION("""COMPUTED_VALUE"""),370.0)</f>
        <v>370</v>
      </c>
      <c r="E179" s="2">
        <f>IFERROR(__xludf.DUMMYFUNCTION("""COMPUTED_VALUE"""),4.4909889E7)</f>
        <v>44909889</v>
      </c>
      <c r="F179">
        <f>IFERROR(__xludf.DUMMYFUNCTION("""COMPUTED_VALUE"""),43.0)</f>
        <v>43</v>
      </c>
    </row>
    <row r="180">
      <c r="A180" t="str">
        <f>IFERROR(__xludf.DUMMYFUNCTION("""COMPUTED_VALUE"""),"")</f>
        <v/>
      </c>
      <c r="B180" t="str">
        <f>IFERROR(__xludf.DUMMYFUNCTION("""COMPUTED_VALUE"""),"George Bush")</f>
        <v>George Bush</v>
      </c>
      <c r="C180" t="str">
        <f>IFERROR(__xludf.DUMMYFUNCTION("""COMPUTED_VALUE"""),"Republican")</f>
        <v>Republican</v>
      </c>
      <c r="D180">
        <f>IFERROR(__xludf.DUMMYFUNCTION("""COMPUTED_VALUE"""),168.0)</f>
        <v>168</v>
      </c>
      <c r="E180" s="2">
        <f>IFERROR(__xludf.DUMMYFUNCTION("""COMPUTED_VALUE"""),3.9104545E7)</f>
        <v>39104545</v>
      </c>
      <c r="F180">
        <f>IFERROR(__xludf.DUMMYFUNCTION("""COMPUTED_VALUE"""),37.4)</f>
        <v>37.4</v>
      </c>
    </row>
    <row r="181">
      <c r="A181" t="str">
        <f>IFERROR(__xludf.DUMMYFUNCTION("""COMPUTED_VALUE"""),"")</f>
        <v/>
      </c>
      <c r="B181" t="str">
        <f>IFERROR(__xludf.DUMMYFUNCTION("""COMPUTED_VALUE"""),"Ross Perot")</f>
        <v>Ross Perot</v>
      </c>
      <c r="C181" t="str">
        <f>IFERROR(__xludf.DUMMYFUNCTION("""COMPUTED_VALUE"""),"Independent")</f>
        <v>Independent</v>
      </c>
      <c r="D181" t="str">
        <f>IFERROR(__xludf.DUMMYFUNCTION("""COMPUTED_VALUE"""),"")</f>
        <v/>
      </c>
      <c r="E181" s="2">
        <f>IFERROR(__xludf.DUMMYFUNCTION("""COMPUTED_VALUE"""),1.9742267E7)</f>
        <v>19742267</v>
      </c>
      <c r="F181">
        <f>IFERROR(__xludf.DUMMYFUNCTION("""COMPUTED_VALUE"""),18.9)</f>
        <v>18.9</v>
      </c>
    </row>
    <row r="182">
      <c r="A182" t="str">
        <f>IFERROR(__xludf.DUMMYFUNCTION("""COMPUTED_VALUE"""),"*1996*")</f>
        <v>*1996*</v>
      </c>
      <c r="B182" t="str">
        <f>IFERROR(__xludf.DUMMYFUNCTION("""COMPUTED_VALUE"""),"Bill Clinton")</f>
        <v>Bill Clinton</v>
      </c>
      <c r="C182" t="str">
        <f>IFERROR(__xludf.DUMMYFUNCTION("""COMPUTED_VALUE"""),"Democratic")</f>
        <v>Democratic</v>
      </c>
      <c r="D182">
        <f>IFERROR(__xludf.DUMMYFUNCTION("""COMPUTED_VALUE"""),379.0)</f>
        <v>379</v>
      </c>
      <c r="E182" s="2">
        <f>IFERROR(__xludf.DUMMYFUNCTION("""COMPUTED_VALUE"""),4.7402357E7)</f>
        <v>47402357</v>
      </c>
      <c r="F182">
        <f>IFERROR(__xludf.DUMMYFUNCTION("""COMPUTED_VALUE"""),49.2)</f>
        <v>49.2</v>
      </c>
    </row>
    <row r="183">
      <c r="A183" t="str">
        <f>IFERROR(__xludf.DUMMYFUNCTION("""COMPUTED_VALUE"""),"")</f>
        <v/>
      </c>
      <c r="B183" t="str">
        <f>IFERROR(__xludf.DUMMYFUNCTION("""COMPUTED_VALUE"""),"Bob Dole")</f>
        <v>Bob Dole</v>
      </c>
      <c r="C183" t="str">
        <f>IFERROR(__xludf.DUMMYFUNCTION("""COMPUTED_VALUE"""),"Republican")</f>
        <v>Republican</v>
      </c>
      <c r="D183">
        <f>IFERROR(__xludf.DUMMYFUNCTION("""COMPUTED_VALUE"""),159.0)</f>
        <v>159</v>
      </c>
      <c r="E183" s="2">
        <f>IFERROR(__xludf.DUMMYFUNCTION("""COMPUTED_VALUE"""),3.9198755E7)</f>
        <v>39198755</v>
      </c>
      <c r="F183">
        <f>IFERROR(__xludf.DUMMYFUNCTION("""COMPUTED_VALUE"""),40.7)</f>
        <v>40.7</v>
      </c>
    </row>
    <row r="184">
      <c r="A184" t="str">
        <f>IFERROR(__xludf.DUMMYFUNCTION("""COMPUTED_VALUE"""),"")</f>
        <v/>
      </c>
      <c r="B184" t="str">
        <f>IFERROR(__xludf.DUMMYFUNCTION("""COMPUTED_VALUE"""),"Ross Perot")</f>
        <v>Ross Perot</v>
      </c>
      <c r="C184" t="str">
        <f>IFERROR(__xludf.DUMMYFUNCTION("""COMPUTED_VALUE"""),"Reform")</f>
        <v>Reform</v>
      </c>
      <c r="D184" t="str">
        <f>IFERROR(__xludf.DUMMYFUNCTION("""COMPUTED_VALUE"""),"")</f>
        <v/>
      </c>
      <c r="E184" s="2">
        <f>IFERROR(__xludf.DUMMYFUNCTION("""COMPUTED_VALUE"""),8085402.0)</f>
        <v>8085402</v>
      </c>
      <c r="F184">
        <f>IFERROR(__xludf.DUMMYFUNCTION("""COMPUTED_VALUE"""),8.4)</f>
        <v>8.4</v>
      </c>
    </row>
    <row r="185">
      <c r="A185" t="str">
        <f>IFERROR(__xludf.DUMMYFUNCTION("""COMPUTED_VALUE"""),"*2000*")</f>
        <v>*2000*</v>
      </c>
      <c r="B185" t="str">
        <f>IFERROR(__xludf.DUMMYFUNCTION("""COMPUTED_VALUE"""),"George W. Bush")</f>
        <v>George W. Bush</v>
      </c>
      <c r="C185" t="str">
        <f>IFERROR(__xludf.DUMMYFUNCTION("""COMPUTED_VALUE"""),"Republican")</f>
        <v>Republican</v>
      </c>
      <c r="D185">
        <f>IFERROR(__xludf.DUMMYFUNCTION("""COMPUTED_VALUE"""),271.0)</f>
        <v>271</v>
      </c>
      <c r="E185" s="2">
        <f>IFERROR(__xludf.DUMMYFUNCTION("""COMPUTED_VALUE"""),5.0456002E7)</f>
        <v>50456002</v>
      </c>
      <c r="F185">
        <f>IFERROR(__xludf.DUMMYFUNCTION("""COMPUTED_VALUE"""),47.9)</f>
        <v>47.9</v>
      </c>
    </row>
    <row r="186">
      <c r="A186" t="str">
        <f>IFERROR(__xludf.DUMMYFUNCTION("""COMPUTED_VALUE"""),"")</f>
        <v/>
      </c>
      <c r="B186" t="str">
        <f>IFERROR(__xludf.DUMMYFUNCTION("""COMPUTED_VALUE"""),"Al Gore")</f>
        <v>Al Gore</v>
      </c>
      <c r="C186" t="str">
        <f>IFERROR(__xludf.DUMMYFUNCTION("""COMPUTED_VALUE"""),"Democratic")</f>
        <v>Democratic</v>
      </c>
      <c r="D186">
        <f>IFERROR(__xludf.DUMMYFUNCTION("""COMPUTED_VALUE"""),26610.0)</f>
        <v>26610</v>
      </c>
      <c r="E186" s="2">
        <f>IFERROR(__xludf.DUMMYFUNCTION("""COMPUTED_VALUE"""),5.0999897E7)</f>
        <v>50999897</v>
      </c>
      <c r="F186">
        <f>IFERROR(__xludf.DUMMYFUNCTION("""COMPUTED_VALUE"""),48.4)</f>
        <v>48.4</v>
      </c>
    </row>
    <row r="187">
      <c r="A187" t="str">
        <f>IFERROR(__xludf.DUMMYFUNCTION("""COMPUTED_VALUE"""),"")</f>
        <v/>
      </c>
      <c r="B187" t="str">
        <f>IFERROR(__xludf.DUMMYFUNCTION("""COMPUTED_VALUE"""),"Ralph Nader")</f>
        <v>Ralph Nader</v>
      </c>
      <c r="C187" t="str">
        <f>IFERROR(__xludf.DUMMYFUNCTION("""COMPUTED_VALUE"""),"Green")</f>
        <v>Green</v>
      </c>
      <c r="D187" t="str">
        <f>IFERROR(__xludf.DUMMYFUNCTION("""COMPUTED_VALUE"""),"")</f>
        <v/>
      </c>
      <c r="E187" s="2">
        <f>IFERROR(__xludf.DUMMYFUNCTION("""COMPUTED_VALUE"""),2882955.0)</f>
        <v>2882955</v>
      </c>
      <c r="F187">
        <f>IFERROR(__xludf.DUMMYFUNCTION("""COMPUTED_VALUE"""),2.7)</f>
        <v>2.7</v>
      </c>
    </row>
    <row r="188">
      <c r="A188" t="str">
        <f>IFERROR(__xludf.DUMMYFUNCTION("""COMPUTED_VALUE"""),"*2004*")</f>
        <v>*2004*</v>
      </c>
      <c r="B188" t="str">
        <f>IFERROR(__xludf.DUMMYFUNCTION("""COMPUTED_VALUE"""),"George W. Bush")</f>
        <v>George W. Bush</v>
      </c>
      <c r="C188" t="str">
        <f>IFERROR(__xludf.DUMMYFUNCTION("""COMPUTED_VALUE"""),"Republican")</f>
        <v>Republican</v>
      </c>
      <c r="D188">
        <f>IFERROR(__xludf.DUMMYFUNCTION("""COMPUTED_VALUE"""),286.0)</f>
        <v>286</v>
      </c>
      <c r="E188" s="2">
        <f>IFERROR(__xludf.DUMMYFUNCTION("""COMPUTED_VALUE"""),6.2028285E7)</f>
        <v>62028285</v>
      </c>
      <c r="F188">
        <f>IFERROR(__xludf.DUMMYFUNCTION("""COMPUTED_VALUE"""),50.7)</f>
        <v>50.7</v>
      </c>
    </row>
    <row r="189">
      <c r="A189" t="str">
        <f>IFERROR(__xludf.DUMMYFUNCTION("""COMPUTED_VALUE"""),"")</f>
        <v/>
      </c>
      <c r="B189" t="str">
        <f>IFERROR(__xludf.DUMMYFUNCTION("""COMPUTED_VALUE"""),"John Kerry")</f>
        <v>John Kerry</v>
      </c>
      <c r="C189" t="str">
        <f>IFERROR(__xludf.DUMMYFUNCTION("""COMPUTED_VALUE"""),"Democratic")</f>
        <v>Democratic</v>
      </c>
      <c r="D189">
        <f>IFERROR(__xludf.DUMMYFUNCTION("""COMPUTED_VALUE"""),251.0)</f>
        <v>251</v>
      </c>
      <c r="E189" s="2">
        <f>IFERROR(__xludf.DUMMYFUNCTION("""COMPUTED_VALUE"""),5.9028109E7)</f>
        <v>59028109</v>
      </c>
      <c r="F189">
        <f>IFERROR(__xludf.DUMMYFUNCTION("""COMPUTED_VALUE"""),48.3)</f>
        <v>48.3</v>
      </c>
    </row>
    <row r="190">
      <c r="A190" t="str">
        <f>IFERROR(__xludf.DUMMYFUNCTION("""COMPUTED_VALUE"""),"")</f>
        <v/>
      </c>
      <c r="B190" t="str">
        <f>IFERROR(__xludf.DUMMYFUNCTION("""COMPUTED_VALUE"""),"John Edwards")</f>
        <v>John Edwards</v>
      </c>
      <c r="C190" t="str">
        <f>IFERROR(__xludf.DUMMYFUNCTION("""COMPUTED_VALUE"""),"not a candidate")</f>
        <v>not a candidate</v>
      </c>
      <c r="D190">
        <f>IFERROR(__xludf.DUMMYFUNCTION("""COMPUTED_VALUE"""),1.0)</f>
        <v>1</v>
      </c>
      <c r="E190" t="str">
        <f>IFERROR(__xludf.DUMMYFUNCTION("""COMPUTED_VALUE"""),"")</f>
        <v/>
      </c>
      <c r="F190" t="str">
        <f>IFERROR(__xludf.DUMMYFUNCTION("""COMPUTED_VALUE"""),"")</f>
        <v/>
      </c>
    </row>
    <row r="191">
      <c r="A191" t="str">
        <f>IFERROR(__xludf.DUMMYFUNCTION("""COMPUTED_VALUE"""),"*2008*")</f>
        <v>*2008*</v>
      </c>
      <c r="B191" t="str">
        <f>IFERROR(__xludf.DUMMYFUNCTION("""COMPUTED_VALUE"""),"Barack Obama")</f>
        <v>Barack Obama</v>
      </c>
      <c r="C191" t="str">
        <f>IFERROR(__xludf.DUMMYFUNCTION("""COMPUTED_VALUE"""),"Democratic")</f>
        <v>Democratic</v>
      </c>
      <c r="D191">
        <f>IFERROR(__xludf.DUMMYFUNCTION("""COMPUTED_VALUE"""),365.0)</f>
        <v>365</v>
      </c>
      <c r="E191" s="2">
        <f>IFERROR(__xludf.DUMMYFUNCTION("""COMPUTED_VALUE"""),6.9456E7)</f>
        <v>69456000</v>
      </c>
      <c r="F191">
        <f>IFERROR(__xludf.DUMMYFUNCTION("""COMPUTED_VALUE"""),52.9)</f>
        <v>52.9</v>
      </c>
    </row>
    <row r="192">
      <c r="A192" t="str">
        <f>IFERROR(__xludf.DUMMYFUNCTION("""COMPUTED_VALUE"""),"")</f>
        <v/>
      </c>
      <c r="B192" t="str">
        <f>IFERROR(__xludf.DUMMYFUNCTION("""COMPUTED_VALUE"""),"John McCain")</f>
        <v>John McCain</v>
      </c>
      <c r="C192" t="str">
        <f>IFERROR(__xludf.DUMMYFUNCTION("""COMPUTED_VALUE"""),"Republican")</f>
        <v>Republican</v>
      </c>
      <c r="D192">
        <f>IFERROR(__xludf.DUMMYFUNCTION("""COMPUTED_VALUE"""),173.0)</f>
        <v>173</v>
      </c>
      <c r="E192" s="2">
        <f>IFERROR(__xludf.DUMMYFUNCTION("""COMPUTED_VALUE"""),5.9934E7)</f>
        <v>59934000</v>
      </c>
      <c r="F192">
        <f>IFERROR(__xludf.DUMMYFUNCTION("""COMPUTED_VALUE"""),45.7)</f>
        <v>45.7</v>
      </c>
    </row>
    <row r="193">
      <c r="A193" t="str">
        <f>IFERROR(__xludf.DUMMYFUNCTION("""COMPUTED_VALUE"""),"*2012*")</f>
        <v>*2012*</v>
      </c>
      <c r="B193" t="str">
        <f>IFERROR(__xludf.DUMMYFUNCTION("""COMPUTED_VALUE"""),"Barack Obama")</f>
        <v>Barack Obama</v>
      </c>
      <c r="C193" t="str">
        <f>IFERROR(__xludf.DUMMYFUNCTION("""COMPUTED_VALUE"""),"Democratic")</f>
        <v>Democratic</v>
      </c>
      <c r="D193">
        <f>IFERROR(__xludf.DUMMYFUNCTION("""COMPUTED_VALUE"""),332.0)</f>
        <v>332</v>
      </c>
      <c r="E193" s="2">
        <f>IFERROR(__xludf.DUMMYFUNCTION("""COMPUTED_VALUE"""),6.5446032E7)</f>
        <v>65446032</v>
      </c>
      <c r="F193">
        <f>IFERROR(__xludf.DUMMYFUNCTION("""COMPUTED_VALUE"""),50.9)</f>
        <v>50.9</v>
      </c>
    </row>
    <row r="194">
      <c r="A194" t="str">
        <f>IFERROR(__xludf.DUMMYFUNCTION("""COMPUTED_VALUE"""),"")</f>
        <v/>
      </c>
      <c r="B194" t="str">
        <f>IFERROR(__xludf.DUMMYFUNCTION("""COMPUTED_VALUE"""),"Mitt Romney")</f>
        <v>Mitt Romney</v>
      </c>
      <c r="C194" t="str">
        <f>IFERROR(__xludf.DUMMYFUNCTION("""COMPUTED_VALUE"""),"Republican")</f>
        <v>Republican</v>
      </c>
      <c r="D194">
        <f>IFERROR(__xludf.DUMMYFUNCTION("""COMPUTED_VALUE"""),206.0)</f>
        <v>206</v>
      </c>
      <c r="E194" s="2">
        <f>IFERROR(__xludf.DUMMYFUNCTION("""COMPUTED_VALUE"""),6.0589084E7)</f>
        <v>60589084</v>
      </c>
      <c r="F194">
        <f>IFERROR(__xludf.DUMMYFUNCTION("""COMPUTED_VALUE"""),47.1)</f>
        <v>47.1</v>
      </c>
    </row>
    <row r="195">
      <c r="A195" t="str">
        <f>IFERROR(__xludf.DUMMYFUNCTION("""COMPUTED_VALUE"""),"*2016*")</f>
        <v>*2016*</v>
      </c>
      <c r="B195" t="str">
        <f>IFERROR(__xludf.DUMMYFUNCTION("""COMPUTED_VALUE"""),"Donald Trump")</f>
        <v>Donald Trump</v>
      </c>
      <c r="C195" t="str">
        <f>IFERROR(__xludf.DUMMYFUNCTION("""COMPUTED_VALUE"""),"Republican")</f>
        <v>Republican</v>
      </c>
      <c r="D195">
        <f>IFERROR(__xludf.DUMMYFUNCTION("""COMPUTED_VALUE"""),304.0)</f>
        <v>304</v>
      </c>
      <c r="E195" s="2">
        <f>IFERROR(__xludf.DUMMYFUNCTION("""COMPUTED_VALUE"""),6.2979636E7)</f>
        <v>62979636</v>
      </c>
      <c r="F195">
        <f>IFERROR(__xludf.DUMMYFUNCTION("""COMPUTED_VALUE"""),46.0)</f>
        <v>46</v>
      </c>
    </row>
    <row r="196">
      <c r="A196" t="str">
        <f>IFERROR(__xludf.DUMMYFUNCTION("""COMPUTED_VALUE"""),"")</f>
        <v/>
      </c>
      <c r="B196" t="str">
        <f>IFERROR(__xludf.DUMMYFUNCTION("""COMPUTED_VALUE"""),"Hillary Clinton")</f>
        <v>Hillary Clinton</v>
      </c>
      <c r="C196" t="str">
        <f>IFERROR(__xludf.DUMMYFUNCTION("""COMPUTED_VALUE"""),"Democrat")</f>
        <v>Democrat</v>
      </c>
      <c r="D196">
        <f>IFERROR(__xludf.DUMMYFUNCTION("""COMPUTED_VALUE"""),227.0)</f>
        <v>227</v>
      </c>
      <c r="E196" s="2">
        <f>IFERROR(__xludf.DUMMYFUNCTION("""COMPUTED_VALUE"""),6.584461E7)</f>
        <v>65844610</v>
      </c>
      <c r="F196">
        <f>IFERROR(__xludf.DUMMYFUNCTION("""COMPUTED_VALUE"""),48.1)</f>
        <v>48.1</v>
      </c>
    </row>
    <row r="197">
      <c r="A197" t="str">
        <f>IFERROR(__xludf.DUMMYFUNCTION("""COMPUTED_VALUE"""),"")</f>
        <v/>
      </c>
      <c r="B197" t="str">
        <f>IFERROR(__xludf.DUMMYFUNCTION("""COMPUTED_VALUE"""),"Colin Powell")</f>
        <v>Colin Powell</v>
      </c>
      <c r="C197" t="str">
        <f>IFERROR(__xludf.DUMMYFUNCTION("""COMPUTED_VALUE"""),"not a candidate")</f>
        <v>not a candidate</v>
      </c>
      <c r="D197">
        <f>IFERROR(__xludf.DUMMYFUNCTION("""COMPUTED_VALUE"""),3.0)</f>
        <v>3</v>
      </c>
      <c r="E197" t="str">
        <f>IFERROR(__xludf.DUMMYFUNCTION("""COMPUTED_VALUE"""),"")</f>
        <v/>
      </c>
      <c r="F197" t="str">
        <f>IFERROR(__xludf.DUMMYFUNCTION("""COMPUTED_VALUE"""),"")</f>
        <v/>
      </c>
    </row>
    <row r="198">
      <c r="A198" t="str">
        <f>IFERROR(__xludf.DUMMYFUNCTION("""COMPUTED_VALUE"""),"")</f>
        <v/>
      </c>
      <c r="B198" t="str">
        <f>IFERROR(__xludf.DUMMYFUNCTION("""COMPUTED_VALUE"""),"Bernie Sanders")</f>
        <v>Bernie Sanders</v>
      </c>
      <c r="C198" t="str">
        <f>IFERROR(__xludf.DUMMYFUNCTION("""COMPUTED_VALUE"""),"not a candidate")</f>
        <v>not a candidate</v>
      </c>
      <c r="D198">
        <f>IFERROR(__xludf.DUMMYFUNCTION("""COMPUTED_VALUE"""),1.0)</f>
        <v>1</v>
      </c>
      <c r="E198" t="str">
        <f>IFERROR(__xludf.DUMMYFUNCTION("""COMPUTED_VALUE"""),"")</f>
        <v/>
      </c>
      <c r="F198" t="str">
        <f>IFERROR(__xludf.DUMMYFUNCTION("""COMPUTED_VALUE"""),"")</f>
        <v/>
      </c>
    </row>
    <row r="199">
      <c r="A199" t="str">
        <f>IFERROR(__xludf.DUMMYFUNCTION("""COMPUTED_VALUE"""),"")</f>
        <v/>
      </c>
      <c r="B199" t="str">
        <f>IFERROR(__xludf.DUMMYFUNCTION("""COMPUTED_VALUE"""),"John Kasich")</f>
        <v>John Kasich</v>
      </c>
      <c r="C199" t="str">
        <f>IFERROR(__xludf.DUMMYFUNCTION("""COMPUTED_VALUE"""),"not a candidate")</f>
        <v>not a candidate</v>
      </c>
      <c r="D199">
        <f>IFERROR(__xludf.DUMMYFUNCTION("""COMPUTED_VALUE"""),1.0)</f>
        <v>1</v>
      </c>
      <c r="E199" t="str">
        <f>IFERROR(__xludf.DUMMYFUNCTION("""COMPUTED_VALUE"""),"")</f>
        <v/>
      </c>
      <c r="F199" t="str">
        <f>IFERROR(__xludf.DUMMYFUNCTION("""COMPUTED_VALUE"""),"")</f>
        <v/>
      </c>
    </row>
    <row r="200">
      <c r="A200" t="str">
        <f>IFERROR(__xludf.DUMMYFUNCTION("""COMPUTED_VALUE"""),"")</f>
        <v/>
      </c>
      <c r="B200" t="str">
        <f>IFERROR(__xludf.DUMMYFUNCTION("""COMPUTED_VALUE"""),"Ron Paul")</f>
        <v>Ron Paul</v>
      </c>
      <c r="C200" t="str">
        <f>IFERROR(__xludf.DUMMYFUNCTION("""COMPUTED_VALUE"""),"not a candidate")</f>
        <v>not a candidate</v>
      </c>
      <c r="D200">
        <f>IFERROR(__xludf.DUMMYFUNCTION("""COMPUTED_VALUE"""),1.0)</f>
        <v>1</v>
      </c>
      <c r="E200" t="str">
        <f>IFERROR(__xludf.DUMMYFUNCTION("""COMPUTED_VALUE"""),"")</f>
        <v/>
      </c>
      <c r="F200" t="str">
        <f>IFERROR(__xludf.DUMMYFUNCTION("""COMPUTED_VALUE"""),"")</f>
        <v/>
      </c>
    </row>
    <row r="201">
      <c r="A201" t="str">
        <f>IFERROR(__xludf.DUMMYFUNCTION("""COMPUTED_VALUE"""),"")</f>
        <v/>
      </c>
      <c r="B201" t="str">
        <f>IFERROR(__xludf.DUMMYFUNCTION("""COMPUTED_VALUE"""),"Faith Spotted Eagle")</f>
        <v>Faith Spotted Eagle</v>
      </c>
      <c r="C201" t="str">
        <f>IFERROR(__xludf.DUMMYFUNCTION("""COMPUTED_VALUE"""),"not a candidate")</f>
        <v>not a candidate</v>
      </c>
      <c r="D201">
        <f>IFERROR(__xludf.DUMMYFUNCTION("""COMPUTED_VALUE"""),1.0)</f>
        <v>1</v>
      </c>
      <c r="E201" t="str">
        <f>IFERROR(__xludf.DUMMYFUNCTION("""COMPUTED_VALUE"""),"")</f>
        <v/>
      </c>
      <c r="F201" t="str">
        <f>IFERROR(__xludf.DUMMYFUNCTION("""COMPUTED_VALUE"""),"")</f>
        <v/>
      </c>
    </row>
    <row r="202">
      <c r="A202" t="str">
        <f>IFERROR(__xludf.DUMMYFUNCTION("""COMPUTED_VALUE"""),"1In elections from 1789 to 1804, each elector voted for two individuals 
without indicating which was to be president and which was to be vice 
president.")</f>
        <v>1In elections from 1789 to 1804, each elector voted for two individuals 
without indicating which was to be president and which was to be vice 
president.</v>
      </c>
      <c r="B202" t="str">
        <f>IFERROR(__xludf.DUMMYFUNCTION("""COMPUTED_VALUE"""),"")</f>
        <v/>
      </c>
      <c r="C202" t="str">
        <f>IFERROR(__xludf.DUMMYFUNCTION("""COMPUTED_VALUE"""),"")</f>
        <v/>
      </c>
      <c r="D202" t="str">
        <f>IFERROR(__xludf.DUMMYFUNCTION("""COMPUTED_VALUE"""),"")</f>
        <v/>
      </c>
      <c r="E202" t="str">
        <f>IFERROR(__xludf.DUMMYFUNCTION("""COMPUTED_VALUE"""),"")</f>
        <v/>
      </c>
      <c r="F202" t="str">
        <f>IFERROR(__xludf.DUMMYFUNCTION("""COMPUTED_VALUE"""),"")</f>
        <v/>
      </c>
    </row>
    <row r="203">
      <c r="A203" t="str">
        <f>IFERROR(__xludf.DUMMYFUNCTION("""COMPUTED_VALUE"""),"2In early elections, electors were chosen by legislatures, not by popular 
vote, in many states.")</f>
        <v>2In early elections, electors were chosen by legislatures, not by popular 
vote, in many states.</v>
      </c>
      <c r="B203" t="str">
        <f>IFERROR(__xludf.DUMMYFUNCTION("""COMPUTED_VALUE"""),"")</f>
        <v/>
      </c>
      <c r="C203" t="str">
        <f>IFERROR(__xludf.DUMMYFUNCTION("""COMPUTED_VALUE"""),"")</f>
        <v/>
      </c>
      <c r="D203" t="str">
        <f>IFERROR(__xludf.DUMMYFUNCTION("""COMPUTED_VALUE"""),"")</f>
        <v/>
      </c>
      <c r="E203" t="str">
        <f>IFERROR(__xludf.DUMMYFUNCTION("""COMPUTED_VALUE"""),"")</f>
        <v/>
      </c>
      <c r="F203" t="str">
        <f>IFERROR(__xludf.DUMMYFUNCTION("""COMPUTED_VALUE"""),"")</f>
        <v/>
      </c>
    </row>
    <row r="204">
      <c r="A204" t="str">
        <f>IFERROR(__xludf.DUMMYFUNCTION("""COMPUTED_VALUE"""),"3Candidates winning no electoral votes and less than 2 percent of the 
popular vote are excluded; percentages may not add up to 100 percent 
because of rounding.")</f>
        <v>3Candidates winning no electoral votes and less than 2 percent of the 
popular vote are excluded; percentages may not add up to 100 percent 
because of rounding.</v>
      </c>
      <c r="B204" t="str">
        <f>IFERROR(__xludf.DUMMYFUNCTION("""COMPUTED_VALUE"""),"")</f>
        <v/>
      </c>
      <c r="C204" t="str">
        <f>IFERROR(__xludf.DUMMYFUNCTION("""COMPUTED_VALUE"""),"")</f>
        <v/>
      </c>
      <c r="D204" t="str">
        <f>IFERROR(__xludf.DUMMYFUNCTION("""COMPUTED_VALUE"""),"")</f>
        <v/>
      </c>
      <c r="E204" t="str">
        <f>IFERROR(__xludf.DUMMYFUNCTION("""COMPUTED_VALUE"""),"")</f>
        <v/>
      </c>
      <c r="F204" t="str">
        <f>IFERROR(__xludf.DUMMYFUNCTION("""COMPUTED_VALUE"""),"")</f>
        <v/>
      </c>
    </row>
    <row r="205">
      <c r="A205" t="str">
        <f>IFERROR(__xludf.DUMMYFUNCTION("""COMPUTED_VALUE"""),"4Washington was unopposed for president in 1789 and 1792.")</f>
        <v>4Washington was unopposed for president in 1789 and 1792.</v>
      </c>
      <c r="B205" t="str">
        <f>IFERROR(__xludf.DUMMYFUNCTION("""COMPUTED_VALUE"""),"")</f>
        <v/>
      </c>
      <c r="C205" t="str">
        <f>IFERROR(__xludf.DUMMYFUNCTION("""COMPUTED_VALUE"""),"")</f>
        <v/>
      </c>
      <c r="D205" t="str">
        <f>IFERROR(__xludf.DUMMYFUNCTION("""COMPUTED_VALUE"""),"")</f>
        <v/>
      </c>
      <c r="E205" t="str">
        <f>IFERROR(__xludf.DUMMYFUNCTION("""COMPUTED_VALUE"""),"")</f>
        <v/>
      </c>
      <c r="F205" t="str">
        <f>IFERROR(__xludf.DUMMYFUNCTION("""COMPUTED_VALUE"""),"")</f>
        <v/>
      </c>
    </row>
    <row r="206">
      <c r="A206" t="str">
        <f>IFERROR(__xludf.DUMMYFUNCTION("""COMPUTED_VALUE"""),"5Because the two houses of the New York legislature could not agree on 
electors, the state did not cast its electoral votes. North Carolina and 
Rhode Island had not yet ratified the Constitution.")</f>
        <v>5Because the two houses of the New York legislature could not agree on 
electors, the state did not cast its electoral votes. North Carolina and 
Rhode Island had not yet ratified the Constitution.</v>
      </c>
      <c r="B206" t="str">
        <f>IFERROR(__xludf.DUMMYFUNCTION("""COMPUTED_VALUE"""),"")</f>
        <v/>
      </c>
      <c r="C206" t="str">
        <f>IFERROR(__xludf.DUMMYFUNCTION("""COMPUTED_VALUE"""),"")</f>
        <v/>
      </c>
      <c r="D206" t="str">
        <f>IFERROR(__xludf.DUMMYFUNCTION("""COMPUTED_VALUE"""),"")</f>
        <v/>
      </c>
      <c r="E206" t="str">
        <f>IFERROR(__xludf.DUMMYFUNCTION("""COMPUTED_VALUE"""),"")</f>
        <v/>
      </c>
      <c r="F206" t="str">
        <f>IFERROR(__xludf.DUMMYFUNCTION("""COMPUTED_VALUE"""),"")</f>
        <v/>
      </c>
    </row>
    <row r="207">
      <c r="A207" t="str">
        <f>IFERROR(__xludf.DUMMYFUNCTION("""COMPUTED_VALUE"""),"6As both Jefferson and Burr received the same number of electoral votes, 
the decision was referred to the House of Representatives. The Twelfth 
Amendment (1804) provided that electors cast separate ballots for president 
and vice president.")</f>
        <v>6As both Jefferson and Burr received the same number of electoral votes, 
the decision was referred to the House of Representatives. The Twelfth 
Amendment (1804) provided that electors cast separate ballots for president 
and vice president.</v>
      </c>
      <c r="B207" t="str">
        <f>IFERROR(__xludf.DUMMYFUNCTION("""COMPUTED_VALUE"""),"")</f>
        <v/>
      </c>
      <c r="C207" t="str">
        <f>IFERROR(__xludf.DUMMYFUNCTION("""COMPUTED_VALUE"""),"")</f>
        <v/>
      </c>
      <c r="D207" t="str">
        <f>IFERROR(__xludf.DUMMYFUNCTION("""COMPUTED_VALUE"""),"")</f>
        <v/>
      </c>
      <c r="E207" t="str">
        <f>IFERROR(__xludf.DUMMYFUNCTION("""COMPUTED_VALUE"""),"")</f>
        <v/>
      </c>
      <c r="F207" t="str">
        <f>IFERROR(__xludf.DUMMYFUNCTION("""COMPUTED_VALUE"""),"")</f>
        <v/>
      </c>
    </row>
    <row r="208">
      <c r="A208" t="str">
        <f>IFERROR(__xludf.DUMMYFUNCTION("""COMPUTED_VALUE"""),"7As no candidate received a majority of the electoral votes, the decision 
was made by the House of Representatives.")</f>
        <v>7As no candidate received a majority of the electoral votes, the decision 
was made by the House of Representatives.</v>
      </c>
      <c r="B208" t="str">
        <f>IFERROR(__xludf.DUMMYFUNCTION("""COMPUTED_VALUE"""),"")</f>
        <v/>
      </c>
      <c r="C208" t="str">
        <f>IFERROR(__xludf.DUMMYFUNCTION("""COMPUTED_VALUE"""),"")</f>
        <v/>
      </c>
      <c r="D208" t="str">
        <f>IFERROR(__xludf.DUMMYFUNCTION("""COMPUTED_VALUE"""),"")</f>
        <v/>
      </c>
      <c r="E208" t="str">
        <f>IFERROR(__xludf.DUMMYFUNCTION("""COMPUTED_VALUE"""),"")</f>
        <v/>
      </c>
      <c r="F208" t="str">
        <f>IFERROR(__xludf.DUMMYFUNCTION("""COMPUTED_VALUE"""),"")</f>
        <v/>
      </c>
    </row>
    <row r="209">
      <c r="A209" t="str">
        <f>IFERROR(__xludf.DUMMYFUNCTION("""COMPUTED_VALUE"""),"8Greeley died shortly after the election in November. Three electors 
pledged to Greeley cast their votes for him, but they were not counted; the 
others cast their votes for the other candidates listed.")</f>
        <v>8Greeley died shortly after the election in November. Three electors 
pledged to Greeley cast their votes for him, but they were not counted; the 
others cast their votes for the other candidates listed.</v>
      </c>
      <c r="B209" t="str">
        <f>IFERROR(__xludf.DUMMYFUNCTION("""COMPUTED_VALUE"""),"")</f>
        <v/>
      </c>
      <c r="C209" t="str">
        <f>IFERROR(__xludf.DUMMYFUNCTION("""COMPUTED_VALUE"""),"")</f>
        <v/>
      </c>
      <c r="D209" t="str">
        <f>IFERROR(__xludf.DUMMYFUNCTION("""COMPUTED_VALUE"""),"")</f>
        <v/>
      </c>
      <c r="E209" t="str">
        <f>IFERROR(__xludf.DUMMYFUNCTION("""COMPUTED_VALUE"""),"")</f>
        <v/>
      </c>
      <c r="F209" t="str">
        <f>IFERROR(__xludf.DUMMYFUNCTION("""COMPUTED_VALUE"""),"")</f>
        <v/>
      </c>
    </row>
    <row r="210">
      <c r="A210" t="str">
        <f>IFERROR(__xludf.DUMMYFUNCTION("""COMPUTED_VALUE"""),"9Includes a variety of joint tickets with People's Party electors committed 
to Bryan.")</f>
        <v>9Includes a variety of joint tickets with People's Party electors committed 
to Bryan.</v>
      </c>
      <c r="B210" t="str">
        <f>IFERROR(__xludf.DUMMYFUNCTION("""COMPUTED_VALUE"""),"")</f>
        <v/>
      </c>
      <c r="C210" t="str">
        <f>IFERROR(__xludf.DUMMYFUNCTION("""COMPUTED_VALUE"""),"")</f>
        <v/>
      </c>
      <c r="D210" t="str">
        <f>IFERROR(__xludf.DUMMYFUNCTION("""COMPUTED_VALUE"""),"")</f>
        <v/>
      </c>
      <c r="E210" t="str">
        <f>IFERROR(__xludf.DUMMYFUNCTION("""COMPUTED_VALUE"""),"")</f>
        <v/>
      </c>
      <c r="F210" t="str">
        <f>IFERROR(__xludf.DUMMYFUNCTION("""COMPUTED_VALUE"""),"")</f>
        <v/>
      </c>
    </row>
    <row r="211">
      <c r="A211" t="str">
        <f>IFERROR(__xludf.DUMMYFUNCTION("""COMPUTED_VALUE"""),"10One Gore elector from Washington, D.C., abstained from casting an 
electoral vote.")</f>
        <v>10One Gore elector from Washington, D.C., abstained from casting an 
electoral vote.</v>
      </c>
      <c r="B211" t="str">
        <f>IFERROR(__xludf.DUMMYFUNCTION("""COMPUTED_VALUE"""),"")</f>
        <v/>
      </c>
      <c r="C211" t="str">
        <f>IFERROR(__xludf.DUMMYFUNCTION("""COMPUTED_VALUE"""),"")</f>
        <v/>
      </c>
      <c r="D211" t="str">
        <f>IFERROR(__xludf.DUMMYFUNCTION("""COMPUTED_VALUE"""),"")</f>
        <v/>
      </c>
      <c r="E211" t="str">
        <f>IFERROR(__xludf.DUMMYFUNCTION("""COMPUTED_VALUE"""),"")</f>
        <v/>
      </c>
      <c r="F211" t="str">
        <f>IFERROR(__xludf.DUMMYFUNCTION("""COMPUTED_VALUE"""),"")</f>
        <v/>
      </c>
    </row>
    <row r="212">
      <c r="A212" t="str">
        <f>IFERROR(__xludf.DUMMYFUNCTION("""COMPUTED_VALUE"""),"Sources: Electoral and popular vote totals based on data from the Office of 
the Clerk of the U.S. House of Representatives; the United States Office of 
the Federal Register; the Federal Election Commission; Congressional 
Quarterly's Guide to U.S. Elect"&amp;"ions, 4th ed. (2001); and the official 
certified state vote totals.")</f>
        <v>Sources: Electoral and popular vote totals based on data from the Office of 
the Clerk of the U.S. House of Representatives; the United States Office of 
the Federal Register; the Federal Election Commission; Congressional 
Quarterly's Guide to U.S. Elections, 4th ed. (2001); and the official 
certified state vote totals.</v>
      </c>
      <c r="B212" t="str">
        <f>IFERROR(__xludf.DUMMYFUNCTION("""COMPUTED_VALUE"""),"")</f>
        <v/>
      </c>
      <c r="C212" t="str">
        <f>IFERROR(__xludf.DUMMYFUNCTION("""COMPUTED_VALUE"""),"")</f>
        <v/>
      </c>
      <c r="D212" t="str">
        <f>IFERROR(__xludf.DUMMYFUNCTION("""COMPUTED_VALUE"""),"")</f>
        <v/>
      </c>
      <c r="E212" t="str">
        <f>IFERROR(__xludf.DUMMYFUNCTION("""COMPUTED_VALUE"""),"")</f>
        <v/>
      </c>
      <c r="F212" t="str">
        <f>IFERROR(__xludf.DUMMYFUNCTION("""COMPUTED_VALUE"""),"")</f>
        <v/>
      </c>
    </row>
  </sheetData>
  <drawing r:id="rId1"/>
</worksheet>
</file>