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el\Analog\Takshila VLSI - Analog Circuit Design\"/>
    </mc:Choice>
  </mc:AlternateContent>
  <xr:revisionPtr revIDLastSave="0" documentId="13_ncr:1_{BC2956DF-997A-4E66-8620-EB8C408D2C73}" xr6:coauthVersionLast="47" xr6:coauthVersionMax="47" xr10:uidLastSave="{00000000-0000-0000-0000-000000000000}"/>
  <bookViews>
    <workbookView xWindow="38290" yWindow="7550" windowWidth="19420" windowHeight="10420" xr2:uid="{41942C98-E657-4A90-95C4-30A07E38D69D}"/>
  </bookViews>
  <sheets>
    <sheet name="2 stage_pmos" sheetId="3" r:id="rId1"/>
    <sheet name="2 stage_nmos" sheetId="2" r:id="rId2"/>
    <sheet name="1 stage" sheetId="1" r:id="rId3"/>
  </sheets>
  <definedNames>
    <definedName name="Cc" localSheetId="0">'2 stage_pmos'!$F$19</definedName>
    <definedName name="Cc">'2 stage_nmos'!$F$19</definedName>
    <definedName name="CL" localSheetId="0">'2 stage_pmos'!$B$5</definedName>
    <definedName name="CL">'2 stage_nmos'!$B$5</definedName>
    <definedName name="GBW" localSheetId="0">'2 stage_pmos'!#REF!</definedName>
    <definedName name="GBW">'2 stage_nmos'!#REF!</definedName>
    <definedName name="gds2_" localSheetId="1">'2 stage_nmos'!$K$22</definedName>
    <definedName name="gds2_" localSheetId="0">'2 stage_pmos'!$K$22</definedName>
    <definedName name="gds2_">'1 stage'!$H$15</definedName>
    <definedName name="gds4_" localSheetId="1">'2 stage_nmos'!$K$23</definedName>
    <definedName name="gds4_" localSheetId="0">'2 stage_pmos'!$K$23</definedName>
    <definedName name="gds4_">'1 stage'!$H$16</definedName>
    <definedName name="gm2_" localSheetId="1">'2 stage_nmos'!$K$21</definedName>
    <definedName name="gm2_" localSheetId="0">'2 stage_pmos'!$K$21</definedName>
    <definedName name="gm2_">'1 stage'!$H$14</definedName>
    <definedName name="I_3" localSheetId="1">'2 stage_nmos'!$C$22</definedName>
    <definedName name="I_3" localSheetId="0">'2 stage_pmos'!$C$22</definedName>
    <definedName name="I_3">'1 stage'!$C$14</definedName>
    <definedName name="I0" localSheetId="1">'2 stage_nmos'!$C$20</definedName>
    <definedName name="I0" localSheetId="0">'2 stage_pmos'!$C$20</definedName>
    <definedName name="I0">'1 stage'!$C$12</definedName>
    <definedName name="ICMR_M" localSheetId="0">'2 stage_pmos'!$B$7</definedName>
    <definedName name="ICMR_M">'2 stage_nmos'!$B$7</definedName>
    <definedName name="ICMR_p" localSheetId="0">'2 stage_pmos'!$B$6</definedName>
    <definedName name="ICMR_p">'2 stage_nmos'!$B$6</definedName>
    <definedName name="SR" localSheetId="0">'2 stage_pmos'!$B$15</definedName>
    <definedName name="SR">'2 stage_nmos'!$B$15</definedName>
    <definedName name="uncox" localSheetId="1">'2 stage_nmos'!$F$5</definedName>
    <definedName name="uncox" localSheetId="0">'2 stage_pmos'!$F$5</definedName>
    <definedName name="uncox">'1 stage'!$F$5</definedName>
    <definedName name="upcox" localSheetId="1">'2 stage_nmos'!$F$7</definedName>
    <definedName name="upcox" localSheetId="0">'2 stage_pmos'!$F$7</definedName>
    <definedName name="upcox">'1 stage'!$F$7</definedName>
    <definedName name="Vdd" localSheetId="0">'2 stage_pmos'!$B$3</definedName>
    <definedName name="Vdd">'2 stage_nmos'!$B$3</definedName>
    <definedName name="vgs_3" localSheetId="1">'2 stage_nmos'!#REF!</definedName>
    <definedName name="vgs_3" localSheetId="0">'2 stage_pmos'!#REF!</definedName>
    <definedName name="vgs_3">'1 stage'!$C$18</definedName>
    <definedName name="vthn" localSheetId="1">'2 stage_nmos'!$F$6</definedName>
    <definedName name="vthn" localSheetId="0">'2 stage_pmos'!$F$6</definedName>
    <definedName name="vthn">'1 stage'!$F$6</definedName>
    <definedName name="vthp" localSheetId="1">'2 stage_nmos'!$F$8</definedName>
    <definedName name="vthp" localSheetId="0">'2 stage_pmos'!$F$8</definedName>
    <definedName name="vthp">'1 stage'!$F$8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3" l="1"/>
  <c r="C62" i="3"/>
  <c r="C61" i="3"/>
  <c r="D61" i="3" s="1"/>
  <c r="C57" i="3"/>
  <c r="C55" i="3" s="1"/>
  <c r="C59" i="3"/>
  <c r="D56" i="3"/>
  <c r="C46" i="3"/>
  <c r="D46" i="3" s="1"/>
  <c r="C45" i="3"/>
  <c r="D45" i="3" s="1"/>
  <c r="C33" i="3"/>
  <c r="D33" i="3" s="1"/>
  <c r="C50" i="3"/>
  <c r="H33" i="3"/>
  <c r="C38" i="3"/>
  <c r="D38" i="3" s="1"/>
  <c r="F32" i="3"/>
  <c r="F31" i="3"/>
  <c r="K27" i="3"/>
  <c r="I27" i="3"/>
  <c r="K26" i="3"/>
  <c r="I26" i="3"/>
  <c r="K25" i="3"/>
  <c r="I25" i="3"/>
  <c r="K23" i="3"/>
  <c r="I23" i="3"/>
  <c r="K22" i="3"/>
  <c r="I22" i="3"/>
  <c r="F22" i="3"/>
  <c r="C30" i="3" s="1"/>
  <c r="C32" i="3" s="1"/>
  <c r="K21" i="3"/>
  <c r="I21" i="3"/>
  <c r="C20" i="3"/>
  <c r="C22" i="3" s="1"/>
  <c r="D22" i="3" s="1"/>
  <c r="C19" i="3"/>
  <c r="D19" i="3" s="1"/>
  <c r="B12" i="3"/>
  <c r="C26" i="3" s="1"/>
  <c r="F7" i="3"/>
  <c r="C35" i="3" s="1"/>
  <c r="F5" i="3"/>
  <c r="C47" i="2"/>
  <c r="D47" i="2"/>
  <c r="C46" i="2"/>
  <c r="D46" i="2" s="1"/>
  <c r="C35" i="2"/>
  <c r="C36" i="2" s="1"/>
  <c r="C34" i="2"/>
  <c r="C33" i="2"/>
  <c r="D33" i="2" s="1"/>
  <c r="C53" i="3" l="1"/>
  <c r="C34" i="3"/>
  <c r="D34" i="3" s="1"/>
  <c r="C37" i="3"/>
  <c r="I20" i="3"/>
  <c r="K20" i="3"/>
  <c r="I24" i="3"/>
  <c r="C21" i="3"/>
  <c r="C24" i="3" s="1"/>
  <c r="K24" i="3"/>
  <c r="D50" i="3"/>
  <c r="C31" i="3"/>
  <c r="D20" i="3"/>
  <c r="C43" i="3"/>
  <c r="C44" i="3" s="1"/>
  <c r="C36" i="3"/>
  <c r="C25" i="3"/>
  <c r="C28" i="3"/>
  <c r="C37" i="2"/>
  <c r="K28" i="3" l="1"/>
  <c r="C23" i="3"/>
  <c r="C39" i="3"/>
  <c r="D39" i="3" s="1"/>
  <c r="I28" i="3"/>
  <c r="D21" i="3"/>
  <c r="C29" i="3"/>
  <c r="D29" i="3" l="1"/>
  <c r="C49" i="3"/>
  <c r="C40" i="3"/>
  <c r="C42" i="3" s="1"/>
  <c r="D42" i="3" s="1"/>
  <c r="C41" i="3" l="1"/>
  <c r="C51" i="3"/>
  <c r="D51" i="3" s="1"/>
  <c r="D49" i="3"/>
  <c r="F32" i="2" l="1"/>
  <c r="F31" i="2"/>
  <c r="I21" i="2" l="1"/>
  <c r="I22" i="2"/>
  <c r="I23" i="2"/>
  <c r="C38" i="2"/>
  <c r="C20" i="2"/>
  <c r="F22" i="2"/>
  <c r="B12" i="2"/>
  <c r="C26" i="2" s="1"/>
  <c r="C19" i="2"/>
  <c r="F7" i="2"/>
  <c r="F5" i="2"/>
  <c r="C43" i="2" s="1"/>
  <c r="I25" i="2"/>
  <c r="I27" i="2"/>
  <c r="I26" i="2"/>
  <c r="K27" i="2"/>
  <c r="K26" i="2"/>
  <c r="K25" i="2"/>
  <c r="K23" i="2"/>
  <c r="K22" i="2"/>
  <c r="K21" i="2"/>
  <c r="C25" i="2" l="1"/>
  <c r="C21" i="2"/>
  <c r="C30" i="2"/>
  <c r="D20" i="2"/>
  <c r="C28" i="2"/>
  <c r="K24" i="2"/>
  <c r="K20" i="2"/>
  <c r="I24" i="2"/>
  <c r="I20" i="2"/>
  <c r="D19" i="2"/>
  <c r="C22" i="2"/>
  <c r="I17" i="1"/>
  <c r="H17" i="1"/>
  <c r="I13" i="1"/>
  <c r="H13" i="1"/>
  <c r="C39" i="2" l="1"/>
  <c r="D39" i="2" s="1"/>
  <c r="C23" i="2"/>
  <c r="C24" i="2"/>
  <c r="C29" i="2"/>
  <c r="K28" i="2"/>
  <c r="I28" i="2"/>
  <c r="D22" i="2"/>
  <c r="D21" i="2"/>
  <c r="C22" i="1"/>
  <c r="F8" i="1"/>
  <c r="C17" i="1"/>
  <c r="C18" i="1" s="1"/>
  <c r="C12" i="1"/>
  <c r="E12" i="1" s="1"/>
  <c r="F6" i="1"/>
  <c r="C16" i="1" s="1"/>
  <c r="F5" i="1"/>
  <c r="D29" i="2" l="1"/>
  <c r="D38" i="2"/>
  <c r="E22" i="1"/>
  <c r="C14" i="1"/>
  <c r="C40" i="2" l="1"/>
  <c r="C31" i="2"/>
  <c r="C32" i="2"/>
  <c r="C19" i="1"/>
  <c r="E14" i="1"/>
  <c r="C23" i="1"/>
  <c r="C41" i="2" l="1"/>
  <c r="C42" i="2"/>
  <c r="D42" i="2" s="1"/>
  <c r="D34" i="2"/>
  <c r="C24" i="1"/>
  <c r="C25" i="1"/>
  <c r="C21" i="1"/>
  <c r="C20" i="1"/>
  <c r="C26" i="1"/>
  <c r="C44" i="2" l="1"/>
  <c r="E26" i="1"/>
  <c r="C27" i="1"/>
  <c r="C28" i="1" s="1"/>
  <c r="C29" i="1" l="1"/>
  <c r="C30" i="1"/>
</calcChain>
</file>

<file path=xl/sharedStrings.xml><?xml version="1.0" encoding="utf-8"?>
<sst xmlns="http://schemas.openxmlformats.org/spreadsheetml/2006/main" count="374" uniqueCount="151">
  <si>
    <t>Vdd</t>
  </si>
  <si>
    <t xml:space="preserve">Spec : </t>
  </si>
  <si>
    <t>V</t>
  </si>
  <si>
    <t>val</t>
  </si>
  <si>
    <t>unit</t>
  </si>
  <si>
    <t>Av</t>
  </si>
  <si>
    <t>dB</t>
  </si>
  <si>
    <t>CL</t>
  </si>
  <si>
    <t>pF</t>
  </si>
  <si>
    <t>ICMR+</t>
  </si>
  <si>
    <t>ICMR-</t>
  </si>
  <si>
    <t>SR</t>
  </si>
  <si>
    <t>V/usec</t>
  </si>
  <si>
    <t xml:space="preserve">Pdiss &lt; </t>
  </si>
  <si>
    <t>mW</t>
  </si>
  <si>
    <t>GBW</t>
  </si>
  <si>
    <t>MHz</t>
  </si>
  <si>
    <t>L</t>
  </si>
  <si>
    <t>um</t>
  </si>
  <si>
    <t xml:space="preserve">const : </t>
  </si>
  <si>
    <t>I0</t>
  </si>
  <si>
    <t>uncox</t>
  </si>
  <si>
    <t>A/V^2</t>
  </si>
  <si>
    <t>vthn</t>
  </si>
  <si>
    <t>upcox</t>
  </si>
  <si>
    <t>vthp</t>
  </si>
  <si>
    <t>I0=SR*CL</t>
  </si>
  <si>
    <t>A</t>
  </si>
  <si>
    <t>uA</t>
  </si>
  <si>
    <t>W/L_3</t>
  </si>
  <si>
    <t>2*I3/(upcox*(Vgs3-vthp)^2)</t>
  </si>
  <si>
    <t>I3=I4=0.5*I0</t>
  </si>
  <si>
    <t>Vgs3 = Vdd-Vx</t>
  </si>
  <si>
    <t>Vx&gt;ICMR+ - vthn</t>
  </si>
  <si>
    <t>Vx</t>
  </si>
  <si>
    <t>Vgs3</t>
  </si>
  <si>
    <t>calc</t>
  </si>
  <si>
    <t>W3</t>
  </si>
  <si>
    <t>W4</t>
  </si>
  <si>
    <t>W/L_1:</t>
  </si>
  <si>
    <t>gm1 = GBW*2pi*CL</t>
  </si>
  <si>
    <t>uS</t>
  </si>
  <si>
    <t>S</t>
  </si>
  <si>
    <t>W/L_3=</t>
  </si>
  <si>
    <t>W/L1=</t>
  </si>
  <si>
    <t>gm1^2/(2*I3*uncox)</t>
  </si>
  <si>
    <t>W1</t>
  </si>
  <si>
    <t>W2</t>
  </si>
  <si>
    <t xml:space="preserve">W/L5 : </t>
  </si>
  <si>
    <t>Vgs1 = sqrt(2*I3/(uncox*W/L1))+vthn</t>
  </si>
  <si>
    <t>mV</t>
  </si>
  <si>
    <t xml:space="preserve">Vds,sat &lt; </t>
  </si>
  <si>
    <t>ICMR- - Vgs1</t>
  </si>
  <si>
    <t>W/L_5=</t>
  </si>
  <si>
    <t>2*I0/(upcox*(Vds,sat)^2)</t>
  </si>
  <si>
    <t>W5</t>
  </si>
  <si>
    <t>W8</t>
  </si>
  <si>
    <t>assumption</t>
  </si>
  <si>
    <t>M3=M4</t>
  </si>
  <si>
    <t>M1=M2</t>
  </si>
  <si>
    <t>M5=M8</t>
  </si>
  <si>
    <t xml:space="preserve">from simulation : </t>
  </si>
  <si>
    <t>Av=gm2/(gds2+gds4)</t>
  </si>
  <si>
    <t>gm2</t>
  </si>
  <si>
    <t>gds2</t>
  </si>
  <si>
    <t>gds4</t>
  </si>
  <si>
    <t>f_3dB</t>
  </si>
  <si>
    <t>???</t>
  </si>
  <si>
    <t>PM</t>
  </si>
  <si>
    <t>deg</t>
  </si>
  <si>
    <t>Cc</t>
  </si>
  <si>
    <t>Parameter</t>
  </si>
  <si>
    <t>Equation</t>
  </si>
  <si>
    <t>Value</t>
  </si>
  <si>
    <t>Units</t>
  </si>
  <si>
    <t>Value+margin</t>
  </si>
  <si>
    <t>2*I3/[upcox*(Vdd-ICMR(+)-vthp+vthn)^2]</t>
  </si>
  <si>
    <t>2*Lmin=0.26[um]</t>
  </si>
  <si>
    <t>gm1</t>
  </si>
  <si>
    <t>2*I0/(uncox*(Vds,sat)^2)</t>
  </si>
  <si>
    <t>Wbias</t>
  </si>
  <si>
    <t>Vds,sat &gt;</t>
  </si>
  <si>
    <t>ICMR(-) - sqrt(2*I3/(uncox*W/L1))-vthn</t>
  </si>
  <si>
    <t>gm6</t>
  </si>
  <si>
    <t>gm6&gt;10*gm1</t>
  </si>
  <si>
    <t>W/L6=</t>
  </si>
  <si>
    <t>gm4</t>
  </si>
  <si>
    <t>W6</t>
  </si>
  <si>
    <t>W/L7=</t>
  </si>
  <si>
    <t>I7*(W/L)5/I0</t>
  </si>
  <si>
    <t>I6=I4*(W/L)6/(W/L)4</t>
  </si>
  <si>
    <t>I6=I7</t>
  </si>
  <si>
    <t>W7</t>
  </si>
  <si>
    <t>Av1=gm2/(gds2+gds4)</t>
  </si>
  <si>
    <t>gds6</t>
  </si>
  <si>
    <t>gds7</t>
  </si>
  <si>
    <t>Av_total</t>
  </si>
  <si>
    <t>Av2=gm6/(gds6+gds7)</t>
  </si>
  <si>
    <t>Vaa</t>
  </si>
  <si>
    <t>TT</t>
  </si>
  <si>
    <t>Cc &gt; 0.25*CL</t>
  </si>
  <si>
    <t>Itail=I5</t>
  </si>
  <si>
    <t>Itail=SR*Cc</t>
  </si>
  <si>
    <t>T_slew</t>
  </si>
  <si>
    <t>T_sm_sig</t>
  </si>
  <si>
    <t>Vinmax</t>
  </si>
  <si>
    <t>Vinmin</t>
  </si>
  <si>
    <t>dVin</t>
  </si>
  <si>
    <t>OCMR+</t>
  </si>
  <si>
    <t>OCMR-</t>
  </si>
  <si>
    <t>t1 = C_L(Vswing-Vsm,sig)/Itail</t>
  </si>
  <si>
    <t>Vov1</t>
  </si>
  <si>
    <t>assume 100mV</t>
  </si>
  <si>
    <t>Vswing = dVin, Vsm,sig = sqrt(2)*Vov</t>
  </si>
  <si>
    <t>Vacc</t>
  </si>
  <si>
    <t>t2 = (C_c/gm1)*ln(Vsm,sig/Vacc)</t>
  </si>
  <si>
    <t>Ts</t>
  </si>
  <si>
    <t>us</t>
  </si>
  <si>
    <t>/gm1</t>
  </si>
  <si>
    <t>sqrt(upcox*(W/L)_3*2*I3)</t>
  </si>
  <si>
    <t>GBW = gm1/(Cc*2*pi)</t>
  </si>
  <si>
    <t>(W/L)_3*gm6/gm4</t>
  </si>
  <si>
    <t>Rz</t>
  </si>
  <si>
    <t>Rz=(1/gm6)*((CL+Cc)/Cc</t>
  </si>
  <si>
    <t>mS</t>
  </si>
  <si>
    <t xml:space="preserve">gm6_new = </t>
  </si>
  <si>
    <t>kOhm</t>
  </si>
  <si>
    <t>Rz=(1/gm6)</t>
  </si>
  <si>
    <t>2*I3/[uncox*(Vdd-ICMR(+)-vthn+vthp)^2]</t>
  </si>
  <si>
    <t xml:space="preserve">Compensation  - </t>
  </si>
  <si>
    <t>gm6 &gt; 2.2gm1*CL/Cc</t>
  </si>
  <si>
    <t>Pnd</t>
  </si>
  <si>
    <t>Pnd = gm6/(CL*2*pi)</t>
  </si>
  <si>
    <t>Zero</t>
  </si>
  <si>
    <t>Z = gm6/(Cc*2*pi)</t>
  </si>
  <si>
    <t>W/L_Rz</t>
  </si>
  <si>
    <t>W/L = 1/(upcox*Rz*Vov^2)</t>
  </si>
  <si>
    <t>W/L_1 = sqrt(W/L_4*W/L_2)*sqrt(I2/I4)*Cc/(Cc+CL)</t>
  </si>
  <si>
    <t>from simulations</t>
  </si>
  <si>
    <t>I2=I6</t>
  </si>
  <si>
    <t>W/L_4</t>
  </si>
  <si>
    <t>W/L_2</t>
  </si>
  <si>
    <t>assume</t>
  </si>
  <si>
    <t>I4</t>
  </si>
  <si>
    <t>W/L1_Rz</t>
  </si>
  <si>
    <t>Beta multiplier</t>
  </si>
  <si>
    <t>Iout</t>
  </si>
  <si>
    <t>Iout=(2/unCox*Rs^2)*(1-1/sqrt(K))^2</t>
  </si>
  <si>
    <t>Rs</t>
  </si>
  <si>
    <t>K</t>
  </si>
  <si>
    <t>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</si>
</sst>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1"/>
    <xf numFmtId="0" fontId="1" fillId="0" borderId="0" xfId="1" quotePrefix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976760F4-2DAE-4D15-BF88-DD179910A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B785-411A-4BD8-955E-B86D1CE3C82C}">
  <dimension ref="A1:L63"/>
  <sheetViews>
    <sheetView tabSelected="1" topLeftCell="A51" zoomScaleNormal="100" workbookViewId="0">
      <selection activeCell="E63" sqref="E63"/>
    </sheetView>
  </sheetViews>
  <sheetFormatPr defaultRowHeight="13.5" x14ac:dyDescent="0.35"/>
  <cols>
    <col min="1" max="1" width="10.3125" bestFit="1" customWidth="1"/>
    <col min="2" max="2" width="38.5625" bestFit="1" customWidth="1"/>
    <col min="3" max="3" width="12.5625" bestFit="1" customWidth="1"/>
    <col min="4" max="4" width="10.1875" bestFit="1" customWidth="1"/>
    <col min="6" max="6" width="16.3125" bestFit="1" customWidth="1"/>
    <col min="7" max="7" width="6.4375" bestFit="1" customWidth="1"/>
    <col min="8" max="8" width="19.5625" bestFit="1" customWidth="1"/>
    <col min="9" max="9" width="11.6875" bestFit="1" customWidth="1"/>
  </cols>
  <sheetData>
    <row r="1" spans="1:8" ht="13.9" thickBot="1" x14ac:dyDescent="0.4"/>
    <row r="2" spans="1:8" ht="13.9" x14ac:dyDescent="0.4">
      <c r="A2" s="2" t="s">
        <v>1</v>
      </c>
      <c r="B2" s="3" t="s">
        <v>3</v>
      </c>
      <c r="C2" s="4" t="s">
        <v>4</v>
      </c>
    </row>
    <row r="3" spans="1:8" x14ac:dyDescent="0.35">
      <c r="A3" s="5" t="s">
        <v>98</v>
      </c>
      <c r="B3">
        <v>2.5</v>
      </c>
      <c r="C3" s="6" t="s">
        <v>2</v>
      </c>
      <c r="E3" t="s">
        <v>19</v>
      </c>
      <c r="F3" t="s">
        <v>77</v>
      </c>
      <c r="H3" t="s">
        <v>57</v>
      </c>
    </row>
    <row r="4" spans="1:8" x14ac:dyDescent="0.35">
      <c r="A4" s="5" t="s">
        <v>5</v>
      </c>
      <c r="B4">
        <v>70</v>
      </c>
      <c r="C4" s="6" t="s">
        <v>6</v>
      </c>
      <c r="E4" t="s">
        <v>17</v>
      </c>
      <c r="F4">
        <v>1</v>
      </c>
      <c r="G4" t="s">
        <v>18</v>
      </c>
      <c r="H4" t="s">
        <v>58</v>
      </c>
    </row>
    <row r="5" spans="1:8" x14ac:dyDescent="0.35">
      <c r="A5" s="5" t="s">
        <v>7</v>
      </c>
      <c r="B5">
        <v>20</v>
      </c>
      <c r="C5" s="6" t="s">
        <v>8</v>
      </c>
      <c r="D5" t="s">
        <v>99</v>
      </c>
      <c r="E5" t="s">
        <v>21</v>
      </c>
      <c r="F5">
        <f>0.000215</f>
        <v>2.1499999999999999E-4</v>
      </c>
      <c r="G5" t="s">
        <v>22</v>
      </c>
      <c r="H5" t="s">
        <v>59</v>
      </c>
    </row>
    <row r="6" spans="1:8" x14ac:dyDescent="0.35">
      <c r="A6" s="5" t="s">
        <v>9</v>
      </c>
      <c r="B6">
        <v>1.4</v>
      </c>
      <c r="C6" s="6" t="s">
        <v>2</v>
      </c>
      <c r="D6" t="s">
        <v>99</v>
      </c>
      <c r="E6" t="s">
        <v>23</v>
      </c>
      <c r="F6">
        <v>0.5</v>
      </c>
      <c r="G6" t="s">
        <v>2</v>
      </c>
      <c r="H6" t="s">
        <v>60</v>
      </c>
    </row>
    <row r="7" spans="1:8" x14ac:dyDescent="0.35">
      <c r="A7" s="5" t="s">
        <v>10</v>
      </c>
      <c r="B7">
        <v>0.4</v>
      </c>
      <c r="C7" s="6" t="s">
        <v>2</v>
      </c>
      <c r="D7" t="s">
        <v>99</v>
      </c>
      <c r="E7" t="s">
        <v>24</v>
      </c>
      <c r="F7">
        <f>0.000125</f>
        <v>1.25E-4</v>
      </c>
      <c r="G7" t="s">
        <v>22</v>
      </c>
      <c r="H7" s="10"/>
    </row>
    <row r="8" spans="1:8" x14ac:dyDescent="0.35">
      <c r="A8" s="5" t="s">
        <v>108</v>
      </c>
      <c r="B8">
        <v>2.1</v>
      </c>
      <c r="C8" s="6" t="s">
        <v>2</v>
      </c>
      <c r="D8" t="s">
        <v>99</v>
      </c>
      <c r="E8" t="s">
        <v>25</v>
      </c>
      <c r="F8">
        <v>0.45</v>
      </c>
      <c r="G8" t="s">
        <v>2</v>
      </c>
      <c r="H8" s="10"/>
    </row>
    <row r="9" spans="1:8" x14ac:dyDescent="0.35">
      <c r="A9" s="5" t="s">
        <v>109</v>
      </c>
      <c r="B9">
        <v>0.4</v>
      </c>
      <c r="C9" s="6" t="s">
        <v>2</v>
      </c>
      <c r="H9" s="10"/>
    </row>
    <row r="10" spans="1:8" x14ac:dyDescent="0.35">
      <c r="A10" s="5" t="s">
        <v>105</v>
      </c>
      <c r="B10">
        <v>1.5</v>
      </c>
      <c r="C10" s="6" t="s">
        <v>2</v>
      </c>
      <c r="H10" s="10"/>
    </row>
    <row r="11" spans="1:8" x14ac:dyDescent="0.35">
      <c r="A11" s="5" t="s">
        <v>106</v>
      </c>
      <c r="B11">
        <v>0.5</v>
      </c>
      <c r="C11" s="6" t="s">
        <v>2</v>
      </c>
    </row>
    <row r="12" spans="1:8" x14ac:dyDescent="0.35">
      <c r="A12" s="5" t="s">
        <v>107</v>
      </c>
      <c r="B12">
        <f>B10-B11</f>
        <v>1</v>
      </c>
      <c r="C12" s="6" t="s">
        <v>2</v>
      </c>
    </row>
    <row r="13" spans="1:8" x14ac:dyDescent="0.35">
      <c r="A13" s="5" t="s">
        <v>114</v>
      </c>
      <c r="B13">
        <v>1</v>
      </c>
      <c r="C13" s="6" t="s">
        <v>50</v>
      </c>
    </row>
    <row r="14" spans="1:8" x14ac:dyDescent="0.35">
      <c r="A14" s="5" t="s">
        <v>116</v>
      </c>
      <c r="B14">
        <v>1</v>
      </c>
      <c r="C14" s="6" t="s">
        <v>117</v>
      </c>
    </row>
    <row r="15" spans="1:8" x14ac:dyDescent="0.35">
      <c r="A15" s="5" t="s">
        <v>11</v>
      </c>
      <c r="B15">
        <v>4</v>
      </c>
      <c r="C15" s="6" t="s">
        <v>12</v>
      </c>
    </row>
    <row r="16" spans="1:8" ht="13.9" thickBot="1" x14ac:dyDescent="0.4">
      <c r="A16" s="7" t="s">
        <v>68</v>
      </c>
      <c r="B16" s="8"/>
      <c r="C16" s="9" t="s">
        <v>69</v>
      </c>
    </row>
    <row r="18" spans="1:12" x14ac:dyDescent="0.35">
      <c r="A18" t="s">
        <v>71</v>
      </c>
      <c r="B18" t="s">
        <v>72</v>
      </c>
      <c r="C18" t="s">
        <v>73</v>
      </c>
      <c r="E18" t="s">
        <v>74</v>
      </c>
      <c r="F18" t="s">
        <v>75</v>
      </c>
    </row>
    <row r="19" spans="1:12" ht="13.9" x14ac:dyDescent="0.4">
      <c r="A19" s="1" t="s">
        <v>70</v>
      </c>
      <c r="B19" s="11" t="s">
        <v>100</v>
      </c>
      <c r="C19">
        <f>0.25*CL*0.000000000001</f>
        <v>4.9999999999999997E-12</v>
      </c>
      <c r="D19">
        <f>C19*1000000000000</f>
        <v>5</v>
      </c>
      <c r="E19" t="s">
        <v>8</v>
      </c>
      <c r="F19" s="1">
        <v>5</v>
      </c>
      <c r="H19" s="1" t="s">
        <v>61</v>
      </c>
      <c r="I19" s="18" t="s">
        <v>9</v>
      </c>
      <c r="J19" s="18"/>
      <c r="K19" s="18" t="s">
        <v>10</v>
      </c>
      <c r="L19" s="18"/>
    </row>
    <row r="20" spans="1:12" ht="13.9" x14ac:dyDescent="0.4">
      <c r="A20" s="1" t="s">
        <v>101</v>
      </c>
      <c r="B20" s="11" t="s">
        <v>102</v>
      </c>
      <c r="C20">
        <f>(SR/0.000001)*(F19*0.000000000001)</f>
        <v>1.9999999999999998E-5</v>
      </c>
      <c r="D20">
        <f>I0*1000000</f>
        <v>20</v>
      </c>
      <c r="E20" t="s">
        <v>28</v>
      </c>
      <c r="F20">
        <v>20</v>
      </c>
      <c r="H20" s="11" t="s">
        <v>93</v>
      </c>
      <c r="I20">
        <f>20*LOG10(I21/(I22+I23))</f>
        <v>29.273681002847646</v>
      </c>
      <c r="J20" t="s">
        <v>6</v>
      </c>
      <c r="K20">
        <f>20*LOG10(K21/(K22+K23))</f>
        <v>32.237869880740114</v>
      </c>
      <c r="L20" t="s">
        <v>6</v>
      </c>
    </row>
    <row r="21" spans="1:12" x14ac:dyDescent="0.35">
      <c r="A21" t="s">
        <v>43</v>
      </c>
      <c r="B21" s="11" t="s">
        <v>128</v>
      </c>
      <c r="C21" s="15">
        <f>2*(F22*0.000001)/(uncox*(Vdd-ICMR_p-vthn+vthp)^2)</f>
        <v>8.4374835205399984E-2</v>
      </c>
      <c r="D21" s="15">
        <f>C21</f>
        <v>8.4374835205399984E-2</v>
      </c>
      <c r="F21" s="15">
        <v>0.08</v>
      </c>
      <c r="H21" t="s">
        <v>63</v>
      </c>
      <c r="I21">
        <f>0.00017248</f>
        <v>1.7248E-4</v>
      </c>
      <c r="J21" s="10"/>
      <c r="K21" s="10">
        <f>0.0001608</f>
        <v>1.6080000000000001E-4</v>
      </c>
      <c r="L21" s="10"/>
    </row>
    <row r="22" spans="1:12" x14ac:dyDescent="0.35">
      <c r="B22" t="s">
        <v>31</v>
      </c>
      <c r="C22">
        <f>I0/2</f>
        <v>9.9999999999999991E-6</v>
      </c>
      <c r="D22">
        <f>C22*1000000</f>
        <v>10</v>
      </c>
      <c r="E22" t="s">
        <v>28</v>
      </c>
      <c r="F22">
        <f>F20/2</f>
        <v>10</v>
      </c>
      <c r="H22" t="s">
        <v>64</v>
      </c>
      <c r="I22">
        <f>0.00000384</f>
        <v>3.8399999999999997E-6</v>
      </c>
      <c r="J22" s="10"/>
      <c r="K22" s="10">
        <f>0.00000205</f>
        <v>2.0499999999999999E-6</v>
      </c>
      <c r="L22" s="10"/>
    </row>
    <row r="23" spans="1:12" ht="13.9" x14ac:dyDescent="0.4">
      <c r="A23" s="1" t="s">
        <v>37</v>
      </c>
      <c r="C23" s="15">
        <f>(C21/$F$4)</f>
        <v>8.4374835205399984E-2</v>
      </c>
      <c r="F23" s="1">
        <v>0.3</v>
      </c>
      <c r="H23" t="s">
        <v>65</v>
      </c>
      <c r="I23">
        <f>0.00000209</f>
        <v>2.0899999999999999E-6</v>
      </c>
      <c r="J23" s="10"/>
      <c r="K23" s="10">
        <f>0.00000188</f>
        <v>1.88E-6</v>
      </c>
      <c r="L23" s="10"/>
    </row>
    <row r="24" spans="1:12" ht="13.9" x14ac:dyDescent="0.4">
      <c r="A24" s="1" t="s">
        <v>38</v>
      </c>
      <c r="C24" s="15">
        <f>(C21/$F$4)</f>
        <v>8.4374835205399984E-2</v>
      </c>
      <c r="F24" s="1">
        <v>0.3</v>
      </c>
      <c r="H24" s="11" t="s">
        <v>97</v>
      </c>
      <c r="I24">
        <f>20*LOG(I25/(I26+I27))</f>
        <v>32.759544542825125</v>
      </c>
      <c r="J24" t="s">
        <v>6</v>
      </c>
      <c r="K24">
        <f>20*LOG(K25/(K26+K27))</f>
        <v>32.755614275953512</v>
      </c>
      <c r="L24" t="s">
        <v>6</v>
      </c>
    </row>
    <row r="25" spans="1:12" x14ac:dyDescent="0.35">
      <c r="A25" s="13" t="s">
        <v>103</v>
      </c>
      <c r="B25" s="14" t="s">
        <v>110</v>
      </c>
      <c r="C25" s="10">
        <f>(CL*0.000000000001/I0)*(C26-SQRT(2)*0.1)</f>
        <v>8.5857864376269044E-7</v>
      </c>
      <c r="D25" s="13"/>
      <c r="H25" t="s">
        <v>83</v>
      </c>
      <c r="I25">
        <f>0.00192</f>
        <v>1.92E-3</v>
      </c>
      <c r="K25">
        <f>0.00192</f>
        <v>1.92E-3</v>
      </c>
    </row>
    <row r="26" spans="1:12" x14ac:dyDescent="0.35">
      <c r="B26" s="13" t="s">
        <v>113</v>
      </c>
      <c r="C26">
        <f>B12</f>
        <v>1</v>
      </c>
      <c r="H26" t="s">
        <v>94</v>
      </c>
      <c r="I26">
        <f>0.00002212</f>
        <v>2.2120000000000002E-5</v>
      </c>
      <c r="K26">
        <f>0.00002214</f>
        <v>2.2140000000000001E-5</v>
      </c>
    </row>
    <row r="27" spans="1:12" x14ac:dyDescent="0.35">
      <c r="A27" t="s">
        <v>111</v>
      </c>
      <c r="B27" s="13" t="s">
        <v>112</v>
      </c>
      <c r="C27">
        <v>0.1</v>
      </c>
      <c r="H27" t="s">
        <v>95</v>
      </c>
      <c r="I27">
        <f>0.00002207</f>
        <v>2.207E-5</v>
      </c>
      <c r="K27">
        <f>0.00002207</f>
        <v>2.207E-5</v>
      </c>
    </row>
    <row r="28" spans="1:12" ht="13.9" x14ac:dyDescent="0.4">
      <c r="A28" s="13" t="s">
        <v>104</v>
      </c>
      <c r="B28" s="14" t="s">
        <v>115</v>
      </c>
      <c r="C28">
        <f>C19*LN(SQRT(2)*C27/(B13*0.001))</f>
        <v>2.4758718881340322E-11</v>
      </c>
      <c r="D28" t="s">
        <v>118</v>
      </c>
      <c r="H28" s="1" t="s">
        <v>96</v>
      </c>
      <c r="I28" s="1">
        <f>I20+I24</f>
        <v>62.033225545672771</v>
      </c>
      <c r="J28" s="1" t="s">
        <v>6</v>
      </c>
      <c r="K28" s="1">
        <f>K20+K24</f>
        <v>64.993484156693626</v>
      </c>
      <c r="L28" s="1" t="s">
        <v>6</v>
      </c>
    </row>
    <row r="29" spans="1:12" ht="13.9" x14ac:dyDescent="0.4">
      <c r="A29" t="s">
        <v>78</v>
      </c>
      <c r="B29" s="13"/>
      <c r="C29" s="10">
        <f>C28/((B14*0.000001)-C25)</f>
        <v>1.7507058014487153E-4</v>
      </c>
      <c r="D29" s="16">
        <f>C29*1000000</f>
        <v>175.07058014487154</v>
      </c>
      <c r="E29" t="s">
        <v>41</v>
      </c>
      <c r="F29">
        <v>175</v>
      </c>
      <c r="H29" s="1"/>
      <c r="I29" s="1"/>
      <c r="J29" s="1"/>
      <c r="K29" s="1"/>
      <c r="L29" s="1"/>
    </row>
    <row r="30" spans="1:12" x14ac:dyDescent="0.35">
      <c r="A30" t="s">
        <v>44</v>
      </c>
      <c r="B30" t="s">
        <v>45</v>
      </c>
      <c r="C30" s="15">
        <f>(F29*0.000001)^2/(2*(F22*0.000001)*uncox)</f>
        <v>7.1220930232558137</v>
      </c>
      <c r="D30">
        <v>7</v>
      </c>
      <c r="F30">
        <v>8</v>
      </c>
    </row>
    <row r="31" spans="1:12" ht="13.9" x14ac:dyDescent="0.4">
      <c r="A31" s="1" t="s">
        <v>46</v>
      </c>
      <c r="C31">
        <f>ROUNDUP(C30*$F$4,0)</f>
        <v>8</v>
      </c>
      <c r="F31" s="1">
        <f>F30/$F$4</f>
        <v>8</v>
      </c>
    </row>
    <row r="32" spans="1:12" ht="13.9" x14ac:dyDescent="0.4">
      <c r="A32" s="1" t="s">
        <v>47</v>
      </c>
      <c r="C32">
        <f>ROUNDUP(C30*$F$4,0)</f>
        <v>8</v>
      </c>
      <c r="F32" s="1">
        <f>F30/$F$4</f>
        <v>8</v>
      </c>
    </row>
    <row r="33" spans="1:8" ht="13.9" x14ac:dyDescent="0.4">
      <c r="A33" t="s">
        <v>15</v>
      </c>
      <c r="B33" t="s">
        <v>120</v>
      </c>
      <c r="C33">
        <f>(F29*0.000001)/((Cc*0.000000000001)*2*PI())</f>
        <v>5570423.0082163373</v>
      </c>
      <c r="D33">
        <f>C33/1000000</f>
        <v>5.5704230082163377</v>
      </c>
      <c r="E33" t="s">
        <v>16</v>
      </c>
      <c r="F33" s="1"/>
      <c r="H33">
        <f>920/5</f>
        <v>184</v>
      </c>
    </row>
    <row r="34" spans="1:8" x14ac:dyDescent="0.35">
      <c r="A34" t="s">
        <v>81</v>
      </c>
      <c r="B34" t="s">
        <v>82</v>
      </c>
      <c r="C34" s="10">
        <f>ICMR_M-SQRT((2*(F22*0.000001))/(upcox*F30))-vthp</f>
        <v>-0.19142135623730949</v>
      </c>
      <c r="D34">
        <f>C34*1000</f>
        <v>-191.42135623730948</v>
      </c>
      <c r="E34" t="s">
        <v>50</v>
      </c>
      <c r="F34">
        <v>-191</v>
      </c>
    </row>
    <row r="35" spans="1:8" x14ac:dyDescent="0.35">
      <c r="A35" t="s">
        <v>53</v>
      </c>
      <c r="B35" s="11" t="s">
        <v>79</v>
      </c>
      <c r="C35" s="15">
        <f>2*(F20*0.000001)/(upcox*(F34*0.001)^2)</f>
        <v>8.7716893725500942</v>
      </c>
    </row>
    <row r="36" spans="1:8" ht="13.9" x14ac:dyDescent="0.4">
      <c r="A36" s="1" t="s">
        <v>55</v>
      </c>
      <c r="C36">
        <f>ROUNDUP(C35/$F$4,0)</f>
        <v>9</v>
      </c>
      <c r="F36" s="1">
        <v>9</v>
      </c>
    </row>
    <row r="37" spans="1:8" ht="13.9" x14ac:dyDescent="0.4">
      <c r="A37" s="1" t="s">
        <v>80</v>
      </c>
      <c r="C37">
        <f>ROUNDUP(C35/$F$4,0)</f>
        <v>9</v>
      </c>
      <c r="F37" s="1">
        <v>9</v>
      </c>
    </row>
    <row r="38" spans="1:8" x14ac:dyDescent="0.35">
      <c r="A38" t="s">
        <v>83</v>
      </c>
      <c r="B38" s="11" t="s">
        <v>84</v>
      </c>
      <c r="C38" s="10">
        <f>10*(F29*0.000001)</f>
        <v>1.75E-3</v>
      </c>
      <c r="D38">
        <f>C38*1000000</f>
        <v>1750</v>
      </c>
      <c r="E38" t="s">
        <v>41</v>
      </c>
      <c r="F38">
        <v>1750</v>
      </c>
    </row>
    <row r="39" spans="1:8" x14ac:dyDescent="0.35">
      <c r="A39" t="s">
        <v>86</v>
      </c>
      <c r="B39" s="11" t="s">
        <v>119</v>
      </c>
      <c r="C39">
        <f>SQRT(uncox*C21*2*(F22*0.000001))</f>
        <v>1.9047619047619046E-5</v>
      </c>
      <c r="D39" s="15">
        <f>C39*1000000</f>
        <v>19.047619047619047</v>
      </c>
      <c r="E39" t="s">
        <v>41</v>
      </c>
    </row>
    <row r="40" spans="1:8" x14ac:dyDescent="0.35">
      <c r="A40" t="s">
        <v>85</v>
      </c>
      <c r="B40" s="11" t="s">
        <v>121</v>
      </c>
      <c r="C40">
        <f>F21*F38/D39</f>
        <v>7.35</v>
      </c>
    </row>
    <row r="41" spans="1:8" ht="13.9" x14ac:dyDescent="0.4">
      <c r="A41" s="1" t="s">
        <v>87</v>
      </c>
      <c r="C41">
        <f>ROUNDUP(C40/$F$4,0)</f>
        <v>8</v>
      </c>
      <c r="F41" s="1">
        <v>8</v>
      </c>
    </row>
    <row r="42" spans="1:8" x14ac:dyDescent="0.35">
      <c r="A42" t="s">
        <v>91</v>
      </c>
      <c r="B42" s="11" t="s">
        <v>90</v>
      </c>
      <c r="C42">
        <f>(F22*0.000001)*C40/F21</f>
        <v>9.1874999999999975E-4</v>
      </c>
      <c r="D42">
        <f>C42*1000000</f>
        <v>918.74999999999977</v>
      </c>
      <c r="E42" t="s">
        <v>28</v>
      </c>
      <c r="F42">
        <v>1006</v>
      </c>
    </row>
    <row r="43" spans="1:8" x14ac:dyDescent="0.35">
      <c r="A43" t="s">
        <v>88</v>
      </c>
      <c r="B43" s="11" t="s">
        <v>89</v>
      </c>
      <c r="C43">
        <f>((F42*0.000001)*C35/(F20*0.000001))</f>
        <v>441.21597543926976</v>
      </c>
    </row>
    <row r="44" spans="1:8" ht="13.9" x14ac:dyDescent="0.4">
      <c r="A44" s="1" t="s">
        <v>92</v>
      </c>
      <c r="C44">
        <f>ROUNDUP(C43/$F$4,0)</f>
        <v>442</v>
      </c>
      <c r="F44" s="1">
        <v>442</v>
      </c>
    </row>
    <row r="45" spans="1:8" x14ac:dyDescent="0.35">
      <c r="A45" t="s">
        <v>131</v>
      </c>
      <c r="B45" t="s">
        <v>132</v>
      </c>
      <c r="C45">
        <f>(F38*0.000001)/((CL*0.000000000001)*2*PI())</f>
        <v>13926057.520540841</v>
      </c>
      <c r="D45">
        <f>C45/1000000</f>
        <v>13.926057520540841</v>
      </c>
      <c r="E45" t="s">
        <v>16</v>
      </c>
    </row>
    <row r="46" spans="1:8" x14ac:dyDescent="0.35">
      <c r="A46" t="s">
        <v>133</v>
      </c>
      <c r="B46" t="s">
        <v>134</v>
      </c>
      <c r="C46">
        <f>(F38*0.000001)/(('2 stage_pmos'!Cc*0.000000000001)*2*PI())</f>
        <v>55704230.082163364</v>
      </c>
      <c r="D46">
        <f>C46/1000000</f>
        <v>55.704230082163363</v>
      </c>
      <c r="E46" t="s">
        <v>16</v>
      </c>
    </row>
    <row r="48" spans="1:8" ht="13.9" x14ac:dyDescent="0.4">
      <c r="A48" s="1"/>
      <c r="B48" s="1" t="s">
        <v>129</v>
      </c>
    </row>
    <row r="49" spans="1:6" ht="13.9" x14ac:dyDescent="0.4">
      <c r="A49" t="s">
        <v>83</v>
      </c>
      <c r="B49" t="s">
        <v>130</v>
      </c>
      <c r="C49" s="10">
        <f>2.2*C29*(CL/Cc)</f>
        <v>1.5406211052748696E-3</v>
      </c>
      <c r="D49" s="15">
        <f>C49*1000</f>
        <v>1.5406211052748695</v>
      </c>
      <c r="E49" t="s">
        <v>124</v>
      </c>
      <c r="F49" s="1">
        <v>0.88100000000000001</v>
      </c>
    </row>
    <row r="50" spans="1:6" x14ac:dyDescent="0.35">
      <c r="A50" t="s">
        <v>122</v>
      </c>
      <c r="B50" t="s">
        <v>123</v>
      </c>
      <c r="C50" s="10">
        <f>(1/(F49*0.001))*(CL+Cc)/Cc</f>
        <v>5675.3688989784332</v>
      </c>
      <c r="D50">
        <f>C50/1000</f>
        <v>5.6753688989784328</v>
      </c>
      <c r="E50" t="s">
        <v>126</v>
      </c>
    </row>
    <row r="51" spans="1:6" x14ac:dyDescent="0.35">
      <c r="A51" t="s">
        <v>122</v>
      </c>
      <c r="B51" t="s">
        <v>127</v>
      </c>
      <c r="C51" s="10">
        <f>(1/C49)</f>
        <v>649.08886200256563</v>
      </c>
      <c r="D51">
        <f>C51/1000</f>
        <v>0.64908886200256566</v>
      </c>
      <c r="E51" t="s">
        <v>126</v>
      </c>
    </row>
    <row r="53" spans="1:6" x14ac:dyDescent="0.35">
      <c r="A53" t="s">
        <v>135</v>
      </c>
      <c r="B53" t="s">
        <v>136</v>
      </c>
      <c r="C53">
        <f>1/(upcox*C50*C54^2)</f>
        <v>35.239999999999995</v>
      </c>
    </row>
    <row r="54" spans="1:6" x14ac:dyDescent="0.35">
      <c r="C54">
        <v>0.2</v>
      </c>
    </row>
    <row r="55" spans="1:6" x14ac:dyDescent="0.35">
      <c r="A55" t="s">
        <v>144</v>
      </c>
      <c r="B55" s="17" t="s">
        <v>137</v>
      </c>
      <c r="C55" s="15">
        <f>SQRT(C58*C57)*SQRT(C56/(D59*0.000001))*(Cc/(Cc+CL))</f>
        <v>18.242806801586209</v>
      </c>
    </row>
    <row r="56" spans="1:6" x14ac:dyDescent="0.35">
      <c r="A56" t="s">
        <v>139</v>
      </c>
      <c r="B56" t="s">
        <v>138</v>
      </c>
      <c r="C56" s="10">
        <v>5.1999999999999997E-5</v>
      </c>
      <c r="D56">
        <f>C56*1000000</f>
        <v>52</v>
      </c>
      <c r="E56" t="s">
        <v>28</v>
      </c>
      <c r="F56">
        <v>52</v>
      </c>
    </row>
    <row r="57" spans="1:6" x14ac:dyDescent="0.35">
      <c r="A57" t="s">
        <v>141</v>
      </c>
      <c r="B57" t="s">
        <v>138</v>
      </c>
      <c r="C57">
        <f>40*2</f>
        <v>80</v>
      </c>
    </row>
    <row r="58" spans="1:6" x14ac:dyDescent="0.35">
      <c r="A58" t="s">
        <v>140</v>
      </c>
      <c r="B58" t="s">
        <v>142</v>
      </c>
      <c r="C58">
        <v>40</v>
      </c>
    </row>
    <row r="59" spans="1:6" x14ac:dyDescent="0.35">
      <c r="A59" t="s">
        <v>143</v>
      </c>
      <c r="C59">
        <f>0.00002</f>
        <v>2.0000000000000002E-5</v>
      </c>
      <c r="D59">
        <v>20</v>
      </c>
      <c r="E59" t="s">
        <v>28</v>
      </c>
      <c r="F59">
        <v>20</v>
      </c>
    </row>
    <row r="60" spans="1:6" ht="13.9" x14ac:dyDescent="0.4">
      <c r="B60" s="1" t="s">
        <v>145</v>
      </c>
    </row>
    <row r="61" spans="1:6" x14ac:dyDescent="0.35">
      <c r="A61" t="s">
        <v>146</v>
      </c>
      <c r="B61" t="s">
        <v>147</v>
      </c>
      <c r="C61">
        <f>(2/(uncox*C62^2))*(1-1/SQRT(C63))^2</f>
        <v>2.0312528564493296E-5</v>
      </c>
      <c r="D61">
        <f>C61*1000000</f>
        <v>20.312528564493295</v>
      </c>
      <c r="E61" t="s">
        <v>28</v>
      </c>
    </row>
    <row r="62" spans="1:6" x14ac:dyDescent="0.35">
      <c r="A62" t="s">
        <v>148</v>
      </c>
      <c r="B62" t="s">
        <v>142</v>
      </c>
      <c r="C62" s="10">
        <f>10700</f>
        <v>10700</v>
      </c>
      <c r="D62" s="19">
        <f>C62/1000</f>
        <v>10.7</v>
      </c>
      <c r="E62" t="s">
        <v>150</v>
      </c>
    </row>
    <row r="63" spans="1:6" x14ac:dyDescent="0.35">
      <c r="A63" t="s">
        <v>149</v>
      </c>
      <c r="B63" t="s">
        <v>142</v>
      </c>
      <c r="C63">
        <v>4</v>
      </c>
    </row>
  </sheetData>
  <mergeCells count="2">
    <mergeCell ref="I19:J19"/>
    <mergeCell ref="K19:L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9427-092F-42CB-9AA5-738407CC93E4}">
  <dimension ref="A1:L47"/>
  <sheetViews>
    <sheetView topLeftCell="A16" zoomScale="80" zoomScaleNormal="80" workbookViewId="0">
      <selection activeCell="B24" sqref="B24"/>
    </sheetView>
  </sheetViews>
  <sheetFormatPr defaultRowHeight="13.5" x14ac:dyDescent="0.35"/>
  <cols>
    <col min="1" max="1" width="10.3125" bestFit="1" customWidth="1"/>
    <col min="2" max="2" width="38.5625" bestFit="1" customWidth="1"/>
    <col min="3" max="3" width="12.5625" bestFit="1" customWidth="1"/>
    <col min="4" max="4" width="10.1875" bestFit="1" customWidth="1"/>
    <col min="6" max="6" width="16.3125" bestFit="1" customWidth="1"/>
    <col min="7" max="7" width="6.4375" bestFit="1" customWidth="1"/>
    <col min="8" max="8" width="19.5625" bestFit="1" customWidth="1"/>
    <col min="9" max="9" width="11.6875" bestFit="1" customWidth="1"/>
  </cols>
  <sheetData>
    <row r="1" spans="1:8" ht="13.9" thickBot="1" x14ac:dyDescent="0.4"/>
    <row r="2" spans="1:8" ht="13.9" x14ac:dyDescent="0.4">
      <c r="A2" s="2" t="s">
        <v>1</v>
      </c>
      <c r="B2" s="3" t="s">
        <v>3</v>
      </c>
      <c r="C2" s="4" t="s">
        <v>4</v>
      </c>
    </row>
    <row r="3" spans="1:8" x14ac:dyDescent="0.35">
      <c r="A3" s="5" t="s">
        <v>98</v>
      </c>
      <c r="B3">
        <v>2.5</v>
      </c>
      <c r="C3" s="6" t="s">
        <v>2</v>
      </c>
      <c r="E3" t="s">
        <v>19</v>
      </c>
      <c r="F3" t="s">
        <v>77</v>
      </c>
      <c r="H3" t="s">
        <v>57</v>
      </c>
    </row>
    <row r="4" spans="1:8" x14ac:dyDescent="0.35">
      <c r="A4" s="5" t="s">
        <v>5</v>
      </c>
      <c r="B4">
        <v>70</v>
      </c>
      <c r="C4" s="6" t="s">
        <v>6</v>
      </c>
      <c r="E4" t="s">
        <v>17</v>
      </c>
      <c r="F4">
        <v>1</v>
      </c>
      <c r="G4" t="s">
        <v>18</v>
      </c>
      <c r="H4" t="s">
        <v>58</v>
      </c>
    </row>
    <row r="5" spans="1:8" x14ac:dyDescent="0.35">
      <c r="A5" s="5" t="s">
        <v>7</v>
      </c>
      <c r="B5">
        <v>20</v>
      </c>
      <c r="C5" s="6" t="s">
        <v>8</v>
      </c>
      <c r="D5" t="s">
        <v>99</v>
      </c>
      <c r="E5" t="s">
        <v>21</v>
      </c>
      <c r="F5">
        <f>0.000215</f>
        <v>2.1499999999999999E-4</v>
      </c>
      <c r="G5" t="s">
        <v>22</v>
      </c>
      <c r="H5" t="s">
        <v>59</v>
      </c>
    </row>
    <row r="6" spans="1:8" x14ac:dyDescent="0.35">
      <c r="A6" s="5" t="s">
        <v>9</v>
      </c>
      <c r="B6">
        <v>1.4</v>
      </c>
      <c r="C6" s="6" t="s">
        <v>2</v>
      </c>
      <c r="D6" t="s">
        <v>99</v>
      </c>
      <c r="E6" t="s">
        <v>23</v>
      </c>
      <c r="F6">
        <v>0.5</v>
      </c>
      <c r="G6" t="s">
        <v>2</v>
      </c>
      <c r="H6" t="s">
        <v>60</v>
      </c>
    </row>
    <row r="7" spans="1:8" x14ac:dyDescent="0.35">
      <c r="A7" s="5" t="s">
        <v>10</v>
      </c>
      <c r="B7">
        <v>0.4</v>
      </c>
      <c r="C7" s="6" t="s">
        <v>2</v>
      </c>
      <c r="D7" t="s">
        <v>99</v>
      </c>
      <c r="E7" t="s">
        <v>24</v>
      </c>
      <c r="F7">
        <f>0.000125</f>
        <v>1.25E-4</v>
      </c>
      <c r="G7" t="s">
        <v>22</v>
      </c>
      <c r="H7" s="10"/>
    </row>
    <row r="8" spans="1:8" x14ac:dyDescent="0.35">
      <c r="A8" s="5" t="s">
        <v>108</v>
      </c>
      <c r="B8">
        <v>2.1</v>
      </c>
      <c r="C8" s="6" t="s">
        <v>2</v>
      </c>
      <c r="D8" t="s">
        <v>99</v>
      </c>
      <c r="E8" t="s">
        <v>25</v>
      </c>
      <c r="F8">
        <v>0.45</v>
      </c>
      <c r="G8" t="s">
        <v>2</v>
      </c>
      <c r="H8" s="10"/>
    </row>
    <row r="9" spans="1:8" x14ac:dyDescent="0.35">
      <c r="A9" s="5" t="s">
        <v>109</v>
      </c>
      <c r="B9">
        <v>0.4</v>
      </c>
      <c r="C9" s="6" t="s">
        <v>2</v>
      </c>
      <c r="H9" s="10"/>
    </row>
    <row r="10" spans="1:8" x14ac:dyDescent="0.35">
      <c r="A10" s="5" t="s">
        <v>105</v>
      </c>
      <c r="B10">
        <v>1.5</v>
      </c>
      <c r="C10" s="6" t="s">
        <v>2</v>
      </c>
      <c r="H10" s="10"/>
    </row>
    <row r="11" spans="1:8" x14ac:dyDescent="0.35">
      <c r="A11" s="5" t="s">
        <v>106</v>
      </c>
      <c r="B11">
        <v>0.5</v>
      </c>
      <c r="C11" s="6" t="s">
        <v>2</v>
      </c>
    </row>
    <row r="12" spans="1:8" x14ac:dyDescent="0.35">
      <c r="A12" s="5" t="s">
        <v>107</v>
      </c>
      <c r="B12">
        <f>B10-B11</f>
        <v>1</v>
      </c>
      <c r="C12" s="6" t="s">
        <v>2</v>
      </c>
    </row>
    <row r="13" spans="1:8" x14ac:dyDescent="0.35">
      <c r="A13" s="5" t="s">
        <v>114</v>
      </c>
      <c r="B13">
        <v>1</v>
      </c>
      <c r="C13" s="6" t="s">
        <v>50</v>
      </c>
    </row>
    <row r="14" spans="1:8" x14ac:dyDescent="0.35">
      <c r="A14" s="5" t="s">
        <v>116</v>
      </c>
      <c r="B14">
        <v>1</v>
      </c>
      <c r="C14" s="6" t="s">
        <v>117</v>
      </c>
    </row>
    <row r="15" spans="1:8" x14ac:dyDescent="0.35">
      <c r="A15" s="5" t="s">
        <v>11</v>
      </c>
      <c r="B15">
        <v>4</v>
      </c>
      <c r="C15" s="6" t="s">
        <v>12</v>
      </c>
    </row>
    <row r="16" spans="1:8" ht="13.9" thickBot="1" x14ac:dyDescent="0.4">
      <c r="A16" s="7" t="s">
        <v>68</v>
      </c>
      <c r="B16" s="8"/>
      <c r="C16" s="9" t="s">
        <v>69</v>
      </c>
    </row>
    <row r="18" spans="1:12" x14ac:dyDescent="0.35">
      <c r="A18" t="s">
        <v>71</v>
      </c>
      <c r="B18" t="s">
        <v>72</v>
      </c>
      <c r="C18" t="s">
        <v>73</v>
      </c>
      <c r="E18" t="s">
        <v>74</v>
      </c>
      <c r="F18" t="s">
        <v>75</v>
      </c>
    </row>
    <row r="19" spans="1:12" ht="13.9" x14ac:dyDescent="0.4">
      <c r="A19" s="1" t="s">
        <v>70</v>
      </c>
      <c r="B19" s="11" t="s">
        <v>100</v>
      </c>
      <c r="C19">
        <f>0.25*CL*0.000000000001</f>
        <v>4.9999999999999997E-12</v>
      </c>
      <c r="D19">
        <f>C19*1000000000000</f>
        <v>5</v>
      </c>
      <c r="E19" t="s">
        <v>8</v>
      </c>
      <c r="F19" s="1">
        <v>5</v>
      </c>
      <c r="H19" s="1" t="s">
        <v>61</v>
      </c>
      <c r="I19" s="18" t="s">
        <v>9</v>
      </c>
      <c r="J19" s="18"/>
      <c r="K19" s="18" t="s">
        <v>10</v>
      </c>
      <c r="L19" s="18"/>
    </row>
    <row r="20" spans="1:12" ht="13.9" x14ac:dyDescent="0.4">
      <c r="A20" s="1" t="s">
        <v>101</v>
      </c>
      <c r="B20" s="11" t="s">
        <v>102</v>
      </c>
      <c r="C20">
        <f>(SR/0.000001)*(F19*0.000000000001)</f>
        <v>1.9999999999999998E-5</v>
      </c>
      <c r="D20">
        <f>I0*1000000</f>
        <v>20</v>
      </c>
      <c r="E20" t="s">
        <v>28</v>
      </c>
      <c r="F20">
        <v>20</v>
      </c>
      <c r="H20" s="11" t="s">
        <v>93</v>
      </c>
      <c r="I20">
        <f>20*LOG10(I21/(I22+I23))</f>
        <v>29.273681002847646</v>
      </c>
      <c r="J20" t="s">
        <v>6</v>
      </c>
      <c r="K20">
        <f>20*LOG10(K21/(K22+K23))</f>
        <v>32.237869880740114</v>
      </c>
      <c r="L20" t="s">
        <v>6</v>
      </c>
    </row>
    <row r="21" spans="1:12" x14ac:dyDescent="0.35">
      <c r="A21" t="s">
        <v>43</v>
      </c>
      <c r="B21" s="11" t="s">
        <v>76</v>
      </c>
      <c r="C21" s="15">
        <f>2*(F22*0.000001)/(upcox*(Vdd-ICMR_p-vthp+'2 stage_nmos'!vthn)^2)</f>
        <v>0.12098298676748578</v>
      </c>
      <c r="D21" s="15">
        <f>C21</f>
        <v>0.12098298676748578</v>
      </c>
      <c r="F21" s="15">
        <v>0.13</v>
      </c>
      <c r="H21" t="s">
        <v>63</v>
      </c>
      <c r="I21">
        <f>0.00017248</f>
        <v>1.7248E-4</v>
      </c>
      <c r="J21" s="10"/>
      <c r="K21" s="10">
        <f>0.0001608</f>
        <v>1.6080000000000001E-4</v>
      </c>
      <c r="L21" s="10"/>
    </row>
    <row r="22" spans="1:12" x14ac:dyDescent="0.35">
      <c r="B22" t="s">
        <v>31</v>
      </c>
      <c r="C22">
        <f>I0/2</f>
        <v>9.9999999999999991E-6</v>
      </c>
      <c r="D22">
        <f>C22*1000000</f>
        <v>10</v>
      </c>
      <c r="E22" t="s">
        <v>28</v>
      </c>
      <c r="F22">
        <f>F20/2</f>
        <v>10</v>
      </c>
      <c r="H22" t="s">
        <v>64</v>
      </c>
      <c r="I22">
        <f>0.00000384</f>
        <v>3.8399999999999997E-6</v>
      </c>
      <c r="J22" s="10"/>
      <c r="K22" s="10">
        <f>0.00000205</f>
        <v>2.0499999999999999E-6</v>
      </c>
      <c r="L22" s="10"/>
    </row>
    <row r="23" spans="1:12" ht="13.9" x14ac:dyDescent="0.4">
      <c r="A23" s="1" t="s">
        <v>37</v>
      </c>
      <c r="C23" s="15">
        <f>(C21/$F$4)</f>
        <v>0.12098298676748578</v>
      </c>
      <c r="F23" s="1">
        <v>0.3</v>
      </c>
      <c r="H23" t="s">
        <v>65</v>
      </c>
      <c r="I23">
        <f>0.00000209</f>
        <v>2.0899999999999999E-6</v>
      </c>
      <c r="J23" s="10"/>
      <c r="K23" s="10">
        <f>0.00000188</f>
        <v>1.88E-6</v>
      </c>
      <c r="L23" s="10"/>
    </row>
    <row r="24" spans="1:12" ht="13.9" x14ac:dyDescent="0.4">
      <c r="A24" s="1" t="s">
        <v>38</v>
      </c>
      <c r="C24" s="15">
        <f>(C21/$F$4)</f>
        <v>0.12098298676748578</v>
      </c>
      <c r="F24" s="1">
        <v>0.3</v>
      </c>
      <c r="H24" s="11" t="s">
        <v>97</v>
      </c>
      <c r="I24">
        <f>20*LOG(I25/(I26+I27))</f>
        <v>32.759544542825125</v>
      </c>
      <c r="J24" t="s">
        <v>6</v>
      </c>
      <c r="K24">
        <f>20*LOG(K25/(K26+K27))</f>
        <v>32.755614275953512</v>
      </c>
      <c r="L24" t="s">
        <v>6</v>
      </c>
    </row>
    <row r="25" spans="1:12" x14ac:dyDescent="0.35">
      <c r="A25" s="13" t="s">
        <v>103</v>
      </c>
      <c r="B25" s="14" t="s">
        <v>110</v>
      </c>
      <c r="C25" s="10">
        <f>(CL*0.000000000001/I0)*(C26-SQRT(2)*0.1)</f>
        <v>8.5857864376269044E-7</v>
      </c>
      <c r="D25" s="13"/>
      <c r="H25" t="s">
        <v>83</v>
      </c>
      <c r="I25">
        <f>0.00192</f>
        <v>1.92E-3</v>
      </c>
      <c r="K25">
        <f>0.00192</f>
        <v>1.92E-3</v>
      </c>
    </row>
    <row r="26" spans="1:12" x14ac:dyDescent="0.35">
      <c r="B26" s="13" t="s">
        <v>113</v>
      </c>
      <c r="C26">
        <f>B12</f>
        <v>1</v>
      </c>
      <c r="H26" t="s">
        <v>94</v>
      </c>
      <c r="I26">
        <f>0.00002212</f>
        <v>2.2120000000000002E-5</v>
      </c>
      <c r="K26">
        <f>0.00002214</f>
        <v>2.2140000000000001E-5</v>
      </c>
    </row>
    <row r="27" spans="1:12" x14ac:dyDescent="0.35">
      <c r="A27" t="s">
        <v>111</v>
      </c>
      <c r="B27" s="13" t="s">
        <v>112</v>
      </c>
      <c r="C27">
        <v>0.1</v>
      </c>
      <c r="H27" t="s">
        <v>95</v>
      </c>
      <c r="I27">
        <f>0.00002207</f>
        <v>2.207E-5</v>
      </c>
      <c r="K27">
        <f>0.00002207</f>
        <v>2.207E-5</v>
      </c>
    </row>
    <row r="28" spans="1:12" ht="13.9" x14ac:dyDescent="0.4">
      <c r="A28" s="13" t="s">
        <v>104</v>
      </c>
      <c r="B28" s="14" t="s">
        <v>115</v>
      </c>
      <c r="C28">
        <f>C19*LN(SQRT(2)*C27/(B13*0.001))</f>
        <v>2.4758718881340322E-11</v>
      </c>
      <c r="D28" t="s">
        <v>118</v>
      </c>
      <c r="H28" s="1" t="s">
        <v>96</v>
      </c>
      <c r="I28" s="1">
        <f>I20+I24</f>
        <v>62.033225545672771</v>
      </c>
      <c r="J28" s="1" t="s">
        <v>6</v>
      </c>
      <c r="K28" s="1">
        <f>K20+K24</f>
        <v>64.993484156693626</v>
      </c>
      <c r="L28" s="1" t="s">
        <v>6</v>
      </c>
    </row>
    <row r="29" spans="1:12" ht="13.9" x14ac:dyDescent="0.4">
      <c r="A29" t="s">
        <v>78</v>
      </c>
      <c r="B29" s="13"/>
      <c r="C29" s="10">
        <f>C28/((B14*0.000001)-C25)</f>
        <v>1.7507058014487153E-4</v>
      </c>
      <c r="D29" s="16">
        <f>C29*1000000</f>
        <v>175.07058014487154</v>
      </c>
      <c r="E29" t="s">
        <v>41</v>
      </c>
      <c r="F29">
        <v>175</v>
      </c>
      <c r="H29" s="1"/>
      <c r="I29" s="1"/>
      <c r="J29" s="1"/>
      <c r="K29" s="1"/>
      <c r="L29" s="1"/>
    </row>
    <row r="30" spans="1:12" x14ac:dyDescent="0.35">
      <c r="A30" t="s">
        <v>44</v>
      </c>
      <c r="B30" t="s">
        <v>45</v>
      </c>
      <c r="C30" s="15">
        <f>(F29*0.000001)^2/(2*(F22*0.000001)*uncox)</f>
        <v>7.1220930232558137</v>
      </c>
      <c r="D30">
        <v>7</v>
      </c>
      <c r="F30">
        <v>8</v>
      </c>
    </row>
    <row r="31" spans="1:12" ht="13.9" x14ac:dyDescent="0.4">
      <c r="A31" s="1" t="s">
        <v>46</v>
      </c>
      <c r="C31">
        <f>ROUNDUP(C30*$F$4,0)</f>
        <v>8</v>
      </c>
      <c r="F31" s="1">
        <f>F30/$F$4</f>
        <v>8</v>
      </c>
    </row>
    <row r="32" spans="1:12" ht="13.9" x14ac:dyDescent="0.4">
      <c r="A32" s="1" t="s">
        <v>47</v>
      </c>
      <c r="C32">
        <f>ROUNDUP(C30*$F$4,0)</f>
        <v>8</v>
      </c>
      <c r="F32" s="1">
        <f>F30/$F$4</f>
        <v>8</v>
      </c>
    </row>
    <row r="33" spans="1:6" ht="13.9" x14ac:dyDescent="0.4">
      <c r="A33" t="s">
        <v>15</v>
      </c>
      <c r="B33" t="s">
        <v>120</v>
      </c>
      <c r="C33">
        <f>(F29*0.000001)/((Cc*0.000000000001)*2*PI())</f>
        <v>5570423.0082163373</v>
      </c>
      <c r="D33">
        <f>C33/1000000</f>
        <v>5.5704230082163377</v>
      </c>
      <c r="E33" t="s">
        <v>16</v>
      </c>
      <c r="F33" s="1"/>
    </row>
    <row r="34" spans="1:6" x14ac:dyDescent="0.35">
      <c r="A34" t="s">
        <v>81</v>
      </c>
      <c r="B34" t="s">
        <v>82</v>
      </c>
      <c r="C34" s="10">
        <f>ICMR_M-SQRT((2*(F22*0.000001))/(uncox*F30))-vthn</f>
        <v>-0.2078327732034384</v>
      </c>
      <c r="D34">
        <f>C34*1000</f>
        <v>-207.83277320343839</v>
      </c>
      <c r="E34" t="s">
        <v>50</v>
      </c>
      <c r="F34">
        <v>-200</v>
      </c>
    </row>
    <row r="35" spans="1:6" x14ac:dyDescent="0.35">
      <c r="A35" t="s">
        <v>53</v>
      </c>
      <c r="B35" s="11" t="s">
        <v>79</v>
      </c>
      <c r="C35" s="15">
        <f>2*(F20*0.000001)/('2 stage_nmos'!uncox*(F34*0.001)^2)</f>
        <v>4.6511627906976738</v>
      </c>
    </row>
    <row r="36" spans="1:6" ht="13.9" x14ac:dyDescent="0.4">
      <c r="A36" s="1" t="s">
        <v>55</v>
      </c>
      <c r="C36">
        <f>ROUNDUP(C35/$F$4,0)</f>
        <v>5</v>
      </c>
      <c r="F36" s="1">
        <v>10</v>
      </c>
    </row>
    <row r="37" spans="1:6" ht="13.9" x14ac:dyDescent="0.4">
      <c r="A37" s="1" t="s">
        <v>80</v>
      </c>
      <c r="C37">
        <f>ROUNDUP(C35/$F$4,0)</f>
        <v>5</v>
      </c>
      <c r="F37" s="1">
        <v>10</v>
      </c>
    </row>
    <row r="38" spans="1:6" x14ac:dyDescent="0.35">
      <c r="A38" t="s">
        <v>83</v>
      </c>
      <c r="B38" s="11" t="s">
        <v>84</v>
      </c>
      <c r="C38" s="10">
        <f>10*(F29*0.000001)</f>
        <v>1.75E-3</v>
      </c>
      <c r="D38">
        <f>C38*1000000</f>
        <v>1750</v>
      </c>
      <c r="E38" t="s">
        <v>41</v>
      </c>
      <c r="F38">
        <v>1750</v>
      </c>
    </row>
    <row r="39" spans="1:6" x14ac:dyDescent="0.35">
      <c r="A39" t="s">
        <v>86</v>
      </c>
      <c r="B39" s="11" t="s">
        <v>119</v>
      </c>
      <c r="C39">
        <f>SQRT(upcox*C21*2*(F22*0.000001))</f>
        <v>1.7391304347826082E-5</v>
      </c>
      <c r="D39" s="15">
        <f>C39*1000000</f>
        <v>17.391304347826082</v>
      </c>
      <c r="E39" t="s">
        <v>41</v>
      </c>
    </row>
    <row r="40" spans="1:6" x14ac:dyDescent="0.35">
      <c r="A40" t="s">
        <v>85</v>
      </c>
      <c r="B40" s="11" t="s">
        <v>121</v>
      </c>
      <c r="C40">
        <f>F21*F38/D39</f>
        <v>13.081250000000002</v>
      </c>
    </row>
    <row r="41" spans="1:6" ht="13.9" x14ac:dyDescent="0.4">
      <c r="A41" s="1" t="s">
        <v>87</v>
      </c>
      <c r="C41">
        <f>ROUNDUP(C40/$F$4,0)</f>
        <v>14</v>
      </c>
      <c r="F41" s="1">
        <v>14</v>
      </c>
    </row>
    <row r="42" spans="1:6" x14ac:dyDescent="0.35">
      <c r="A42" t="s">
        <v>91</v>
      </c>
      <c r="B42" s="11" t="s">
        <v>90</v>
      </c>
      <c r="C42">
        <f>(F22*0.000001)*C40/F21</f>
        <v>1.00625E-3</v>
      </c>
      <c r="D42">
        <f>C42*1000000</f>
        <v>1006.25</v>
      </c>
      <c r="E42" t="s">
        <v>28</v>
      </c>
      <c r="F42">
        <v>1006</v>
      </c>
    </row>
    <row r="43" spans="1:6" x14ac:dyDescent="0.35">
      <c r="A43" t="s">
        <v>88</v>
      </c>
      <c r="B43" s="11" t="s">
        <v>89</v>
      </c>
      <c r="C43">
        <f>((F42*0.000001)*C35/(F20*0.000001))</f>
        <v>233.95348837209298</v>
      </c>
    </row>
    <row r="44" spans="1:6" ht="13.9" x14ac:dyDescent="0.4">
      <c r="A44" s="1" t="s">
        <v>92</v>
      </c>
      <c r="C44">
        <f>ROUNDUP(C43/$F$4,0)</f>
        <v>234</v>
      </c>
      <c r="F44" s="1">
        <v>234</v>
      </c>
    </row>
    <row r="45" spans="1:6" x14ac:dyDescent="0.35">
      <c r="B45" t="s">
        <v>125</v>
      </c>
      <c r="C45" s="10">
        <v>6.4999999999999997E-3</v>
      </c>
    </row>
    <row r="46" spans="1:6" x14ac:dyDescent="0.35">
      <c r="A46" t="s">
        <v>122</v>
      </c>
      <c r="B46" t="s">
        <v>123</v>
      </c>
      <c r="C46" s="10">
        <f>(1/C45)*(CL+Cc)/Cc</f>
        <v>769.23076923076928</v>
      </c>
      <c r="D46">
        <f>C46/1000</f>
        <v>0.76923076923076927</v>
      </c>
      <c r="E46" t="s">
        <v>126</v>
      </c>
    </row>
    <row r="47" spans="1:6" x14ac:dyDescent="0.35">
      <c r="A47" t="s">
        <v>122</v>
      </c>
      <c r="B47" t="s">
        <v>127</v>
      </c>
      <c r="C47" s="10">
        <f>(1/C45)</f>
        <v>153.84615384615384</v>
      </c>
      <c r="D47">
        <f>C47/1000</f>
        <v>0.15384615384615383</v>
      </c>
      <c r="E47" t="s">
        <v>126</v>
      </c>
    </row>
  </sheetData>
  <mergeCells count="2">
    <mergeCell ref="I19:J19"/>
    <mergeCell ref="K19:L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CF02-7453-4895-92A7-191A34CA3F97}">
  <dimension ref="A1:I30"/>
  <sheetViews>
    <sheetView topLeftCell="A6" zoomScaleNormal="100" workbookViewId="0">
      <selection activeCell="C19" sqref="C19"/>
    </sheetView>
  </sheetViews>
  <sheetFormatPr defaultRowHeight="13.5" x14ac:dyDescent="0.35"/>
  <cols>
    <col min="2" max="2" width="34.4375" bestFit="1" customWidth="1"/>
    <col min="3" max="3" width="12.5625" bestFit="1" customWidth="1"/>
    <col min="7" max="7" width="19.5625" bestFit="1" customWidth="1"/>
  </cols>
  <sheetData>
    <row r="1" spans="1:9" ht="13.9" thickBot="1" x14ac:dyDescent="0.4"/>
    <row r="2" spans="1:9" ht="13.9" x14ac:dyDescent="0.4">
      <c r="A2" s="2" t="s">
        <v>1</v>
      </c>
      <c r="B2" s="3" t="s">
        <v>3</v>
      </c>
      <c r="C2" s="4" t="s">
        <v>4</v>
      </c>
    </row>
    <row r="3" spans="1:9" x14ac:dyDescent="0.35">
      <c r="A3" s="5" t="s">
        <v>0</v>
      </c>
      <c r="B3">
        <v>1.8</v>
      </c>
      <c r="C3" s="6" t="s">
        <v>2</v>
      </c>
      <c r="E3" t="s">
        <v>19</v>
      </c>
      <c r="H3" t="s">
        <v>57</v>
      </c>
    </row>
    <row r="4" spans="1:9" x14ac:dyDescent="0.35">
      <c r="A4" s="5" t="s">
        <v>5</v>
      </c>
      <c r="B4">
        <v>40</v>
      </c>
      <c r="C4" s="6" t="s">
        <v>6</v>
      </c>
      <c r="E4" t="s">
        <v>17</v>
      </c>
      <c r="F4">
        <v>1</v>
      </c>
      <c r="G4" t="s">
        <v>18</v>
      </c>
      <c r="H4" t="s">
        <v>58</v>
      </c>
    </row>
    <row r="5" spans="1:9" x14ac:dyDescent="0.35">
      <c r="A5" s="5" t="s">
        <v>7</v>
      </c>
      <c r="B5">
        <v>10</v>
      </c>
      <c r="C5" s="6" t="s">
        <v>8</v>
      </c>
      <c r="E5" t="s">
        <v>21</v>
      </c>
      <c r="F5">
        <f>0.000528</f>
        <v>5.2800000000000004E-4</v>
      </c>
      <c r="G5" t="s">
        <v>22</v>
      </c>
      <c r="H5" t="s">
        <v>59</v>
      </c>
    </row>
    <row r="6" spans="1:9" x14ac:dyDescent="0.35">
      <c r="A6" s="5" t="s">
        <v>9</v>
      </c>
      <c r="B6">
        <v>1.6</v>
      </c>
      <c r="C6" s="6" t="s">
        <v>2</v>
      </c>
      <c r="E6" t="s">
        <v>23</v>
      </c>
      <c r="F6">
        <f>0.354</f>
        <v>0.35399999999999998</v>
      </c>
      <c r="G6" t="s">
        <v>2</v>
      </c>
      <c r="H6" t="s">
        <v>60</v>
      </c>
    </row>
    <row r="7" spans="1:9" x14ac:dyDescent="0.35">
      <c r="A7" s="5" t="s">
        <v>10</v>
      </c>
      <c r="B7">
        <v>0.8</v>
      </c>
      <c r="C7" s="6" t="s">
        <v>2</v>
      </c>
      <c r="E7" t="s">
        <v>24</v>
      </c>
      <c r="F7" s="10">
        <v>7.6000000000000004E-5</v>
      </c>
      <c r="G7" t="s">
        <v>22</v>
      </c>
      <c r="H7" s="10"/>
    </row>
    <row r="8" spans="1:9" x14ac:dyDescent="0.35">
      <c r="A8" s="5" t="s">
        <v>11</v>
      </c>
      <c r="B8">
        <v>5</v>
      </c>
      <c r="C8" s="6" t="s">
        <v>12</v>
      </c>
      <c r="E8" t="s">
        <v>25</v>
      </c>
      <c r="F8">
        <f>0.303</f>
        <v>0.30299999999999999</v>
      </c>
      <c r="G8" t="s">
        <v>2</v>
      </c>
    </row>
    <row r="9" spans="1:9" x14ac:dyDescent="0.35">
      <c r="A9" s="5" t="s">
        <v>13</v>
      </c>
      <c r="B9">
        <v>0.3</v>
      </c>
      <c r="C9" s="6" t="s">
        <v>14</v>
      </c>
    </row>
    <row r="10" spans="1:9" ht="13.9" thickBot="1" x14ac:dyDescent="0.4">
      <c r="A10" s="7" t="s">
        <v>15</v>
      </c>
      <c r="B10" s="8">
        <v>5</v>
      </c>
      <c r="C10" s="9" t="s">
        <v>16</v>
      </c>
    </row>
    <row r="12" spans="1:9" ht="13.9" x14ac:dyDescent="0.4">
      <c r="A12" s="1" t="s">
        <v>20</v>
      </c>
      <c r="B12" s="11" t="s">
        <v>26</v>
      </c>
      <c r="C12">
        <f>B8*1000000*B5*0.000000000001</f>
        <v>4.9999999999999996E-5</v>
      </c>
      <c r="D12" t="s">
        <v>27</v>
      </c>
      <c r="E12">
        <f>C12*1000000</f>
        <v>49.999999999999993</v>
      </c>
      <c r="F12" t="s">
        <v>28</v>
      </c>
      <c r="G12" s="1" t="s">
        <v>61</v>
      </c>
      <c r="H12" t="s">
        <v>9</v>
      </c>
      <c r="I12" t="s">
        <v>10</v>
      </c>
    </row>
    <row r="13" spans="1:9" x14ac:dyDescent="0.35">
      <c r="A13" t="s">
        <v>43</v>
      </c>
      <c r="B13" s="11" t="s">
        <v>30</v>
      </c>
      <c r="G13" s="11" t="s">
        <v>62</v>
      </c>
      <c r="H13">
        <f>gm2_/(gds2_+gds4_)</f>
        <v>39.832817337461307</v>
      </c>
      <c r="I13">
        <f>I14/(I15+I16)</f>
        <v>66.406250000000014</v>
      </c>
    </row>
    <row r="14" spans="1:9" x14ac:dyDescent="0.35">
      <c r="B14" t="s">
        <v>31</v>
      </c>
      <c r="C14">
        <f>I0/2</f>
        <v>2.4999999999999998E-5</v>
      </c>
      <c r="D14" t="s">
        <v>27</v>
      </c>
      <c r="E14">
        <f>C14*1000000</f>
        <v>24.999999999999996</v>
      </c>
      <c r="F14" t="s">
        <v>28</v>
      </c>
      <c r="G14" t="s">
        <v>63</v>
      </c>
      <c r="H14" s="10">
        <v>2.5732000000000001E-4</v>
      </c>
      <c r="I14" s="10">
        <v>2.5500000000000002E-4</v>
      </c>
    </row>
    <row r="15" spans="1:9" x14ac:dyDescent="0.35">
      <c r="B15" t="s">
        <v>32</v>
      </c>
      <c r="G15" t="s">
        <v>64</v>
      </c>
      <c r="H15" s="10">
        <v>4.5499999999999996E-6</v>
      </c>
      <c r="I15" s="10">
        <v>2.0099999999999998E-6</v>
      </c>
    </row>
    <row r="16" spans="1:9" x14ac:dyDescent="0.35">
      <c r="B16" t="s">
        <v>33</v>
      </c>
      <c r="C16">
        <f>B6-vthn</f>
        <v>1.246</v>
      </c>
      <c r="G16" t="s">
        <v>65</v>
      </c>
      <c r="H16" s="10">
        <v>1.9099999999999999E-6</v>
      </c>
      <c r="I16" s="10">
        <v>1.8300000000000001E-6</v>
      </c>
    </row>
    <row r="17" spans="1:9" x14ac:dyDescent="0.35">
      <c r="A17" t="s">
        <v>34</v>
      </c>
      <c r="C17">
        <f>1.25</f>
        <v>1.25</v>
      </c>
      <c r="F17" t="s">
        <v>67</v>
      </c>
      <c r="G17" t="s">
        <v>66</v>
      </c>
      <c r="H17">
        <f>(gds2_+gds4_)/(B5*0.000000000001*2*PI())/1000</f>
        <v>102.81409323736439</v>
      </c>
      <c r="I17">
        <f>(I15+I16)/(B5*0.000000000001*2*PI())/1000</f>
        <v>61.115498147287809</v>
      </c>
    </row>
    <row r="18" spans="1:9" x14ac:dyDescent="0.35">
      <c r="A18" t="s">
        <v>35</v>
      </c>
      <c r="C18">
        <f>B3-C17</f>
        <v>0.55000000000000004</v>
      </c>
      <c r="D18" t="s">
        <v>2</v>
      </c>
    </row>
    <row r="19" spans="1:9" x14ac:dyDescent="0.35">
      <c r="A19" t="s">
        <v>29</v>
      </c>
      <c r="B19" t="s">
        <v>36</v>
      </c>
      <c r="C19">
        <f>2*I_3/(upcox*(vgs_3-vthp)^2)</f>
        <v>10.783568602044042</v>
      </c>
    </row>
    <row r="20" spans="1:9" ht="13.9" x14ac:dyDescent="0.4">
      <c r="A20" s="1" t="s">
        <v>37</v>
      </c>
      <c r="C20">
        <f>ROUNDUP(C19*$F$4,0)</f>
        <v>11</v>
      </c>
    </row>
    <row r="21" spans="1:9" ht="13.9" x14ac:dyDescent="0.4">
      <c r="A21" s="1" t="s">
        <v>38</v>
      </c>
      <c r="C21">
        <f>ROUNDUP(C19*$F$4,0)</f>
        <v>11</v>
      </c>
    </row>
    <row r="22" spans="1:9" x14ac:dyDescent="0.35">
      <c r="A22" t="s">
        <v>39</v>
      </c>
      <c r="B22" s="11" t="s">
        <v>40</v>
      </c>
      <c r="C22">
        <f>B10*1000000*(2*PI()*B5*0.000000000001)</f>
        <v>3.1415926535897931E-4</v>
      </c>
      <c r="D22" t="s">
        <v>42</v>
      </c>
      <c r="E22">
        <f>C22*1000000</f>
        <v>314.15926535897933</v>
      </c>
      <c r="F22" t="s">
        <v>41</v>
      </c>
    </row>
    <row r="23" spans="1:9" x14ac:dyDescent="0.35">
      <c r="A23" t="s">
        <v>44</v>
      </c>
      <c r="B23" t="s">
        <v>45</v>
      </c>
      <c r="C23">
        <f>C22^2/(2*I_3*uncox)</f>
        <v>3.7384865155641509</v>
      </c>
    </row>
    <row r="24" spans="1:9" ht="13.9" x14ac:dyDescent="0.4">
      <c r="A24" s="1" t="s">
        <v>46</v>
      </c>
      <c r="C24">
        <f>ROUNDUP(C23*$F$4,0)</f>
        <v>4</v>
      </c>
    </row>
    <row r="25" spans="1:9" ht="13.9" x14ac:dyDescent="0.4">
      <c r="A25" s="1" t="s">
        <v>47</v>
      </c>
      <c r="C25">
        <f>ROUNDUP(C23*$F$4,0)</f>
        <v>4</v>
      </c>
    </row>
    <row r="26" spans="1:9" x14ac:dyDescent="0.35">
      <c r="A26" t="s">
        <v>48</v>
      </c>
      <c r="B26" s="12" t="s">
        <v>49</v>
      </c>
      <c r="C26">
        <f>SQRT(2*I_3/(uncox*C23))+vthn</f>
        <v>0.51315494309189535</v>
      </c>
      <c r="D26" t="s">
        <v>2</v>
      </c>
      <c r="E26">
        <f>C26*1000</f>
        <v>513.15494309189535</v>
      </c>
      <c r="F26" t="s">
        <v>50</v>
      </c>
    </row>
    <row r="27" spans="1:9" x14ac:dyDescent="0.35">
      <c r="A27" t="s">
        <v>51</v>
      </c>
      <c r="B27" t="s">
        <v>52</v>
      </c>
      <c r="C27">
        <f>B7-C26</f>
        <v>0.28684505690810469</v>
      </c>
    </row>
    <row r="28" spans="1:9" x14ac:dyDescent="0.35">
      <c r="A28" t="s">
        <v>53</v>
      </c>
      <c r="B28" s="11" t="s">
        <v>54</v>
      </c>
      <c r="C28">
        <f>2*I0/(upcox*C27^2)</f>
        <v>15.991590759008753</v>
      </c>
    </row>
    <row r="29" spans="1:9" ht="13.9" x14ac:dyDescent="0.4">
      <c r="A29" s="1" t="s">
        <v>55</v>
      </c>
      <c r="C29">
        <f>ROUNDUP(C28*$F$4,0)</f>
        <v>16</v>
      </c>
    </row>
    <row r="30" spans="1:9" ht="13.9" x14ac:dyDescent="0.4">
      <c r="A30" s="1" t="s">
        <v>56</v>
      </c>
      <c r="C30">
        <f>ROUNDUP(C28*$F$4,0)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40</vt:i4>
      </vt:variant>
    </vt:vector>
  </HeadingPairs>
  <TitlesOfParts>
    <vt:vector size="43" baseType="lpstr">
      <vt:lpstr>2 stage_pmos</vt:lpstr>
      <vt:lpstr>2 stage_nmos</vt:lpstr>
      <vt:lpstr>1 stage</vt:lpstr>
      <vt:lpstr>'2 stage_pmos'!Cc</vt:lpstr>
      <vt:lpstr>Cc</vt:lpstr>
      <vt:lpstr>'2 stage_pmos'!CL</vt:lpstr>
      <vt:lpstr>CL</vt:lpstr>
      <vt:lpstr>'2 stage_nmos'!gds2_</vt:lpstr>
      <vt:lpstr>'2 stage_pmos'!gds2_</vt:lpstr>
      <vt:lpstr>gds2_</vt:lpstr>
      <vt:lpstr>'2 stage_nmos'!gds4_</vt:lpstr>
      <vt:lpstr>'2 stage_pmos'!gds4_</vt:lpstr>
      <vt:lpstr>gds4_</vt:lpstr>
      <vt:lpstr>'2 stage_nmos'!gm2_</vt:lpstr>
      <vt:lpstr>'2 stage_pmos'!gm2_</vt:lpstr>
      <vt:lpstr>gm2_</vt:lpstr>
      <vt:lpstr>'2 stage_nmos'!I_3</vt:lpstr>
      <vt:lpstr>'2 stage_pmos'!I_3</vt:lpstr>
      <vt:lpstr>I_3</vt:lpstr>
      <vt:lpstr>'2 stage_nmos'!I0</vt:lpstr>
      <vt:lpstr>'2 stage_pmos'!I0</vt:lpstr>
      <vt:lpstr>I0</vt:lpstr>
      <vt:lpstr>'2 stage_pmos'!ICMR_M</vt:lpstr>
      <vt:lpstr>ICMR_M</vt:lpstr>
      <vt:lpstr>'2 stage_pmos'!ICMR_p</vt:lpstr>
      <vt:lpstr>ICMR_p</vt:lpstr>
      <vt:lpstr>'2 stage_pmos'!SR</vt:lpstr>
      <vt:lpstr>SR</vt:lpstr>
      <vt:lpstr>'2 stage_nmos'!uncox</vt:lpstr>
      <vt:lpstr>'2 stage_pmos'!uncox</vt:lpstr>
      <vt:lpstr>uncox</vt:lpstr>
      <vt:lpstr>'2 stage_nmos'!upcox</vt:lpstr>
      <vt:lpstr>'2 stage_pmos'!upcox</vt:lpstr>
      <vt:lpstr>upcox</vt:lpstr>
      <vt:lpstr>'2 stage_pmos'!Vdd</vt:lpstr>
      <vt:lpstr>Vdd</vt:lpstr>
      <vt:lpstr>vgs_3</vt:lpstr>
      <vt:lpstr>'2 stage_nmos'!vthn</vt:lpstr>
      <vt:lpstr>'2 stage_pmos'!vthn</vt:lpstr>
      <vt:lpstr>vthn</vt:lpstr>
      <vt:lpstr>'2 stage_nmos'!vthp</vt:lpstr>
      <vt:lpstr>'2 stage_pmos'!vthp</vt:lpstr>
      <vt:lpstr>vthp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Sapir</dc:creator>
  <cp:lastModifiedBy>Lenovo</cp:lastModifiedBy>
  <dcterms:created xsi:type="dcterms:W3CDTF">2019-05-14T18:12:25Z</dcterms:created>
  <dcterms:modified xsi:type="dcterms:W3CDTF">2023-08-14T19:34:43Z</dcterms:modified>
</cp:coreProperties>
</file>