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SathishkumarDuraisam\Desktop\"/>
    </mc:Choice>
  </mc:AlternateContent>
  <xr:revisionPtr revIDLastSave="0" documentId="13_ncr:1_{AF88140A-E2A0-4607-A3D5-E0933B03F851}" xr6:coauthVersionLast="46" xr6:coauthVersionMax="46" xr10:uidLastSave="{00000000-0000-0000-0000-000000000000}"/>
  <workbookProtection workbookPassword="9597" lockStructure="1"/>
  <bookViews>
    <workbookView xWindow="-110" yWindow="-110" windowWidth="19420" windowHeight="10420" xr2:uid="{00000000-000D-0000-FFFF-FFFF00000000}"/>
  </bookViews>
  <sheets>
    <sheet name="tax clculator" sheetId="1" r:id="rId1"/>
    <sheet name="Recommended Books" sheetId="2" r:id="rId2"/>
  </sheets>
  <definedNames>
    <definedName name="Excel_BuiltIn__FilterDatabase_1">'tax clculator'!$D$8:$D$8</definedName>
  </definedNames>
  <calcPr calcId="181029"/>
</workbook>
</file>

<file path=xl/calcChain.xml><?xml version="1.0" encoding="utf-8"?>
<calcChain xmlns="http://schemas.openxmlformats.org/spreadsheetml/2006/main">
  <c r="E9" i="1" l="1"/>
  <c r="D7" i="1"/>
  <c r="D56" i="1" l="1"/>
  <c r="W154" i="1" l="1"/>
  <c r="W153" i="1"/>
  <c r="W152" i="1"/>
  <c r="W151" i="1"/>
  <c r="W150" i="1"/>
  <c r="X149" i="1"/>
  <c r="U149" i="1" s="1"/>
  <c r="W144" i="1"/>
  <c r="W143" i="1"/>
  <c r="W142" i="1"/>
  <c r="W141" i="1"/>
  <c r="W140" i="1"/>
  <c r="X139" i="1"/>
  <c r="W134" i="1"/>
  <c r="W132" i="1"/>
  <c r="W133" i="1"/>
  <c r="W131" i="1"/>
  <c r="W130" i="1"/>
  <c r="X129" i="1"/>
  <c r="U129" i="1" s="1"/>
  <c r="U139" i="1"/>
  <c r="E8" i="1"/>
  <c r="E75" i="1" s="1"/>
  <c r="D61" i="1"/>
  <c r="E61" i="1"/>
  <c r="D62" i="1"/>
  <c r="E62" i="1" s="1"/>
  <c r="D60" i="1"/>
  <c r="E60" i="1" s="1"/>
  <c r="E76" i="1" s="1"/>
  <c r="D15" i="1"/>
  <c r="D59" i="1"/>
  <c r="E49" i="1"/>
  <c r="D55" i="1"/>
  <c r="D51" i="1"/>
  <c r="D52" i="1"/>
  <c r="D54" i="1"/>
  <c r="D29" i="1"/>
  <c r="E27" i="1" s="1"/>
  <c r="D57" i="1"/>
  <c r="D16" i="1"/>
  <c r="D58" i="1"/>
  <c r="E48" i="1"/>
  <c r="D32" i="1"/>
  <c r="E32" i="1" s="1"/>
  <c r="D28" i="1"/>
  <c r="D30" i="1"/>
  <c r="D53" i="1"/>
  <c r="D19" i="1"/>
  <c r="E19" i="1"/>
  <c r="X106" i="1"/>
  <c r="U106" i="1" s="1"/>
  <c r="W107" i="1"/>
  <c r="W108" i="1"/>
  <c r="X113" i="1"/>
  <c r="U113" i="1" s="1"/>
  <c r="W114" i="1"/>
  <c r="W115" i="1"/>
  <c r="D17" i="1"/>
  <c r="X120" i="1"/>
  <c r="U120" i="1"/>
  <c r="W121" i="1"/>
  <c r="E50" i="1" l="1"/>
  <c r="E18" i="1"/>
  <c r="E31" i="1" s="1"/>
  <c r="E77" i="1"/>
  <c r="X150" i="1" s="1"/>
  <c r="E63" i="1" l="1"/>
  <c r="W122" i="1" s="1"/>
  <c r="W135" i="1"/>
  <c r="W145" i="1"/>
  <c r="E78" i="1"/>
  <c r="X140" i="1"/>
  <c r="X141" i="1" s="1"/>
  <c r="E80" i="1"/>
  <c r="W155" i="1"/>
  <c r="X130" i="1"/>
  <c r="U130" i="1" s="1"/>
  <c r="X151" i="1"/>
  <c r="U150" i="1"/>
  <c r="X121" i="1" l="1"/>
  <c r="X122" i="1" s="1"/>
  <c r="U122" i="1" s="1"/>
  <c r="E64" i="1"/>
  <c r="X114" i="1"/>
  <c r="X115" i="1" s="1"/>
  <c r="X116" i="1" s="1"/>
  <c r="E66" i="1"/>
  <c r="X107" i="1"/>
  <c r="X108" i="1" s="1"/>
  <c r="X109" i="1" s="1"/>
  <c r="W116" i="1"/>
  <c r="W109" i="1"/>
  <c r="U140" i="1"/>
  <c r="X131" i="1"/>
  <c r="U131" i="1" s="1"/>
  <c r="U151" i="1"/>
  <c r="X152" i="1"/>
  <c r="X142" i="1"/>
  <c r="U141" i="1"/>
  <c r="U115" i="1" l="1"/>
  <c r="U121" i="1"/>
  <c r="U123" i="1" s="1"/>
  <c r="U109" i="1"/>
  <c r="U114" i="1"/>
  <c r="U116" i="1"/>
  <c r="U108" i="1"/>
  <c r="U107" i="1"/>
  <c r="X132" i="1"/>
  <c r="X133" i="1" s="1"/>
  <c r="X153" i="1"/>
  <c r="U152" i="1"/>
  <c r="U142" i="1"/>
  <c r="X143" i="1"/>
  <c r="U117" i="1" l="1"/>
  <c r="U110" i="1"/>
  <c r="E65" i="1" s="1"/>
  <c r="E67" i="1" s="1"/>
  <c r="E68" i="1" s="1"/>
  <c r="U132" i="1"/>
  <c r="X144" i="1"/>
  <c r="U143" i="1"/>
  <c r="U133" i="1"/>
  <c r="X134" i="1"/>
  <c r="U153" i="1"/>
  <c r="X154" i="1"/>
  <c r="E70" i="1" l="1"/>
  <c r="E71" i="1"/>
  <c r="X135" i="1"/>
  <c r="U135" i="1" s="1"/>
  <c r="U134" i="1"/>
  <c r="X145" i="1"/>
  <c r="U145" i="1" s="1"/>
  <c r="U144" i="1"/>
  <c r="U154" i="1"/>
  <c r="X155" i="1"/>
  <c r="U155" i="1" s="1"/>
  <c r="U136" i="1" l="1"/>
  <c r="E79" i="1" s="1"/>
  <c r="E81" i="1" s="1"/>
  <c r="E82" i="1" s="1"/>
  <c r="U156" i="1"/>
  <c r="U146" i="1"/>
</calcChain>
</file>

<file path=xl/sharedStrings.xml><?xml version="1.0" encoding="utf-8"?>
<sst xmlns="http://schemas.openxmlformats.org/spreadsheetml/2006/main" count="161" uniqueCount="106">
  <si>
    <t>Income Tax for General</t>
  </si>
  <si>
    <t>Tax</t>
  </si>
  <si>
    <t>Tax Slabs</t>
  </si>
  <si>
    <t>Incremental</t>
  </si>
  <si>
    <t>Taxable Inc</t>
  </si>
  <si>
    <t>Tax Bracket</t>
  </si>
  <si>
    <t>Birth date</t>
  </si>
  <si>
    <t>Age</t>
  </si>
  <si>
    <t>Gross Annual Income/Salary (with all allowances)</t>
  </si>
  <si>
    <t>500001 - 1000000</t>
  </si>
  <si>
    <t>Less: Allowances exempt u/s 10(for Service Period)</t>
  </si>
  <si>
    <t>500001 +</t>
  </si>
  <si>
    <t>Total Tax</t>
  </si>
  <si>
    <t>Income Tax for Senior Citizen</t>
  </si>
  <si>
    <t>0 -250000</t>
  </si>
  <si>
    <t>250001 - 500000</t>
  </si>
  <si>
    <t>Income under the head salaries</t>
  </si>
  <si>
    <t>Add: Any other income from other sources</t>
  </si>
  <si>
    <t>Income Tax for very Senior Citizen</t>
  </si>
  <si>
    <t>0 - 500000</t>
  </si>
  <si>
    <t>1000001 +</t>
  </si>
  <si>
    <t>Gross Total Income</t>
  </si>
  <si>
    <t>Less: Deduction under chapter VI A</t>
  </si>
  <si>
    <t>Total Income</t>
  </si>
  <si>
    <t>Total Tax Payable</t>
  </si>
  <si>
    <t>Net Tax Payable</t>
  </si>
  <si>
    <t>Tax to Total Income Ratio</t>
  </si>
  <si>
    <t>(I) H.R.A. exemption</t>
  </si>
  <si>
    <t>City of Residence</t>
  </si>
  <si>
    <t>Basic Salary (Basic+DA)</t>
  </si>
  <si>
    <t>Rent Paid</t>
  </si>
  <si>
    <t>H.R.A received</t>
  </si>
  <si>
    <t>(iii) Any Other Exempted Receipts/ allowances</t>
  </si>
  <si>
    <t>(iv) Professional Tax</t>
  </si>
  <si>
    <t>1. Interest received from following Investments</t>
  </si>
  <si>
    <t>a. Bank ( Saving /FD /Rec )</t>
  </si>
  <si>
    <t>b. N.S.C.(accrued/ Recd )</t>
  </si>
  <si>
    <t>d. Post Office Recring Deposit (5 yrs.)</t>
  </si>
  <si>
    <t>2. Any Other Income</t>
  </si>
  <si>
    <t>3. Any Other Income</t>
  </si>
  <si>
    <t>c. Post Ofice M.I.S (6 yrs.)</t>
  </si>
  <si>
    <t>Less: Deduction under RGESS Sec 80CCG (Max Rs. 50,000/-)</t>
  </si>
  <si>
    <t>Interest paid on Home Improvement Loan (max 30,000)</t>
  </si>
  <si>
    <t>Metro</t>
  </si>
  <si>
    <t>Non-Metro</t>
  </si>
  <si>
    <t>A. EPF &amp; VPF Contribution</t>
  </si>
  <si>
    <t>B. Public Provident Fund (PPF)</t>
  </si>
  <si>
    <t>C. Senior Citizen’s Saving Scheme (SCSS)</t>
  </si>
  <si>
    <t>D. N.S.C (Investment + accrued Interest before Maturity Year)</t>
  </si>
  <si>
    <t>E. Tax Saving Fixed Deposit (5 Years and above)</t>
  </si>
  <si>
    <t>F. Tax Savings Bonds</t>
  </si>
  <si>
    <t>G. E.L.S.S (Tax Saving Mutual Fund)</t>
  </si>
  <si>
    <t>H. Life Insurance Premiums</t>
  </si>
  <si>
    <t>I. New Pension Scheme (NPS) (u/s 80CCC)</t>
  </si>
  <si>
    <t>J. Pension Plan from Insurance Companies/Mutual Funds (u/s 80CCC)</t>
  </si>
  <si>
    <t>L. Housing. Loan (Principal Repayment)</t>
  </si>
  <si>
    <t>A. 80 D Medical Insurance premiums (for Self )</t>
  </si>
  <si>
    <t>B. 80 D Medical Insurance premiums (for Parents)</t>
  </si>
  <si>
    <t>C. 80 E Int Paid on Education Loan</t>
  </si>
  <si>
    <t>D. 80 DD Medical Treatment of handicapped Dependent</t>
  </si>
  <si>
    <t>E. 80DDB Expenditure on Selected Medical Treatment for self/ dependent</t>
  </si>
  <si>
    <t>F. 80G, 80GGA, 80GGC Donation to approved funds</t>
  </si>
  <si>
    <t>H. 80U For Physically Disable Assesse</t>
  </si>
  <si>
    <t>0 -300000</t>
  </si>
  <si>
    <t>300001 - 500000</t>
  </si>
  <si>
    <t>Less: Deduction under Sec 80C (Max Rs.1,50,000/-)</t>
  </si>
  <si>
    <t>Less: Exemption on Home Loan Interest (Sec 24)</t>
  </si>
  <si>
    <t>Less: Additional Deduction under Sec 80CCD NPS (Max Rs 50,000/-)</t>
  </si>
  <si>
    <t xml:space="preserve">M. Sukanya Samriddhi Account </t>
  </si>
  <si>
    <t>N. Stamp Duty &amp; Registration Charges</t>
  </si>
  <si>
    <t>O. Tuition fees for 2 children</t>
  </si>
  <si>
    <t>K. 80 CCD Central Govt. Employees Pension Plan (u/s 80CCD)</t>
  </si>
  <si>
    <r>
      <t xml:space="preserve">Additional tax exemption for First Time Home Buyers </t>
    </r>
    <r>
      <rPr>
        <b/>
        <i/>
        <sz val="8"/>
        <rFont val="Arial"/>
        <family val="2"/>
      </rPr>
      <t>(Budget 2016)</t>
    </r>
  </si>
  <si>
    <t>Advance Tax Paid</t>
  </si>
  <si>
    <t>Tax Remianing to be Paid</t>
  </si>
  <si>
    <r>
      <t xml:space="preserve">G. 80GG For Rent in case of NO HRA Component </t>
    </r>
    <r>
      <rPr>
        <i/>
        <sz val="8"/>
        <rFont val="Arial"/>
        <family val="2"/>
      </rPr>
      <t>(Budget 2016)</t>
    </r>
  </si>
  <si>
    <t>Loss from house property (Section 24)</t>
  </si>
  <si>
    <t>Add; Edn Cess + Health Cess @ 4%</t>
  </si>
  <si>
    <r>
      <t xml:space="preserve">I. 80TTA (Rs 50,000 for Senior Citizens &amp; Rs 10,000 for others) </t>
    </r>
    <r>
      <rPr>
        <b/>
        <sz val="8"/>
        <rFont val="Arial"/>
        <family val="2"/>
      </rPr>
      <t>(Budget 2018)</t>
    </r>
  </si>
  <si>
    <r>
      <t xml:space="preserve">Tax Rebate of Rs. 12,500 (For Income of less than 5 lakhs) </t>
    </r>
    <r>
      <rPr>
        <b/>
        <i/>
        <sz val="8"/>
        <rFont val="Arial"/>
        <family val="2"/>
      </rPr>
      <t>(Budget 2019)</t>
    </r>
  </si>
  <si>
    <r>
      <t xml:space="preserve">(II) Standard Deduction for Salaried &amp; Pensioner (Rs 50,000) </t>
    </r>
    <r>
      <rPr>
        <sz val="10"/>
        <color rgb="FFFF0000"/>
        <rFont val="Arial"/>
        <family val="2"/>
      </rPr>
      <t>Budget 2019</t>
    </r>
  </si>
  <si>
    <t>Less: Deduction under Sec 80CCD(2) NPS (Employer Contribution)</t>
  </si>
  <si>
    <t>Less: Deduction under Sec 80EEA (Interest on Home Loan for Affordable Home) (Budget 2019)</t>
  </si>
  <si>
    <t>Less: Deduction under Sec 80EEA (Interest on Auto Loan for Electronic Vehicle) (Budget 2019)</t>
  </si>
  <si>
    <r>
      <t xml:space="preserve">Tax Surcharge @ 10%/15%/25%/37% (Income more than 50 Lakhs/1 cr/2 cr/5 cr respectively) </t>
    </r>
    <r>
      <rPr>
        <b/>
        <i/>
        <sz val="8"/>
        <rFont val="Arial"/>
        <family val="2"/>
      </rPr>
      <t>(Budget 2019)</t>
    </r>
  </si>
  <si>
    <t>0 - 2.5</t>
  </si>
  <si>
    <t>2.5 - 5</t>
  </si>
  <si>
    <t>5 - 7.5</t>
  </si>
  <si>
    <t>7.5 - 10</t>
  </si>
  <si>
    <t>10 - 12.5</t>
  </si>
  <si>
    <t>12.5 - 15</t>
  </si>
  <si>
    <t>15+</t>
  </si>
  <si>
    <t>0 - 3</t>
  </si>
  <si>
    <t>3 - 5</t>
  </si>
  <si>
    <t>Income Tax for Senior Citizens</t>
  </si>
  <si>
    <t>Income Tax for Super Senior Citizens</t>
  </si>
  <si>
    <t>Calculating Income Tax with  Lower Tax Slab under new Regim</t>
  </si>
  <si>
    <t>ZILLION TECHNOLOGIES (INDIA) PRIVATE LIMITED</t>
  </si>
  <si>
    <t>*Tax is estimated on basis of rules applicable for A.Y. 2020-21</t>
  </si>
  <si>
    <t>NAME</t>
  </si>
  <si>
    <t xml:space="preserve"> Adhaar Details</t>
  </si>
  <si>
    <t>PAN</t>
  </si>
  <si>
    <t xml:space="preserve"> D.O.B </t>
  </si>
  <si>
    <t>4208 3493 2057</t>
  </si>
  <si>
    <t>FHSPS4213P</t>
  </si>
  <si>
    <t>Income Tax Calculator for FY 2021-22 (AY 2022-23)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</si>
</sst>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\ ;&quot; (&quot;#,##0\);&quot; -&quot;#\ ;@\ "/>
    <numFmt numFmtId="166" formatCode="_(* #,##0_);_(* \(#,##0\);_(* &quot;-&quot;??_);_(@_)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0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indexed="62"/>
      <name val="Calibri"/>
      <family val="2"/>
    </font>
    <font>
      <sz val="10"/>
      <color indexed="9"/>
      <name val="Calibri"/>
      <family val="2"/>
    </font>
    <font>
      <b/>
      <sz val="11"/>
      <color indexed="63"/>
      <name val="Calibri"/>
      <family val="2"/>
    </font>
    <font>
      <b/>
      <sz val="14"/>
      <color indexed="20"/>
      <name val="Calibri"/>
      <family val="2"/>
    </font>
    <font>
      <b/>
      <sz val="12"/>
      <color indexed="17"/>
      <name val="Calibri"/>
      <family val="2"/>
    </font>
    <font>
      <b/>
      <sz val="12"/>
      <color indexed="58"/>
      <name val="Calibri"/>
      <family val="2"/>
    </font>
    <font>
      <sz val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sz val="14"/>
      <color theme="9" tint="-0.499984740745262"/>
      <name val="Calibri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rgb="FFFF0000"/>
      <name val="Gill Sans MT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 style="double">
        <color indexed="63"/>
      </left>
      <right style="medium">
        <color indexed="64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indexed="63"/>
      </left>
      <right style="medium">
        <color indexed="64"/>
      </right>
      <top/>
      <bottom style="double">
        <color indexed="63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 style="thin">
        <color indexed="56"/>
      </bottom>
      <diagonal/>
    </border>
    <border>
      <left style="double">
        <color indexed="63"/>
      </left>
      <right style="medium">
        <color indexed="64"/>
      </right>
      <top style="double">
        <color indexed="63"/>
      </top>
      <bottom style="thin">
        <color indexed="5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medium">
        <color indexed="64"/>
      </right>
      <top style="double">
        <color indexed="63"/>
      </top>
      <bottom style="medium">
        <color indexed="64"/>
      </bottom>
      <diagonal/>
    </border>
    <border>
      <left style="double">
        <color indexed="63"/>
      </left>
      <right style="medium">
        <color indexed="64"/>
      </right>
      <top style="double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4">
    <xf numFmtId="0" fontId="0" fillId="0" borderId="0"/>
    <xf numFmtId="164" fontId="12" fillId="0" borderId="0" applyFont="0" applyFill="0" applyBorder="0" applyAlignment="0" applyProtection="0"/>
    <xf numFmtId="0" fontId="1" fillId="12" borderId="0" applyNumberFormat="0" applyBorder="0" applyAlignment="0" applyProtection="0"/>
    <xf numFmtId="0" fontId="19" fillId="16" borderId="0" applyNumberFormat="0" applyBorder="0" applyAlignment="0" applyProtection="0"/>
  </cellStyleXfs>
  <cellXfs count="80">
    <xf numFmtId="0" fontId="0" fillId="0" borderId="0" xfId="0"/>
    <xf numFmtId="3" fontId="8" fillId="6" borderId="2" xfId="0" applyNumberFormat="1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7" borderId="0" xfId="0" applyFont="1" applyFill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165" fontId="0" fillId="0" borderId="0" xfId="0" applyNumberFormat="1" applyAlignment="1" applyProtection="1">
      <alignment vertical="center"/>
      <protection hidden="1"/>
    </xf>
    <xf numFmtId="1" fontId="0" fillId="0" borderId="0" xfId="0" applyNumberFormat="1" applyAlignment="1" applyProtection="1">
      <alignment vertical="center"/>
      <protection hidden="1"/>
    </xf>
    <xf numFmtId="9" fontId="0" fillId="0" borderId="0" xfId="0" applyNumberFormat="1" applyAlignment="1" applyProtection="1">
      <alignment vertical="center"/>
      <protection hidden="1"/>
    </xf>
    <xf numFmtId="3" fontId="0" fillId="0" borderId="0" xfId="0" applyNumberFormat="1" applyAlignment="1" applyProtection="1">
      <alignment vertical="center"/>
      <protection hidden="1"/>
    </xf>
    <xf numFmtId="49" fontId="0" fillId="0" borderId="0" xfId="0" applyNumberFormat="1" applyAlignment="1" applyProtection="1">
      <alignment vertical="center"/>
      <protection hidden="1"/>
    </xf>
    <xf numFmtId="165" fontId="4" fillId="0" borderId="0" xfId="0" applyNumberFormat="1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2" borderId="3" xfId="0" applyFill="1" applyBorder="1" applyAlignment="1" applyProtection="1">
      <alignment vertical="center"/>
      <protection hidden="1"/>
    </xf>
    <xf numFmtId="0" fontId="5" fillId="2" borderId="4" xfId="0" applyFont="1" applyFill="1" applyBorder="1" applyAlignment="1" applyProtection="1">
      <alignment vertical="center"/>
      <protection hidden="1"/>
    </xf>
    <xf numFmtId="3" fontId="7" fillId="8" borderId="5" xfId="0" applyNumberFormat="1" applyFont="1" applyFill="1" applyBorder="1" applyAlignment="1" applyProtection="1">
      <alignment vertical="center"/>
      <protection hidden="1"/>
    </xf>
    <xf numFmtId="3" fontId="9" fillId="0" borderId="6" xfId="0" applyNumberFormat="1" applyFont="1" applyBorder="1" applyAlignment="1" applyProtection="1">
      <alignment vertical="center"/>
      <protection hidden="1"/>
    </xf>
    <xf numFmtId="0" fontId="0" fillId="2" borderId="4" xfId="0" applyFill="1" applyBorder="1" applyAlignment="1" applyProtection="1">
      <alignment vertical="center"/>
      <protection hidden="1"/>
    </xf>
    <xf numFmtId="0" fontId="3" fillId="2" borderId="8" xfId="0" applyFont="1" applyFill="1" applyBorder="1" applyAlignment="1" applyProtection="1">
      <alignment vertical="center"/>
      <protection hidden="1"/>
    </xf>
    <xf numFmtId="0" fontId="4" fillId="2" borderId="4" xfId="0" applyFont="1" applyFill="1" applyBorder="1" applyAlignment="1" applyProtection="1">
      <alignment vertical="center"/>
      <protection hidden="1"/>
    </xf>
    <xf numFmtId="3" fontId="3" fillId="2" borderId="8" xfId="0" applyNumberFormat="1" applyFont="1" applyFill="1" applyBorder="1" applyAlignment="1" applyProtection="1">
      <alignment vertical="center"/>
      <protection hidden="1"/>
    </xf>
    <xf numFmtId="3" fontId="7" fillId="8" borderId="9" xfId="0" applyNumberFormat="1" applyFont="1" applyFill="1" applyBorder="1" applyAlignment="1" applyProtection="1">
      <alignment vertical="center"/>
      <protection hidden="1"/>
    </xf>
    <xf numFmtId="3" fontId="8" fillId="6" borderId="10" xfId="0" applyNumberFormat="1" applyFont="1" applyFill="1" applyBorder="1" applyAlignment="1" applyProtection="1">
      <alignment vertical="center"/>
      <protection hidden="1"/>
    </xf>
    <xf numFmtId="0" fontId="9" fillId="0" borderId="11" xfId="0" applyFont="1" applyBorder="1" applyAlignment="1" applyProtection="1">
      <alignment vertical="center"/>
      <protection hidden="1"/>
    </xf>
    <xf numFmtId="3" fontId="9" fillId="3" borderId="12" xfId="0" applyNumberFormat="1" applyFont="1" applyFill="1" applyBorder="1" applyAlignment="1" applyProtection="1">
      <alignment vertical="center"/>
      <protection hidden="1"/>
    </xf>
    <xf numFmtId="0" fontId="10" fillId="0" borderId="13" xfId="0" applyFont="1" applyBorder="1" applyAlignment="1" applyProtection="1">
      <alignment vertical="center"/>
      <protection hidden="1"/>
    </xf>
    <xf numFmtId="3" fontId="10" fillId="0" borderId="14" xfId="0" applyNumberFormat="1" applyFont="1" applyBorder="1" applyAlignment="1" applyProtection="1">
      <alignment vertical="center"/>
      <protection hidden="1"/>
    </xf>
    <xf numFmtId="9" fontId="11" fillId="4" borderId="15" xfId="0" applyNumberFormat="1" applyFont="1" applyFill="1" applyBorder="1" applyAlignment="1" applyProtection="1">
      <alignment vertical="center"/>
      <protection hidden="1"/>
    </xf>
    <xf numFmtId="3" fontId="6" fillId="9" borderId="1" xfId="0" applyNumberFormat="1" applyFont="1" applyFill="1" applyBorder="1" applyAlignment="1" applyProtection="1">
      <alignment horizontal="right" vertical="center"/>
      <protection locked="0"/>
    </xf>
    <xf numFmtId="3" fontId="6" fillId="9" borderId="1" xfId="0" applyNumberFormat="1" applyFont="1" applyFill="1" applyBorder="1" applyAlignment="1" applyProtection="1">
      <alignment vertical="center"/>
      <protection locked="0"/>
    </xf>
    <xf numFmtId="0" fontId="0" fillId="2" borderId="4" xfId="0" applyFill="1" applyBorder="1" applyAlignment="1" applyProtection="1">
      <alignment horizontal="left" vertical="center" indent="2"/>
      <protection hidden="1"/>
    </xf>
    <xf numFmtId="0" fontId="0" fillId="2" borderId="4" xfId="0" applyFill="1" applyBorder="1" applyAlignment="1" applyProtection="1">
      <alignment horizontal="left" vertical="center" wrapText="1" indent="2"/>
      <protection hidden="1"/>
    </xf>
    <xf numFmtId="0" fontId="4" fillId="2" borderId="4" xfId="0" applyFont="1" applyFill="1" applyBorder="1" applyAlignment="1" applyProtection="1">
      <alignment horizontal="left" vertical="center" indent="2"/>
      <protection hidden="1"/>
    </xf>
    <xf numFmtId="3" fontId="6" fillId="9" borderId="1" xfId="0" applyNumberFormat="1" applyFont="1" applyFill="1" applyBorder="1" applyAlignment="1" applyProtection="1">
      <alignment vertical="center"/>
      <protection locked="0" hidden="1"/>
    </xf>
    <xf numFmtId="166" fontId="0" fillId="0" borderId="0" xfId="1" applyNumberFormat="1" applyFont="1" applyAlignment="1" applyProtection="1">
      <alignment vertical="center"/>
      <protection hidden="1"/>
    </xf>
    <xf numFmtId="0" fontId="5" fillId="11" borderId="4" xfId="0" applyFont="1" applyFill="1" applyBorder="1" applyAlignment="1" applyProtection="1">
      <alignment vertical="center"/>
      <protection hidden="1"/>
    </xf>
    <xf numFmtId="0" fontId="15" fillId="0" borderId="4" xfId="0" applyFont="1" applyBorder="1" applyAlignment="1" applyProtection="1">
      <alignment vertical="center"/>
      <protection hidden="1"/>
    </xf>
    <xf numFmtId="3" fontId="15" fillId="3" borderId="16" xfId="0" applyNumberFormat="1" applyFont="1" applyFill="1" applyBorder="1" applyAlignment="1" applyProtection="1">
      <alignment vertical="center"/>
      <protection hidden="1"/>
    </xf>
    <xf numFmtId="3" fontId="1" fillId="12" borderId="16" xfId="2" applyNumberFormat="1" applyBorder="1" applyAlignment="1" applyProtection="1">
      <alignment vertical="center"/>
      <protection locked="0" hidden="1"/>
    </xf>
    <xf numFmtId="0" fontId="0" fillId="0" borderId="4" xfId="0" applyBorder="1" applyAlignment="1" applyProtection="1">
      <alignment horizontal="left" vertical="center" indent="2"/>
      <protection hidden="1"/>
    </xf>
    <xf numFmtId="0" fontId="4" fillId="0" borderId="4" xfId="0" applyFont="1" applyBorder="1" applyAlignment="1" applyProtection="1">
      <alignment horizontal="left" vertical="center" indent="2"/>
      <protection hidden="1"/>
    </xf>
    <xf numFmtId="0" fontId="4" fillId="13" borderId="4" xfId="0" applyFont="1" applyFill="1" applyBorder="1" applyAlignment="1" applyProtection="1">
      <alignment vertical="center"/>
      <protection hidden="1"/>
    </xf>
    <xf numFmtId="166" fontId="0" fillId="14" borderId="0" xfId="1" applyNumberFormat="1" applyFont="1" applyFill="1" applyAlignment="1" applyProtection="1">
      <alignment vertical="center"/>
      <protection hidden="1"/>
    </xf>
    <xf numFmtId="49" fontId="4" fillId="7" borderId="0" xfId="0" applyNumberFormat="1" applyFont="1" applyFill="1" applyAlignment="1" applyProtection="1">
      <alignment vertical="center"/>
      <protection hidden="1"/>
    </xf>
    <xf numFmtId="0" fontId="0" fillId="2" borderId="0" xfId="0" applyFill="1" applyBorder="1" applyAlignment="1" applyProtection="1">
      <alignment vertical="center"/>
      <protection hidden="1"/>
    </xf>
    <xf numFmtId="3" fontId="0" fillId="2" borderId="0" xfId="0" applyNumberFormat="1" applyFill="1" applyBorder="1" applyAlignment="1" applyProtection="1">
      <alignment vertical="center"/>
      <protection hidden="1"/>
    </xf>
    <xf numFmtId="3" fontId="0" fillId="2" borderId="0" xfId="0" applyNumberForma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hidden="1"/>
    </xf>
    <xf numFmtId="3" fontId="15" fillId="0" borderId="0" xfId="0" applyNumberFormat="1" applyFont="1" applyBorder="1" applyAlignment="1" applyProtection="1">
      <alignment vertical="center"/>
      <protection hidden="1"/>
    </xf>
    <xf numFmtId="0" fontId="0" fillId="0" borderId="4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8" xfId="0" applyBorder="1" applyProtection="1">
      <protection hidden="1"/>
    </xf>
    <xf numFmtId="0" fontId="9" fillId="0" borderId="13" xfId="0" applyFont="1" applyBorder="1" applyAlignment="1" applyProtection="1">
      <alignment vertical="center"/>
      <protection hidden="1"/>
    </xf>
    <xf numFmtId="3" fontId="9" fillId="0" borderId="14" xfId="0" applyNumberFormat="1" applyFont="1" applyBorder="1" applyAlignment="1" applyProtection="1">
      <alignment vertical="center"/>
      <protection hidden="1"/>
    </xf>
    <xf numFmtId="3" fontId="9" fillId="3" borderId="15" xfId="0" applyNumberFormat="1" applyFont="1" applyFill="1" applyBorder="1" applyAlignment="1" applyProtection="1">
      <alignment vertical="center"/>
      <protection hidden="1"/>
    </xf>
    <xf numFmtId="0" fontId="23" fillId="2" borderId="4" xfId="0" applyFont="1" applyFill="1" applyBorder="1" applyAlignment="1" applyProtection="1">
      <alignment vertical="center"/>
      <protection hidden="1"/>
    </xf>
    <xf numFmtId="15" fontId="0" fillId="10" borderId="22" xfId="0" applyNumberFormat="1" applyFill="1" applyBorder="1" applyAlignment="1" applyProtection="1">
      <alignment horizontal="center" vertical="center"/>
      <protection locked="0"/>
    </xf>
    <xf numFmtId="1" fontId="0" fillId="5" borderId="23" xfId="0" applyNumberFormat="1" applyFill="1" applyBorder="1" applyAlignment="1" applyProtection="1">
      <alignment horizontal="center" vertical="center"/>
      <protection hidden="1"/>
    </xf>
    <xf numFmtId="3" fontId="6" fillId="9" borderId="24" xfId="0" applyNumberFormat="1" applyFont="1" applyFill="1" applyBorder="1" applyAlignment="1" applyProtection="1">
      <alignment vertical="center"/>
      <protection locked="0" hidden="1"/>
    </xf>
    <xf numFmtId="0" fontId="5" fillId="10" borderId="17" xfId="0" applyFont="1" applyFill="1" applyBorder="1" applyAlignment="1" applyProtection="1">
      <alignment horizontal="center" vertical="center"/>
      <protection hidden="1"/>
    </xf>
    <xf numFmtId="0" fontId="4" fillId="18" borderId="17" xfId="0" applyFont="1" applyFill="1" applyBorder="1" applyAlignment="1" applyProtection="1">
      <alignment horizontal="center" vertical="center"/>
      <protection hidden="1"/>
    </xf>
    <xf numFmtId="0" fontId="23" fillId="0" borderId="0" xfId="0" applyFont="1" applyProtection="1">
      <protection hidden="1"/>
    </xf>
    <xf numFmtId="0" fontId="24" fillId="0" borderId="0" xfId="0" applyFont="1" applyAlignment="1">
      <alignment horizontal="center" readingOrder="1"/>
    </xf>
    <xf numFmtId="0" fontId="3" fillId="2" borderId="0" xfId="0" applyFont="1" applyFill="1" applyBorder="1" applyAlignment="1" applyProtection="1">
      <alignment vertical="center"/>
      <protection hidden="1"/>
    </xf>
    <xf numFmtId="0" fontId="23" fillId="19" borderId="17" xfId="0" applyFont="1" applyFill="1" applyBorder="1" applyAlignment="1" applyProtection="1">
      <alignment horizontal="center"/>
      <protection hidden="1"/>
    </xf>
    <xf numFmtId="0" fontId="22" fillId="17" borderId="4" xfId="3" applyFont="1" applyFill="1" applyBorder="1" applyAlignment="1" applyProtection="1">
      <alignment horizontal="right" vertical="center"/>
      <protection hidden="1"/>
    </xf>
    <xf numFmtId="0" fontId="22" fillId="17" borderId="0" xfId="3" applyFont="1" applyFill="1" applyBorder="1" applyAlignment="1" applyProtection="1">
      <alignment horizontal="right" vertical="center"/>
      <protection hidden="1"/>
    </xf>
    <xf numFmtId="0" fontId="22" fillId="17" borderId="8" xfId="3" applyFont="1" applyFill="1" applyBorder="1" applyAlignment="1" applyProtection="1">
      <alignment horizontal="right" vertical="center"/>
      <protection hidden="1"/>
    </xf>
    <xf numFmtId="0" fontId="21" fillId="17" borderId="4" xfId="3" applyFont="1" applyFill="1" applyBorder="1" applyAlignment="1" applyProtection="1">
      <alignment horizontal="right" vertical="center"/>
      <protection hidden="1"/>
    </xf>
    <xf numFmtId="0" fontId="21" fillId="17" borderId="0" xfId="3" applyFont="1" applyFill="1" applyBorder="1" applyAlignment="1" applyProtection="1">
      <alignment horizontal="right" vertical="center"/>
      <protection hidden="1"/>
    </xf>
    <xf numFmtId="0" fontId="21" fillId="17" borderId="8" xfId="3" applyFont="1" applyFill="1" applyBorder="1" applyAlignment="1" applyProtection="1">
      <alignment horizontal="right" vertical="center"/>
      <protection hidden="1"/>
    </xf>
    <xf numFmtId="15" fontId="0" fillId="17" borderId="7" xfId="0" applyNumberFormat="1" applyFill="1" applyBorder="1" applyAlignment="1" applyProtection="1">
      <alignment horizontal="left"/>
      <protection hidden="1"/>
    </xf>
    <xf numFmtId="15" fontId="0" fillId="17" borderId="18" xfId="0" applyNumberFormat="1" applyFill="1" applyBorder="1" applyAlignment="1" applyProtection="1">
      <alignment horizontal="left"/>
      <protection hidden="1"/>
    </xf>
    <xf numFmtId="15" fontId="0" fillId="17" borderId="19" xfId="0" applyNumberFormat="1" applyFill="1" applyBorder="1" applyAlignment="1" applyProtection="1">
      <alignment horizontal="left"/>
      <protection hidden="1"/>
    </xf>
    <xf numFmtId="0" fontId="20" fillId="17" borderId="4" xfId="3" applyFont="1" applyFill="1" applyBorder="1" applyAlignment="1" applyProtection="1">
      <alignment horizontal="right" vertical="center"/>
      <protection hidden="1"/>
    </xf>
    <xf numFmtId="0" fontId="20" fillId="17" borderId="0" xfId="3" applyFont="1" applyFill="1" applyBorder="1" applyAlignment="1" applyProtection="1">
      <alignment horizontal="right" vertical="center"/>
      <protection hidden="1"/>
    </xf>
    <xf numFmtId="0" fontId="20" fillId="17" borderId="8" xfId="3" applyFont="1" applyFill="1" applyBorder="1" applyAlignment="1" applyProtection="1">
      <alignment horizontal="right" vertical="center"/>
      <protection hidden="1"/>
    </xf>
    <xf numFmtId="0" fontId="18" fillId="15" borderId="20" xfId="0" applyFont="1" applyFill="1" applyBorder="1" applyAlignment="1" applyProtection="1">
      <alignment horizontal="center" vertical="center"/>
      <protection hidden="1"/>
    </xf>
    <xf numFmtId="0" fontId="18" fillId="15" borderId="17" xfId="0" applyFont="1" applyFill="1" applyBorder="1" applyAlignment="1" applyProtection="1">
      <alignment horizontal="center" vertical="center"/>
      <protection hidden="1"/>
    </xf>
    <xf numFmtId="0" fontId="18" fillId="15" borderId="21" xfId="0" applyFont="1" applyFill="1" applyBorder="1" applyAlignment="1" applyProtection="1">
      <alignment horizontal="center" vertical="center"/>
      <protection hidden="1"/>
    </xf>
  </cellXfs>
  <cellStyles count="4">
    <cellStyle name="40% - Accent6" xfId="2" builtinId="51"/>
    <cellStyle name="Comma" xfId="1" builtinId="3"/>
    <cellStyle name="Good" xfId="3" builtinId="26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CC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66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76200</xdr:rowOff>
    </xdr:from>
    <xdr:to>
      <xdr:col>1</xdr:col>
      <xdr:colOff>2324100</xdr:colOff>
      <xdr:row>3</xdr:row>
      <xdr:rowOff>171450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200"/>
          <a:ext cx="22860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pnaplan.com/" TargetMode="External"/><Relationship Id="rId1" Type="http://schemas.openxmlformats.org/officeDocument/2006/relationships/hyperlink" Target="http://www.apnaplan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6"/>
  <sheetViews>
    <sheetView showGridLines="0" tabSelected="1" zoomScaleSheetLayoutView="80" workbookViewId="0">
      <pane ySplit="2" topLeftCell="A3" activePane="bottomLeft" state="frozen"/>
      <selection pane="bottomLeft" activeCell="E15" sqref="E15"/>
    </sheetView>
  </sheetViews>
  <sheetFormatPr defaultColWidth="9.1796875" defaultRowHeight="12.5" x14ac:dyDescent="0.25"/>
  <cols>
    <col min="1" max="1" width="1.1796875" style="12" bestFit="1" customWidth="1"/>
    <col min="2" max="2" width="73.81640625" style="2" customWidth="1"/>
    <col min="3" max="3" width="11.26953125" style="2" bestFit="1" customWidth="1"/>
    <col min="4" max="4" width="10" style="2" customWidth="1"/>
    <col min="5" max="5" width="14.453125" style="2" customWidth="1"/>
    <col min="6" max="6" width="18" style="12" customWidth="1"/>
    <col min="7" max="7" width="13.7265625" style="12" customWidth="1"/>
    <col min="8" max="8" width="23.81640625" style="12" customWidth="1"/>
    <col min="9" max="9" width="13.7265625" style="12" customWidth="1"/>
    <col min="10" max="17" width="6.7265625" style="12" bestFit="1" customWidth="1"/>
    <col min="18" max="18" width="6.7265625" style="2" bestFit="1" customWidth="1"/>
    <col min="19" max="19" width="6.7265625" style="2" customWidth="1"/>
    <col min="20" max="20" width="28.7265625" style="2" customWidth="1"/>
    <col min="21" max="21" width="10.1796875" style="2" bestFit="1" customWidth="1"/>
    <col min="22" max="22" width="10" style="2" customWidth="1"/>
    <col min="23" max="23" width="11.81640625" style="2" customWidth="1"/>
    <col min="24" max="24" width="11.7265625" style="2" customWidth="1"/>
    <col min="25" max="25" width="11.81640625" style="2" customWidth="1"/>
    <col min="26" max="27" width="11" style="2" customWidth="1"/>
    <col min="28" max="49" width="9.1796875" style="2" customWidth="1"/>
    <col min="50" max="16384" width="9.1796875" style="2"/>
  </cols>
  <sheetData>
    <row r="1" spans="1:33" s="3" customFormat="1" ht="23.25" customHeight="1" x14ac:dyDescent="0.25">
      <c r="A1" s="12"/>
      <c r="B1" s="71">
        <v>43921</v>
      </c>
      <c r="C1" s="72"/>
      <c r="D1" s="72"/>
      <c r="E1" s="73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33" s="3" customFormat="1" ht="23.25" customHeight="1" x14ac:dyDescent="0.25">
      <c r="A2" s="12"/>
      <c r="B2" s="74" t="s">
        <v>105</v>
      </c>
      <c r="C2" s="75"/>
      <c r="D2" s="75"/>
      <c r="E2" s="76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33" ht="20.25" customHeight="1" x14ac:dyDescent="0.25">
      <c r="B3" s="68" t="s">
        <v>97</v>
      </c>
      <c r="C3" s="69"/>
      <c r="D3" s="69"/>
      <c r="E3" s="70"/>
    </row>
    <row r="4" spans="1:33" ht="18" customHeight="1" x14ac:dyDescent="0.25">
      <c r="B4" s="65" t="s">
        <v>99</v>
      </c>
      <c r="C4" s="66"/>
      <c r="D4" s="66"/>
      <c r="E4" s="67"/>
    </row>
    <row r="5" spans="1:33" ht="13" x14ac:dyDescent="0.25">
      <c r="B5" s="17"/>
      <c r="C5" s="44"/>
      <c r="D5" s="13"/>
      <c r="E5" s="18"/>
    </row>
    <row r="6" spans="1:33" ht="21" x14ac:dyDescent="0.6">
      <c r="B6" s="55" t="s">
        <v>98</v>
      </c>
      <c r="C6" s="59" t="s">
        <v>6</v>
      </c>
      <c r="D6" s="56">
        <v>32874</v>
      </c>
      <c r="E6" s="63"/>
      <c r="F6" s="64" t="s">
        <v>102</v>
      </c>
      <c r="G6" s="64" t="s">
        <v>101</v>
      </c>
      <c r="H6" s="64" t="s">
        <v>100</v>
      </c>
      <c r="J6" s="62"/>
    </row>
    <row r="7" spans="1:33" ht="13.5" thickBot="1" x14ac:dyDescent="0.35">
      <c r="B7" s="17"/>
      <c r="C7" s="60" t="s">
        <v>7</v>
      </c>
      <c r="D7" s="57">
        <f>DATEDIF(D6,B1,"Y")</f>
        <v>30</v>
      </c>
      <c r="E7" s="63"/>
      <c r="F7" s="56">
        <v>32874</v>
      </c>
      <c r="G7" s="56" t="s">
        <v>104</v>
      </c>
      <c r="H7" s="56" t="s">
        <v>103</v>
      </c>
      <c r="I7" s="61"/>
      <c r="J7" s="61"/>
    </row>
    <row r="8" spans="1:33" ht="15.5" thickTop="1" thickBot="1" x14ac:dyDescent="0.3">
      <c r="B8" s="14" t="s">
        <v>8</v>
      </c>
      <c r="C8" s="58">
        <v>1500000</v>
      </c>
      <c r="D8" s="45"/>
      <c r="E8" s="15">
        <f>C8</f>
        <v>1500000</v>
      </c>
      <c r="AG8" s="12" t="s">
        <v>43</v>
      </c>
    </row>
    <row r="9" spans="1:33" ht="15" thickTop="1" thickBot="1" x14ac:dyDescent="0.3">
      <c r="B9" s="14" t="s">
        <v>10</v>
      </c>
      <c r="C9" s="45"/>
      <c r="D9" s="45"/>
      <c r="E9" s="15">
        <f>-SUM(D10,D15,D16,D17)</f>
        <v>-388496</v>
      </c>
      <c r="AG9" s="12" t="s">
        <v>44</v>
      </c>
    </row>
    <row r="10" spans="1:33" ht="15" thickTop="1" x14ac:dyDescent="0.25">
      <c r="B10" s="19" t="s">
        <v>27</v>
      </c>
      <c r="C10" s="45"/>
      <c r="D10" s="1">
        <v>336000</v>
      </c>
      <c r="E10" s="20"/>
    </row>
    <row r="11" spans="1:33" ht="14.5" x14ac:dyDescent="0.25">
      <c r="B11" s="30" t="s">
        <v>28</v>
      </c>
      <c r="C11" s="28" t="s">
        <v>43</v>
      </c>
      <c r="D11" s="45"/>
      <c r="E11" s="20"/>
    </row>
    <row r="12" spans="1:33" ht="14.5" x14ac:dyDescent="0.25">
      <c r="B12" s="30" t="s">
        <v>29</v>
      </c>
      <c r="C12" s="33"/>
      <c r="D12" s="1"/>
      <c r="E12" s="20"/>
    </row>
    <row r="13" spans="1:33" ht="14.5" x14ac:dyDescent="0.25">
      <c r="B13" s="30" t="s">
        <v>30</v>
      </c>
      <c r="C13" s="33">
        <v>336000</v>
      </c>
      <c r="D13" s="1">
        <v>336000</v>
      </c>
      <c r="E13" s="20"/>
    </row>
    <row r="14" spans="1:33" ht="14.5" x14ac:dyDescent="0.25">
      <c r="B14" s="30" t="s">
        <v>31</v>
      </c>
      <c r="C14" s="33"/>
      <c r="D14" s="1"/>
      <c r="E14" s="20"/>
    </row>
    <row r="15" spans="1:33" ht="14.5" x14ac:dyDescent="0.25">
      <c r="B15" s="19" t="s">
        <v>80</v>
      </c>
      <c r="C15" s="29">
        <v>50000</v>
      </c>
      <c r="D15" s="1">
        <f>MAX(MIN(C15,50000),0)</f>
        <v>50000</v>
      </c>
      <c r="E15" s="20"/>
    </row>
    <row r="16" spans="1:33" ht="14.5" x14ac:dyDescent="0.25">
      <c r="B16" s="19" t="s">
        <v>32</v>
      </c>
      <c r="C16" s="29">
        <v>0</v>
      </c>
      <c r="D16" s="1">
        <f>C16</f>
        <v>0</v>
      </c>
      <c r="E16" s="20"/>
    </row>
    <row r="17" spans="2:5" ht="15" thickBot="1" x14ac:dyDescent="0.3">
      <c r="B17" s="19" t="s">
        <v>33</v>
      </c>
      <c r="C17" s="29">
        <v>2496</v>
      </c>
      <c r="D17" s="1">
        <f>C17</f>
        <v>2496</v>
      </c>
      <c r="E17" s="20"/>
    </row>
    <row r="18" spans="2:5" ht="15" thickTop="1" thickBot="1" x14ac:dyDescent="0.3">
      <c r="B18" s="14" t="s">
        <v>16</v>
      </c>
      <c r="C18" s="45"/>
      <c r="D18" s="45"/>
      <c r="E18" s="15">
        <f>SUM(E8:E9)</f>
        <v>1111504</v>
      </c>
    </row>
    <row r="19" spans="2:5" ht="15.5" thickTop="1" thickBot="1" x14ac:dyDescent="0.3">
      <c r="B19" s="14" t="s">
        <v>17</v>
      </c>
      <c r="C19" s="45"/>
      <c r="D19" s="1">
        <f>SUM(C21:C26)</f>
        <v>0</v>
      </c>
      <c r="E19" s="15">
        <f>D19</f>
        <v>0</v>
      </c>
    </row>
    <row r="20" spans="2:5" ht="13.5" thickTop="1" x14ac:dyDescent="0.25">
      <c r="B20" s="19" t="s">
        <v>34</v>
      </c>
      <c r="C20" s="45"/>
      <c r="D20" s="45"/>
      <c r="E20" s="20"/>
    </row>
    <row r="21" spans="2:5" ht="14.5" x14ac:dyDescent="0.25">
      <c r="B21" s="30" t="s">
        <v>35</v>
      </c>
      <c r="C21" s="29">
        <v>0</v>
      </c>
      <c r="D21" s="45"/>
      <c r="E21" s="20"/>
    </row>
    <row r="22" spans="2:5" ht="14.5" x14ac:dyDescent="0.25">
      <c r="B22" s="30" t="s">
        <v>36</v>
      </c>
      <c r="C22" s="29">
        <v>0</v>
      </c>
      <c r="D22" s="45"/>
      <c r="E22" s="20"/>
    </row>
    <row r="23" spans="2:5" ht="14.5" x14ac:dyDescent="0.25">
      <c r="B23" s="30" t="s">
        <v>40</v>
      </c>
      <c r="C23" s="29">
        <v>0</v>
      </c>
      <c r="D23" s="45"/>
      <c r="E23" s="20"/>
    </row>
    <row r="24" spans="2:5" ht="14.5" x14ac:dyDescent="0.25">
      <c r="B24" s="30" t="s">
        <v>37</v>
      </c>
      <c r="C24" s="29">
        <v>0</v>
      </c>
      <c r="D24" s="45"/>
      <c r="E24" s="20"/>
    </row>
    <row r="25" spans="2:5" ht="14.5" x14ac:dyDescent="0.25">
      <c r="B25" s="19" t="s">
        <v>38</v>
      </c>
      <c r="C25" s="29">
        <v>0</v>
      </c>
      <c r="D25" s="45"/>
      <c r="E25" s="20"/>
    </row>
    <row r="26" spans="2:5" ht="15" thickBot="1" x14ac:dyDescent="0.3">
      <c r="B26" s="19" t="s">
        <v>39</v>
      </c>
      <c r="C26" s="29">
        <v>0</v>
      </c>
      <c r="D26" s="45"/>
      <c r="E26" s="20"/>
    </row>
    <row r="27" spans="2:5" ht="15" thickTop="1" thickBot="1" x14ac:dyDescent="0.3">
      <c r="B27" s="14" t="s">
        <v>66</v>
      </c>
      <c r="C27" s="45"/>
      <c r="D27" s="45"/>
      <c r="E27" s="15">
        <f>SUM(D28:D30)</f>
        <v>0</v>
      </c>
    </row>
    <row r="28" spans="2:5" ht="15" thickTop="1" x14ac:dyDescent="0.25">
      <c r="B28" s="32" t="s">
        <v>76</v>
      </c>
      <c r="C28" s="29">
        <v>0</v>
      </c>
      <c r="D28" s="1">
        <f>-IF(C28&gt;200000,200000,C28)</f>
        <v>0</v>
      </c>
      <c r="E28" s="20"/>
    </row>
    <row r="29" spans="2:5" ht="14.5" x14ac:dyDescent="0.25">
      <c r="B29" s="40" t="s">
        <v>72</v>
      </c>
      <c r="C29" s="29">
        <v>0</v>
      </c>
      <c r="D29" s="1">
        <f>-IF(C29&gt;50000,50000,C29)</f>
        <v>0</v>
      </c>
      <c r="E29" s="20"/>
    </row>
    <row r="30" spans="2:5" ht="14.5" x14ac:dyDescent="0.25">
      <c r="B30" s="32" t="s">
        <v>42</v>
      </c>
      <c r="C30" s="29">
        <v>0</v>
      </c>
      <c r="D30" s="1">
        <f>-IF(C30&gt;30000,30000,C30)</f>
        <v>0</v>
      </c>
      <c r="E30" s="20"/>
    </row>
    <row r="31" spans="2:5" ht="14.5" thickBot="1" x14ac:dyDescent="0.3">
      <c r="B31" s="14" t="s">
        <v>21</v>
      </c>
      <c r="C31" s="45"/>
      <c r="D31" s="45"/>
      <c r="E31" s="21">
        <f>SUM(E27,E18,E19)</f>
        <v>1111504</v>
      </c>
    </row>
    <row r="32" spans="2:5" ht="15.5" thickTop="1" thickBot="1" x14ac:dyDescent="0.3">
      <c r="B32" s="14" t="s">
        <v>65</v>
      </c>
      <c r="C32" s="45"/>
      <c r="D32" s="1">
        <f>IF(SUM(C33:C47)&gt;150001,150000,SUM(C33:C47))</f>
        <v>150000</v>
      </c>
      <c r="E32" s="15">
        <f>-D32</f>
        <v>-150000</v>
      </c>
    </row>
    <row r="33" spans="2:5" ht="15" thickTop="1" x14ac:dyDescent="0.25">
      <c r="B33" s="30" t="s">
        <v>45</v>
      </c>
      <c r="C33" s="33"/>
      <c r="D33" s="45"/>
      <c r="E33" s="20"/>
    </row>
    <row r="34" spans="2:5" ht="14.5" x14ac:dyDescent="0.25">
      <c r="B34" s="30" t="s">
        <v>46</v>
      </c>
      <c r="C34" s="33">
        <v>0</v>
      </c>
      <c r="D34" s="45"/>
      <c r="E34" s="20"/>
    </row>
    <row r="35" spans="2:5" ht="14.5" x14ac:dyDescent="0.25">
      <c r="B35" s="30" t="s">
        <v>47</v>
      </c>
      <c r="C35" s="33">
        <v>0</v>
      </c>
      <c r="D35" s="45"/>
      <c r="E35" s="20"/>
    </row>
    <row r="36" spans="2:5" ht="14.5" x14ac:dyDescent="0.25">
      <c r="B36" s="30" t="s">
        <v>48</v>
      </c>
      <c r="C36" s="33">
        <v>0</v>
      </c>
      <c r="D36" s="45"/>
      <c r="E36" s="20"/>
    </row>
    <row r="37" spans="2:5" ht="14.5" x14ac:dyDescent="0.25">
      <c r="B37" s="30" t="s">
        <v>49</v>
      </c>
      <c r="C37" s="33">
        <v>150000</v>
      </c>
      <c r="D37" s="45"/>
      <c r="E37" s="20"/>
    </row>
    <row r="38" spans="2:5" ht="14.5" x14ac:dyDescent="0.25">
      <c r="B38" s="30" t="s">
        <v>50</v>
      </c>
      <c r="C38" s="33">
        <v>0</v>
      </c>
      <c r="D38" s="45"/>
      <c r="E38" s="20"/>
    </row>
    <row r="39" spans="2:5" ht="14.5" x14ac:dyDescent="0.25">
      <c r="B39" s="30" t="s">
        <v>51</v>
      </c>
      <c r="C39" s="33">
        <v>0</v>
      </c>
      <c r="D39" s="45"/>
      <c r="E39" s="20"/>
    </row>
    <row r="40" spans="2:5" ht="14.5" x14ac:dyDescent="0.25">
      <c r="B40" s="30" t="s">
        <v>52</v>
      </c>
      <c r="C40" s="33">
        <v>0</v>
      </c>
      <c r="D40" s="45"/>
      <c r="E40" s="20"/>
    </row>
    <row r="41" spans="2:5" ht="14.5" x14ac:dyDescent="0.25">
      <c r="B41" s="30" t="s">
        <v>53</v>
      </c>
      <c r="C41" s="33">
        <v>0</v>
      </c>
      <c r="D41" s="45"/>
      <c r="E41" s="20"/>
    </row>
    <row r="42" spans="2:5" ht="14.5" x14ac:dyDescent="0.25">
      <c r="B42" s="30" t="s">
        <v>54</v>
      </c>
      <c r="C42" s="33">
        <v>0</v>
      </c>
      <c r="D42" s="45"/>
      <c r="E42" s="20"/>
    </row>
    <row r="43" spans="2:5" ht="14.5" x14ac:dyDescent="0.25">
      <c r="B43" s="30" t="s">
        <v>71</v>
      </c>
      <c r="C43" s="33">
        <v>0</v>
      </c>
      <c r="D43" s="45"/>
      <c r="E43" s="20"/>
    </row>
    <row r="44" spans="2:5" ht="14.5" x14ac:dyDescent="0.25">
      <c r="B44" s="31" t="s">
        <v>55</v>
      </c>
      <c r="C44" s="33">
        <v>0</v>
      </c>
      <c r="D44" s="45"/>
      <c r="E44" s="20"/>
    </row>
    <row r="45" spans="2:5" ht="14.5" x14ac:dyDescent="0.25">
      <c r="B45" s="31" t="s">
        <v>68</v>
      </c>
      <c r="C45" s="33"/>
      <c r="D45" s="45"/>
      <c r="E45" s="20"/>
    </row>
    <row r="46" spans="2:5" ht="14.5" x14ac:dyDescent="0.25">
      <c r="B46" s="31" t="s">
        <v>69</v>
      </c>
      <c r="C46" s="29">
        <v>0</v>
      </c>
      <c r="D46" s="45"/>
      <c r="E46" s="20"/>
    </row>
    <row r="47" spans="2:5" ht="15" thickBot="1" x14ac:dyDescent="0.3">
      <c r="B47" s="30" t="s">
        <v>70</v>
      </c>
      <c r="C47" s="29">
        <v>0</v>
      </c>
      <c r="D47" s="45"/>
      <c r="E47" s="20"/>
    </row>
    <row r="48" spans="2:5" ht="15.5" thickTop="1" thickBot="1" x14ac:dyDescent="0.3">
      <c r="B48" s="14" t="s">
        <v>67</v>
      </c>
      <c r="C48" s="29">
        <v>0</v>
      </c>
      <c r="D48" s="45"/>
      <c r="E48" s="15">
        <f>-MIN(C48,50000)</f>
        <v>0</v>
      </c>
    </row>
    <row r="49" spans="1:17" ht="15.5" hidden="1" thickTop="1" thickBot="1" x14ac:dyDescent="0.3">
      <c r="B49" s="14" t="s">
        <v>41</v>
      </c>
      <c r="C49" s="29">
        <v>0</v>
      </c>
      <c r="D49" s="45"/>
      <c r="E49" s="15">
        <f>-MIN(C49,50000)/2</f>
        <v>0</v>
      </c>
    </row>
    <row r="50" spans="1:17" ht="15" thickTop="1" thickBot="1" x14ac:dyDescent="0.3">
      <c r="B50" s="14" t="s">
        <v>22</v>
      </c>
      <c r="C50" s="46"/>
      <c r="D50" s="47"/>
      <c r="E50" s="15">
        <f>-SUM(D51:D59)</f>
        <v>-150000</v>
      </c>
    </row>
    <row r="51" spans="1:17" ht="15" thickTop="1" x14ac:dyDescent="0.25">
      <c r="B51" s="30" t="s">
        <v>56</v>
      </c>
      <c r="C51" s="29">
        <v>50000</v>
      </c>
      <c r="D51" s="1">
        <f>IF(C51&gt;50001,50000,C51)</f>
        <v>50000</v>
      </c>
      <c r="E51" s="20"/>
    </row>
    <row r="52" spans="1:17" ht="14.5" x14ac:dyDescent="0.25">
      <c r="B52" s="30" t="s">
        <v>57</v>
      </c>
      <c r="C52" s="33">
        <v>0</v>
      </c>
      <c r="D52" s="1">
        <f>IF(C52&gt;50001,50000,C52)</f>
        <v>0</v>
      </c>
      <c r="E52" s="20"/>
    </row>
    <row r="53" spans="1:17" ht="14.5" x14ac:dyDescent="0.25">
      <c r="B53" s="30" t="s">
        <v>58</v>
      </c>
      <c r="C53" s="29">
        <v>50000</v>
      </c>
      <c r="D53" s="1">
        <f>C53</f>
        <v>50000</v>
      </c>
      <c r="E53" s="20"/>
    </row>
    <row r="54" spans="1:17" ht="14.5" x14ac:dyDescent="0.25">
      <c r="B54" s="30" t="s">
        <v>59</v>
      </c>
      <c r="C54" s="29">
        <v>0</v>
      </c>
      <c r="D54" s="1">
        <f>IF(C54&gt;125001,125000,C54)</f>
        <v>0</v>
      </c>
      <c r="E54" s="20"/>
    </row>
    <row r="55" spans="1:17" ht="14.5" x14ac:dyDescent="0.25">
      <c r="B55" s="30" t="s">
        <v>60</v>
      </c>
      <c r="C55" s="29">
        <v>0</v>
      </c>
      <c r="D55" s="1">
        <f>IF(C55&gt;100001,100000,C55)</f>
        <v>0</v>
      </c>
      <c r="E55" s="20"/>
    </row>
    <row r="56" spans="1:17" ht="14.5" x14ac:dyDescent="0.25">
      <c r="B56" s="30" t="s">
        <v>61</v>
      </c>
      <c r="C56" s="29">
        <v>50000</v>
      </c>
      <c r="D56" s="1">
        <f>C56</f>
        <v>50000</v>
      </c>
      <c r="E56" s="20"/>
    </row>
    <row r="57" spans="1:17" ht="14.5" x14ac:dyDescent="0.25">
      <c r="B57" s="39" t="s">
        <v>75</v>
      </c>
      <c r="C57" s="29">
        <v>0</v>
      </c>
      <c r="D57" s="1">
        <f>IF(C57&gt;60001,60000,C57)</f>
        <v>0</v>
      </c>
      <c r="E57" s="20"/>
    </row>
    <row r="58" spans="1:17" ht="14.5" x14ac:dyDescent="0.25">
      <c r="B58" s="30" t="s">
        <v>62</v>
      </c>
      <c r="C58" s="29">
        <v>0</v>
      </c>
      <c r="D58" s="1">
        <f>IF(C58&gt;125001,125000,C58)</f>
        <v>0</v>
      </c>
      <c r="E58" s="20"/>
    </row>
    <row r="59" spans="1:17" ht="15" thickBot="1" x14ac:dyDescent="0.3">
      <c r="B59" s="30" t="s">
        <v>78</v>
      </c>
      <c r="C59" s="33">
        <v>0</v>
      </c>
      <c r="D59" s="1">
        <f>IF(C59&gt;50001,50000,C59)</f>
        <v>0</v>
      </c>
      <c r="E59" s="20"/>
    </row>
    <row r="60" spans="1:17" ht="15.5" thickTop="1" thickBot="1" x14ac:dyDescent="0.3">
      <c r="B60" s="19" t="s">
        <v>81</v>
      </c>
      <c r="C60" s="33">
        <v>0</v>
      </c>
      <c r="D60" s="1">
        <f>C60</f>
        <v>0</v>
      </c>
      <c r="E60" s="15">
        <f>-D60</f>
        <v>0</v>
      </c>
    </row>
    <row r="61" spans="1:17" ht="15.5" thickTop="1" thickBot="1" x14ac:dyDescent="0.3">
      <c r="B61" s="41" t="s">
        <v>82</v>
      </c>
      <c r="C61" s="33">
        <v>0</v>
      </c>
      <c r="D61" s="1">
        <f>C61</f>
        <v>0</v>
      </c>
      <c r="E61" s="15">
        <f>-MIN(D61,150000)</f>
        <v>0</v>
      </c>
    </row>
    <row r="62" spans="1:17" ht="15.5" thickTop="1" thickBot="1" x14ac:dyDescent="0.3">
      <c r="B62" s="41" t="s">
        <v>83</v>
      </c>
      <c r="C62" s="33">
        <v>20000</v>
      </c>
      <c r="D62" s="1">
        <f>C62</f>
        <v>20000</v>
      </c>
      <c r="E62" s="15">
        <f>-MIN(D62,150000)</f>
        <v>-20000</v>
      </c>
    </row>
    <row r="63" spans="1:17" ht="15" thickTop="1" x14ac:dyDescent="0.25">
      <c r="B63" s="14" t="s">
        <v>23</v>
      </c>
      <c r="C63" s="45"/>
      <c r="D63" s="45"/>
      <c r="E63" s="22">
        <f>SUM(E31,E32,E48,E49,E50,E60,E61,E62)</f>
        <v>791504</v>
      </c>
    </row>
    <row r="64" spans="1:17" ht="14.5" x14ac:dyDescent="0.25">
      <c r="A64" s="2"/>
      <c r="B64" s="35" t="s">
        <v>79</v>
      </c>
      <c r="C64" s="45"/>
      <c r="D64" s="45"/>
      <c r="E64" s="22">
        <f>-IF(E63&lt;=500000,12500,0)</f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5" ht="14.5" x14ac:dyDescent="0.25">
      <c r="A65" s="2"/>
      <c r="B65" s="19" t="s">
        <v>24</v>
      </c>
      <c r="C65" s="45"/>
      <c r="D65" s="45"/>
      <c r="E65" s="22">
        <f>MAX(SUM(IF(D7&gt;80,'tax clculator'!U123,(IF(D7&gt;60,'tax clculator'!U117,'tax clculator'!U110))),E64),0)</f>
        <v>70800.800000000003</v>
      </c>
    </row>
    <row r="66" spans="1:5" ht="14.5" x14ac:dyDescent="0.25">
      <c r="A66" s="2"/>
      <c r="B66" s="35" t="s">
        <v>84</v>
      </c>
      <c r="C66" s="45"/>
      <c r="D66" s="45"/>
      <c r="E66" s="22">
        <f>IF(E63&gt;=10000000,E65*15%,(IF(E63&gt;=5000000,E65*10%,0)))</f>
        <v>0</v>
      </c>
    </row>
    <row r="67" spans="1:5" ht="15" thickBot="1" x14ac:dyDescent="0.3">
      <c r="A67" s="2"/>
      <c r="B67" s="19" t="s">
        <v>77</v>
      </c>
      <c r="C67" s="45"/>
      <c r="D67" s="45"/>
      <c r="E67" s="22">
        <f>0.04*SUM(E65,E66)</f>
        <v>2832.0320000000002</v>
      </c>
    </row>
    <row r="68" spans="1:5" ht="19.5" thickTop="1" thickBot="1" x14ac:dyDescent="0.3">
      <c r="A68" s="2"/>
      <c r="B68" s="23" t="s">
        <v>25</v>
      </c>
      <c r="C68" s="16"/>
      <c r="D68" s="16"/>
      <c r="E68" s="24">
        <f>SUM(E65:E67)</f>
        <v>73632.832000000009</v>
      </c>
    </row>
    <row r="69" spans="1:5" ht="19.5" thickTop="1" thickBot="1" x14ac:dyDescent="0.3">
      <c r="A69" s="2"/>
      <c r="B69" s="36" t="s">
        <v>73</v>
      </c>
      <c r="C69" s="48"/>
      <c r="D69" s="48"/>
      <c r="E69" s="38">
        <v>0</v>
      </c>
    </row>
    <row r="70" spans="1:5" ht="19.5" thickTop="1" thickBot="1" x14ac:dyDescent="0.3">
      <c r="A70" s="2"/>
      <c r="B70" s="36" t="s">
        <v>74</v>
      </c>
      <c r="C70" s="48"/>
      <c r="D70" s="48"/>
      <c r="E70" s="37">
        <f>E68-E69</f>
        <v>73632.832000000009</v>
      </c>
    </row>
    <row r="71" spans="1:5" ht="16.5" thickTop="1" thickBot="1" x14ac:dyDescent="0.3">
      <c r="A71" s="2"/>
      <c r="B71" s="25" t="s">
        <v>26</v>
      </c>
      <c r="C71" s="26"/>
      <c r="D71" s="26"/>
      <c r="E71" s="27">
        <f>E68/(E8+E19)</f>
        <v>4.9088554666666673E-2</v>
      </c>
    </row>
    <row r="72" spans="1:5" x14ac:dyDescent="0.25">
      <c r="A72" s="2"/>
      <c r="B72" s="49"/>
      <c r="C72" s="50"/>
      <c r="D72" s="50"/>
      <c r="E72" s="51"/>
    </row>
    <row r="73" spans="1:5" x14ac:dyDescent="0.25">
      <c r="A73" s="2"/>
      <c r="B73" s="49"/>
      <c r="C73" s="50"/>
      <c r="D73" s="50"/>
      <c r="E73" s="51"/>
    </row>
    <row r="74" spans="1:5" ht="15.5" x14ac:dyDescent="0.25">
      <c r="A74" s="2"/>
      <c r="B74" s="77" t="s">
        <v>96</v>
      </c>
      <c r="C74" s="78"/>
      <c r="D74" s="78"/>
      <c r="E74" s="79"/>
    </row>
    <row r="75" spans="1:5" ht="14.5" thickBot="1" x14ac:dyDescent="0.3">
      <c r="A75" s="2"/>
      <c r="B75" s="14" t="s">
        <v>8</v>
      </c>
      <c r="C75" s="50"/>
      <c r="D75" s="45"/>
      <c r="E75" s="21">
        <f>E8</f>
        <v>1500000</v>
      </c>
    </row>
    <row r="76" spans="1:5" ht="14" thickTop="1" thickBot="1" x14ac:dyDescent="0.3">
      <c r="A76" s="2"/>
      <c r="B76" s="19" t="s">
        <v>81</v>
      </c>
      <c r="C76" s="50"/>
      <c r="D76" s="50"/>
      <c r="E76" s="15">
        <f>E60</f>
        <v>0</v>
      </c>
    </row>
    <row r="77" spans="1:5" ht="15" thickTop="1" x14ac:dyDescent="0.25">
      <c r="A77" s="2"/>
      <c r="B77" s="14" t="s">
        <v>23</v>
      </c>
      <c r="C77" s="45"/>
      <c r="D77" s="45"/>
      <c r="E77" s="22">
        <f>E75+E76</f>
        <v>1500000</v>
      </c>
    </row>
    <row r="78" spans="1:5" ht="14.5" x14ac:dyDescent="0.25">
      <c r="A78" s="2"/>
      <c r="B78" s="35" t="s">
        <v>79</v>
      </c>
      <c r="C78" s="45"/>
      <c r="D78" s="45"/>
      <c r="E78" s="22">
        <f>-IF(E77&lt;=500000,12500,0)</f>
        <v>0</v>
      </c>
    </row>
    <row r="79" spans="1:5" ht="14.5" x14ac:dyDescent="0.25">
      <c r="A79" s="2"/>
      <c r="B79" s="19" t="s">
        <v>24</v>
      </c>
      <c r="C79" s="45"/>
      <c r="D79" s="45"/>
      <c r="E79" s="22">
        <f>MAX(SUM(IF(D21&gt;80,'tax clculator'!U156,(IF(D21&gt;60,'tax clculator'!U146,'tax clculator'!U136))),E78),0)</f>
        <v>187500</v>
      </c>
    </row>
    <row r="80" spans="1:5" ht="14.5" x14ac:dyDescent="0.25">
      <c r="A80" s="2"/>
      <c r="B80" s="35" t="s">
        <v>84</v>
      </c>
      <c r="C80" s="45"/>
      <c r="D80" s="45"/>
      <c r="E80" s="22">
        <f>IF(E77&gt;=10000000,E79*15%,(IF(E77&gt;=5000000,E79*10%,0)))</f>
        <v>0</v>
      </c>
    </row>
    <row r="81" spans="1:5" ht="15" thickBot="1" x14ac:dyDescent="0.3">
      <c r="A81" s="2"/>
      <c r="B81" s="19" t="s">
        <v>77</v>
      </c>
      <c r="C81" s="45"/>
      <c r="D81" s="45"/>
      <c r="E81" s="22">
        <f>0.04*SUM(E79,E80)</f>
        <v>7500</v>
      </c>
    </row>
    <row r="82" spans="1:5" ht="19.5" thickTop="1" thickBot="1" x14ac:dyDescent="0.3">
      <c r="A82" s="2"/>
      <c r="B82" s="52" t="s">
        <v>25</v>
      </c>
      <c r="C82" s="53"/>
      <c r="D82" s="53"/>
      <c r="E82" s="54">
        <f>SUM(E79:E81)</f>
        <v>195000</v>
      </c>
    </row>
    <row r="83" spans="1:5" x14ac:dyDescent="0.25">
      <c r="A83" s="2"/>
      <c r="B83" s="12"/>
      <c r="C83" s="12"/>
      <c r="D83" s="12"/>
      <c r="E83" s="12"/>
    </row>
    <row r="103" spans="20:25" ht="13" x14ac:dyDescent="0.25">
      <c r="T103" s="4" t="s">
        <v>0</v>
      </c>
      <c r="U103" s="5" t="s">
        <v>1</v>
      </c>
      <c r="V103" s="5" t="s">
        <v>2</v>
      </c>
      <c r="W103" s="5" t="s">
        <v>3</v>
      </c>
      <c r="X103" s="5" t="s">
        <v>4</v>
      </c>
      <c r="Y103" s="5" t="s">
        <v>5</v>
      </c>
    </row>
    <row r="104" spans="20:25" ht="13" x14ac:dyDescent="0.25">
      <c r="T104" s="4"/>
      <c r="U104" s="5"/>
      <c r="V104" s="5"/>
      <c r="W104" s="5"/>
      <c r="X104" s="5"/>
      <c r="Y104" s="5"/>
    </row>
    <row r="105" spans="20:25" ht="13" x14ac:dyDescent="0.25">
      <c r="T105" s="4"/>
      <c r="U105" s="5"/>
      <c r="V105" s="5"/>
      <c r="W105" s="5"/>
      <c r="X105" s="5"/>
      <c r="Y105" s="5"/>
    </row>
    <row r="106" spans="20:25" ht="13" x14ac:dyDescent="0.25">
      <c r="T106" s="4" t="s">
        <v>14</v>
      </c>
      <c r="U106" s="6">
        <f>Y106*X106</f>
        <v>0</v>
      </c>
      <c r="V106" s="6">
        <v>250000</v>
      </c>
      <c r="W106" s="6"/>
      <c r="X106" s="7">
        <f>V106</f>
        <v>250000</v>
      </c>
      <c r="Y106" s="8">
        <v>0</v>
      </c>
    </row>
    <row r="107" spans="20:25" ht="13" x14ac:dyDescent="0.25">
      <c r="T107" s="4" t="s">
        <v>15</v>
      </c>
      <c r="U107" s="6">
        <f>MAX(0,MIN(Y107*X107,Y107*W107))</f>
        <v>12500</v>
      </c>
      <c r="V107" s="6">
        <v>500000</v>
      </c>
      <c r="W107" s="6">
        <f>V107-V106</f>
        <v>250000</v>
      </c>
      <c r="X107" s="7">
        <f>E63-X106</f>
        <v>541504</v>
      </c>
      <c r="Y107" s="8">
        <v>0.05</v>
      </c>
    </row>
    <row r="108" spans="20:25" ht="13" x14ac:dyDescent="0.25">
      <c r="T108" s="4" t="s">
        <v>9</v>
      </c>
      <c r="U108" s="6">
        <f>MAX(0,MIN(Y108*X108,Y108*W108))</f>
        <v>58300.800000000003</v>
      </c>
      <c r="V108" s="6">
        <v>1000000</v>
      </c>
      <c r="W108" s="6">
        <f>V108-V107</f>
        <v>500000</v>
      </c>
      <c r="X108" s="6">
        <f>X107-W107</f>
        <v>291504</v>
      </c>
      <c r="Y108" s="8">
        <v>0.2</v>
      </c>
    </row>
    <row r="109" spans="20:25" ht="13" x14ac:dyDescent="0.25">
      <c r="T109" s="4" t="s">
        <v>11</v>
      </c>
      <c r="U109" s="6">
        <f>MAX(0,MIN(Y109*X109,Y109*W109))</f>
        <v>0</v>
      </c>
      <c r="V109" s="6"/>
      <c r="W109" s="9">
        <f>'tax clculator'!E63-V108</f>
        <v>-208496</v>
      </c>
      <c r="X109" s="10">
        <f>X108-W108</f>
        <v>-208496</v>
      </c>
      <c r="Y109" s="8">
        <v>0.30000000000000004</v>
      </c>
    </row>
    <row r="110" spans="20:25" ht="13" x14ac:dyDescent="0.25">
      <c r="T110" s="4" t="s">
        <v>12</v>
      </c>
      <c r="U110" s="11">
        <f>SUM(U106:U109)</f>
        <v>70800.800000000003</v>
      </c>
      <c r="V110" s="6"/>
      <c r="W110" s="6"/>
      <c r="X110" s="6"/>
      <c r="Y110" s="8"/>
    </row>
    <row r="112" spans="20:25" ht="13" x14ac:dyDescent="0.25">
      <c r="T112" s="4" t="s">
        <v>13</v>
      </c>
      <c r="U112" s="5" t="s">
        <v>1</v>
      </c>
      <c r="V112" s="5" t="s">
        <v>2</v>
      </c>
      <c r="W112" s="5" t="s">
        <v>3</v>
      </c>
      <c r="X112" s="5" t="s">
        <v>4</v>
      </c>
      <c r="Y112" s="5" t="s">
        <v>5</v>
      </c>
    </row>
    <row r="113" spans="20:25" ht="13" x14ac:dyDescent="0.25">
      <c r="T113" s="4" t="s">
        <v>63</v>
      </c>
      <c r="U113" s="6">
        <f>Y113*X113</f>
        <v>0</v>
      </c>
      <c r="V113" s="6">
        <v>300000</v>
      </c>
      <c r="W113" s="6"/>
      <c r="X113" s="6">
        <f>V113</f>
        <v>300000</v>
      </c>
      <c r="Y113" s="8">
        <v>0</v>
      </c>
    </row>
    <row r="114" spans="20:25" ht="13" x14ac:dyDescent="0.25">
      <c r="T114" s="4" t="s">
        <v>64</v>
      </c>
      <c r="U114" s="6">
        <f>MAX(0,MIN(Y114*X114,Y114*W114))</f>
        <v>10000</v>
      </c>
      <c r="V114" s="6">
        <v>500000</v>
      </c>
      <c r="W114" s="6">
        <f>V114-V113</f>
        <v>200000</v>
      </c>
      <c r="X114" s="9">
        <f>'tax clculator'!E63-X113</f>
        <v>491504</v>
      </c>
      <c r="Y114" s="8">
        <v>0.05</v>
      </c>
    </row>
    <row r="115" spans="20:25" ht="13" x14ac:dyDescent="0.25">
      <c r="T115" s="4" t="s">
        <v>9</v>
      </c>
      <c r="U115" s="6">
        <f>MAX(0,MIN(Y115*X115,Y115*W115))</f>
        <v>58300.800000000003</v>
      </c>
      <c r="V115" s="6">
        <v>1000000</v>
      </c>
      <c r="W115" s="6">
        <f>V115-V114</f>
        <v>500000</v>
      </c>
      <c r="X115" s="6">
        <f>X114-W114</f>
        <v>291504</v>
      </c>
      <c r="Y115" s="8">
        <v>0.2</v>
      </c>
    </row>
    <row r="116" spans="20:25" ht="13" x14ac:dyDescent="0.25">
      <c r="T116" s="4" t="s">
        <v>11</v>
      </c>
      <c r="U116" s="6">
        <f>MAX(0,MIN(Y116*X116,Y116*W116))</f>
        <v>0</v>
      </c>
      <c r="V116" s="6"/>
      <c r="W116" s="9">
        <f>'tax clculator'!E63-V115</f>
        <v>-208496</v>
      </c>
      <c r="X116" s="6">
        <f>X115-W115</f>
        <v>-208496</v>
      </c>
      <c r="Y116" s="8">
        <v>0.30000000000000004</v>
      </c>
    </row>
    <row r="117" spans="20:25" ht="13" x14ac:dyDescent="0.25">
      <c r="T117" s="4" t="s">
        <v>12</v>
      </c>
      <c r="U117" s="11">
        <f>SUM(U113:U116)</f>
        <v>68300.800000000003</v>
      </c>
      <c r="V117" s="6"/>
      <c r="W117" s="6"/>
      <c r="X117" s="6"/>
      <c r="Y117" s="8"/>
    </row>
    <row r="119" spans="20:25" ht="13" x14ac:dyDescent="0.25">
      <c r="T119" s="4" t="s">
        <v>18</v>
      </c>
      <c r="U119" s="5" t="s">
        <v>1</v>
      </c>
      <c r="V119" s="5" t="s">
        <v>2</v>
      </c>
      <c r="W119" s="5" t="s">
        <v>3</v>
      </c>
      <c r="X119" s="5" t="s">
        <v>4</v>
      </c>
      <c r="Y119" s="5" t="s">
        <v>5</v>
      </c>
    </row>
    <row r="120" spans="20:25" ht="13" x14ac:dyDescent="0.25">
      <c r="T120" s="4" t="s">
        <v>19</v>
      </c>
      <c r="U120" s="6">
        <f>Y120*X120</f>
        <v>0</v>
      </c>
      <c r="V120" s="6">
        <v>500000</v>
      </c>
      <c r="W120" s="6"/>
      <c r="X120" s="6">
        <f>V120</f>
        <v>500000</v>
      </c>
      <c r="Y120" s="8">
        <v>0</v>
      </c>
    </row>
    <row r="121" spans="20:25" ht="13" x14ac:dyDescent="0.25">
      <c r="T121" s="4" t="s">
        <v>9</v>
      </c>
      <c r="U121" s="6">
        <f>MAX(0,MIN(Y121*X121,Y121*W121))</f>
        <v>58300.800000000003</v>
      </c>
      <c r="V121" s="6">
        <v>1000000</v>
      </c>
      <c r="W121" s="6">
        <f>V121-V120</f>
        <v>500000</v>
      </c>
      <c r="X121" s="9">
        <f>'tax clculator'!E63-X120</f>
        <v>291504</v>
      </c>
      <c r="Y121" s="8">
        <v>0.2</v>
      </c>
    </row>
    <row r="122" spans="20:25" ht="13" x14ac:dyDescent="0.25">
      <c r="T122" s="4" t="s">
        <v>20</v>
      </c>
      <c r="U122" s="6">
        <f>MAX(0,MIN(Y122*X122,Y122*W122))</f>
        <v>0</v>
      </c>
      <c r="V122" s="6"/>
      <c r="W122" s="9">
        <f>'tax clculator'!E63-V121</f>
        <v>-208496</v>
      </c>
      <c r="X122" s="6">
        <f>X121-W121</f>
        <v>-208496</v>
      </c>
      <c r="Y122" s="8">
        <v>0.3</v>
      </c>
    </row>
    <row r="123" spans="20:25" ht="13" x14ac:dyDescent="0.25">
      <c r="T123" s="4" t="s">
        <v>12</v>
      </c>
      <c r="U123" s="11">
        <f>SUM(U120:U122)</f>
        <v>58300.800000000003</v>
      </c>
      <c r="V123" s="6"/>
      <c r="W123" s="6"/>
      <c r="X123" s="6"/>
      <c r="Y123" s="8"/>
    </row>
    <row r="128" spans="20:25" ht="13" x14ac:dyDescent="0.25">
      <c r="T128" s="4" t="s">
        <v>0</v>
      </c>
      <c r="U128" s="5" t="s">
        <v>1</v>
      </c>
      <c r="V128" s="5" t="s">
        <v>2</v>
      </c>
      <c r="W128" s="5" t="s">
        <v>3</v>
      </c>
      <c r="X128" s="5" t="s">
        <v>4</v>
      </c>
      <c r="Y128" s="5" t="s">
        <v>5</v>
      </c>
    </row>
    <row r="129" spans="20:25" ht="13" x14ac:dyDescent="0.25">
      <c r="T129" s="4" t="s">
        <v>85</v>
      </c>
      <c r="U129" s="34">
        <f>Y129*X129</f>
        <v>0</v>
      </c>
      <c r="V129" s="34">
        <v>250000</v>
      </c>
      <c r="W129" s="34"/>
      <c r="X129" s="34">
        <f>V129</f>
        <v>250000</v>
      </c>
      <c r="Y129" s="8">
        <v>0</v>
      </c>
    </row>
    <row r="130" spans="20:25" ht="13" x14ac:dyDescent="0.25">
      <c r="T130" s="4" t="s">
        <v>86</v>
      </c>
      <c r="U130" s="34">
        <f t="shared" ref="U130:U135" si="0">MAX(0,MIN(Y130*X130,Y130*W130))</f>
        <v>12500</v>
      </c>
      <c r="V130" s="34">
        <v>500000</v>
      </c>
      <c r="W130" s="34">
        <f>V130-V129</f>
        <v>250000</v>
      </c>
      <c r="X130" s="34">
        <f>$E$77-X129</f>
        <v>1250000</v>
      </c>
      <c r="Y130" s="8">
        <v>0.05</v>
      </c>
    </row>
    <row r="131" spans="20:25" ht="13" x14ac:dyDescent="0.25">
      <c r="T131" s="4" t="s">
        <v>87</v>
      </c>
      <c r="U131" s="34">
        <f t="shared" si="0"/>
        <v>25000</v>
      </c>
      <c r="V131" s="34">
        <v>750000</v>
      </c>
      <c r="W131" s="34">
        <f>V131-V130</f>
        <v>250000</v>
      </c>
      <c r="X131" s="34">
        <f>X130-W130</f>
        <v>1000000</v>
      </c>
      <c r="Y131" s="8">
        <v>0.1</v>
      </c>
    </row>
    <row r="132" spans="20:25" ht="13" x14ac:dyDescent="0.25">
      <c r="T132" s="4" t="s">
        <v>88</v>
      </c>
      <c r="U132" s="34">
        <f t="shared" si="0"/>
        <v>37500</v>
      </c>
      <c r="V132" s="34">
        <v>1000000</v>
      </c>
      <c r="W132" s="34">
        <f>V132-V131</f>
        <v>250000</v>
      </c>
      <c r="X132" s="34">
        <f>X131-W131</f>
        <v>750000</v>
      </c>
      <c r="Y132" s="8">
        <v>0.15</v>
      </c>
    </row>
    <row r="133" spans="20:25" ht="13" x14ac:dyDescent="0.25">
      <c r="T133" s="4" t="s">
        <v>89</v>
      </c>
      <c r="U133" s="34">
        <f t="shared" si="0"/>
        <v>50000</v>
      </c>
      <c r="V133" s="34">
        <v>1250000</v>
      </c>
      <c r="W133" s="34">
        <f>V133-V132</f>
        <v>250000</v>
      </c>
      <c r="X133" s="34">
        <f>X132-W132</f>
        <v>500000</v>
      </c>
      <c r="Y133" s="8">
        <v>0.2</v>
      </c>
    </row>
    <row r="134" spans="20:25" ht="13" x14ac:dyDescent="0.25">
      <c r="T134" s="4" t="s">
        <v>90</v>
      </c>
      <c r="U134" s="34">
        <f t="shared" si="0"/>
        <v>62500</v>
      </c>
      <c r="V134" s="34">
        <v>1500000</v>
      </c>
      <c r="W134" s="34">
        <f>V134-V133</f>
        <v>250000</v>
      </c>
      <c r="X134" s="34">
        <f>X133-W133</f>
        <v>250000</v>
      </c>
      <c r="Y134" s="8">
        <v>0.25</v>
      </c>
    </row>
    <row r="135" spans="20:25" ht="13" x14ac:dyDescent="0.25">
      <c r="T135" s="4" t="s">
        <v>91</v>
      </c>
      <c r="U135" s="6">
        <f t="shared" si="0"/>
        <v>0</v>
      </c>
      <c r="V135" s="34"/>
      <c r="W135" s="34">
        <f>$E$77-V134</f>
        <v>0</v>
      </c>
      <c r="X135" s="34">
        <f>X134-W134</f>
        <v>0</v>
      </c>
      <c r="Y135" s="8">
        <v>0.3</v>
      </c>
    </row>
    <row r="136" spans="20:25" ht="13" x14ac:dyDescent="0.25">
      <c r="T136" s="4" t="s">
        <v>12</v>
      </c>
      <c r="U136" s="42">
        <f>SUM(U129:U135)</f>
        <v>187500</v>
      </c>
      <c r="V136" s="34"/>
      <c r="W136" s="34"/>
      <c r="X136" s="34"/>
    </row>
    <row r="138" spans="20:25" ht="13" x14ac:dyDescent="0.25">
      <c r="T138" s="4" t="s">
        <v>94</v>
      </c>
      <c r="U138" s="5" t="s">
        <v>1</v>
      </c>
      <c r="V138" s="5" t="s">
        <v>2</v>
      </c>
      <c r="W138" s="5" t="s">
        <v>3</v>
      </c>
      <c r="X138" s="5" t="s">
        <v>4</v>
      </c>
      <c r="Y138" s="5" t="s">
        <v>5</v>
      </c>
    </row>
    <row r="139" spans="20:25" ht="13" x14ac:dyDescent="0.25">
      <c r="T139" s="4" t="s">
        <v>92</v>
      </c>
      <c r="U139" s="34">
        <f>Y139*X139</f>
        <v>0</v>
      </c>
      <c r="V139" s="34">
        <v>300000</v>
      </c>
      <c r="W139" s="34"/>
      <c r="X139" s="34">
        <f>V139</f>
        <v>300000</v>
      </c>
      <c r="Y139" s="8">
        <v>0</v>
      </c>
    </row>
    <row r="140" spans="20:25" ht="13" x14ac:dyDescent="0.25">
      <c r="T140" s="43" t="s">
        <v>93</v>
      </c>
      <c r="U140" s="34">
        <f t="shared" ref="U140:U145" si="1">MAX(0,MIN(Y140*X140,Y140*W140))</f>
        <v>10000</v>
      </c>
      <c r="V140" s="34">
        <v>500000</v>
      </c>
      <c r="W140" s="34">
        <f>V140-V139</f>
        <v>200000</v>
      </c>
      <c r="X140" s="34">
        <f>$E$77-X139</f>
        <v>1200000</v>
      </c>
      <c r="Y140" s="8">
        <v>0.05</v>
      </c>
    </row>
    <row r="141" spans="20:25" ht="13" x14ac:dyDescent="0.25">
      <c r="T141" s="4" t="s">
        <v>87</v>
      </c>
      <c r="U141" s="34">
        <f t="shared" si="1"/>
        <v>25000</v>
      </c>
      <c r="V141" s="34">
        <v>750000</v>
      </c>
      <c r="W141" s="34">
        <f>V141-V140</f>
        <v>250000</v>
      </c>
      <c r="X141" s="34">
        <f>X140-W140</f>
        <v>1000000</v>
      </c>
      <c r="Y141" s="8">
        <v>0.1</v>
      </c>
    </row>
    <row r="142" spans="20:25" ht="13" x14ac:dyDescent="0.25">
      <c r="T142" s="4" t="s">
        <v>88</v>
      </c>
      <c r="U142" s="34">
        <f t="shared" si="1"/>
        <v>37500</v>
      </c>
      <c r="V142" s="34">
        <v>1000000</v>
      </c>
      <c r="W142" s="34">
        <f>V142-V141</f>
        <v>250000</v>
      </c>
      <c r="X142" s="34">
        <f>X141-W141</f>
        <v>750000</v>
      </c>
      <c r="Y142" s="8">
        <v>0.15</v>
      </c>
    </row>
    <row r="143" spans="20:25" ht="13" x14ac:dyDescent="0.25">
      <c r="T143" s="4" t="s">
        <v>89</v>
      </c>
      <c r="U143" s="34">
        <f t="shared" si="1"/>
        <v>50000</v>
      </c>
      <c r="V143" s="34">
        <v>1250000</v>
      </c>
      <c r="W143" s="34">
        <f>V143-V142</f>
        <v>250000</v>
      </c>
      <c r="X143" s="34">
        <f>X142-W142</f>
        <v>500000</v>
      </c>
      <c r="Y143" s="8">
        <v>0.2</v>
      </c>
    </row>
    <row r="144" spans="20:25" ht="13" x14ac:dyDescent="0.25">
      <c r="T144" s="4" t="s">
        <v>90</v>
      </c>
      <c r="U144" s="34">
        <f t="shared" si="1"/>
        <v>62500</v>
      </c>
      <c r="V144" s="34">
        <v>1500000</v>
      </c>
      <c r="W144" s="34">
        <f>V144-V143</f>
        <v>250000</v>
      </c>
      <c r="X144" s="34">
        <f>X143-W143</f>
        <v>250000</v>
      </c>
      <c r="Y144" s="8">
        <v>0.25</v>
      </c>
    </row>
    <row r="145" spans="20:25" ht="13" x14ac:dyDescent="0.25">
      <c r="T145" s="4" t="s">
        <v>91</v>
      </c>
      <c r="U145" s="6">
        <f t="shared" si="1"/>
        <v>0</v>
      </c>
      <c r="V145" s="34"/>
      <c r="W145" s="34">
        <f>$E$77-V144</f>
        <v>0</v>
      </c>
      <c r="X145" s="34">
        <f>X144-W144</f>
        <v>0</v>
      </c>
      <c r="Y145" s="8">
        <v>0.3</v>
      </c>
    </row>
    <row r="146" spans="20:25" ht="13" x14ac:dyDescent="0.25">
      <c r="T146" s="4" t="s">
        <v>12</v>
      </c>
      <c r="U146" s="42">
        <f>SUM(U139:U145)</f>
        <v>185000</v>
      </c>
      <c r="V146" s="34"/>
      <c r="W146" s="34"/>
      <c r="X146" s="34"/>
    </row>
    <row r="148" spans="20:25" ht="13" x14ac:dyDescent="0.25">
      <c r="T148" s="4" t="s">
        <v>95</v>
      </c>
      <c r="U148" s="5" t="s">
        <v>1</v>
      </c>
      <c r="V148" s="5" t="s">
        <v>2</v>
      </c>
      <c r="W148" s="5" t="s">
        <v>3</v>
      </c>
      <c r="X148" s="5" t="s">
        <v>4</v>
      </c>
      <c r="Y148" s="5" t="s">
        <v>5</v>
      </c>
    </row>
    <row r="149" spans="20:25" ht="13" x14ac:dyDescent="0.25">
      <c r="T149" s="4" t="s">
        <v>85</v>
      </c>
      <c r="U149" s="34">
        <f>Y149*X149</f>
        <v>0</v>
      </c>
      <c r="V149" s="34">
        <v>250000</v>
      </c>
      <c r="W149" s="34"/>
      <c r="X149" s="34">
        <f>V149</f>
        <v>250000</v>
      </c>
      <c r="Y149" s="8">
        <v>0</v>
      </c>
    </row>
    <row r="150" spans="20:25" ht="13" x14ac:dyDescent="0.25">
      <c r="T150" s="4" t="s">
        <v>86</v>
      </c>
      <c r="U150" s="34">
        <f t="shared" ref="U150:U155" si="2">MAX(0,MIN(Y150*X150,Y150*W150))</f>
        <v>0</v>
      </c>
      <c r="V150" s="34">
        <v>500000</v>
      </c>
      <c r="W150" s="34">
        <f>V150-V149</f>
        <v>250000</v>
      </c>
      <c r="X150" s="34">
        <f>$E$77-X149</f>
        <v>1250000</v>
      </c>
      <c r="Y150" s="8">
        <v>0</v>
      </c>
    </row>
    <row r="151" spans="20:25" ht="13" x14ac:dyDescent="0.25">
      <c r="T151" s="4" t="s">
        <v>87</v>
      </c>
      <c r="U151" s="34">
        <f t="shared" si="2"/>
        <v>25000</v>
      </c>
      <c r="V151" s="34">
        <v>750000</v>
      </c>
      <c r="W151" s="34">
        <f>V151-V150</f>
        <v>250000</v>
      </c>
      <c r="X151" s="34">
        <f>X150-W150</f>
        <v>1000000</v>
      </c>
      <c r="Y151" s="8">
        <v>0.1</v>
      </c>
    </row>
    <row r="152" spans="20:25" ht="13" x14ac:dyDescent="0.25">
      <c r="T152" s="4" t="s">
        <v>88</v>
      </c>
      <c r="U152" s="34">
        <f t="shared" si="2"/>
        <v>37500</v>
      </c>
      <c r="V152" s="34">
        <v>1000000</v>
      </c>
      <c r="W152" s="34">
        <f>V152-V151</f>
        <v>250000</v>
      </c>
      <c r="X152" s="34">
        <f>X151-W151</f>
        <v>750000</v>
      </c>
      <c r="Y152" s="8">
        <v>0.15</v>
      </c>
    </row>
    <row r="153" spans="20:25" ht="13" x14ac:dyDescent="0.25">
      <c r="T153" s="4" t="s">
        <v>89</v>
      </c>
      <c r="U153" s="34">
        <f t="shared" si="2"/>
        <v>50000</v>
      </c>
      <c r="V153" s="34">
        <v>1250000</v>
      </c>
      <c r="W153" s="34">
        <f>V153-V152</f>
        <v>250000</v>
      </c>
      <c r="X153" s="34">
        <f>X152-W152</f>
        <v>500000</v>
      </c>
      <c r="Y153" s="8">
        <v>0.2</v>
      </c>
    </row>
    <row r="154" spans="20:25" ht="13" x14ac:dyDescent="0.25">
      <c r="T154" s="4" t="s">
        <v>90</v>
      </c>
      <c r="U154" s="34">
        <f t="shared" si="2"/>
        <v>62500</v>
      </c>
      <c r="V154" s="34">
        <v>1500000</v>
      </c>
      <c r="W154" s="34">
        <f>V154-V153</f>
        <v>250000</v>
      </c>
      <c r="X154" s="34">
        <f>X153-W153</f>
        <v>250000</v>
      </c>
      <c r="Y154" s="8">
        <v>0.25</v>
      </c>
    </row>
    <row r="155" spans="20:25" ht="13" x14ac:dyDescent="0.25">
      <c r="T155" s="4" t="s">
        <v>91</v>
      </c>
      <c r="U155" s="6">
        <f t="shared" si="2"/>
        <v>0</v>
      </c>
      <c r="V155" s="34"/>
      <c r="W155" s="34">
        <f>$E$77-V154</f>
        <v>0</v>
      </c>
      <c r="X155" s="34">
        <f>X154-W154</f>
        <v>0</v>
      </c>
      <c r="Y155" s="8">
        <v>0.3</v>
      </c>
    </row>
    <row r="156" spans="20:25" ht="13" x14ac:dyDescent="0.25">
      <c r="T156" s="4" t="s">
        <v>12</v>
      </c>
      <c r="U156" s="42">
        <f>SUM(U149:U155)</f>
        <v>175000</v>
      </c>
      <c r="V156" s="34"/>
      <c r="W156" s="34"/>
      <c r="X156" s="34"/>
    </row>
    <row r="157" spans="20:25" ht="13" x14ac:dyDescent="0.25">
      <c r="T157" s="5"/>
      <c r="U157" s="5"/>
      <c r="V157" s="5"/>
      <c r="W157" s="5"/>
      <c r="X157" s="6"/>
      <c r="Y157" s="8"/>
    </row>
    <row r="158" spans="20:25" ht="13" x14ac:dyDescent="0.25">
      <c r="T158" s="5"/>
      <c r="U158" s="5"/>
      <c r="V158" s="5"/>
      <c r="W158" s="5"/>
      <c r="X158" s="6"/>
      <c r="Y158" s="8"/>
    </row>
    <row r="159" spans="20:25" ht="13" x14ac:dyDescent="0.25">
      <c r="T159" s="5"/>
      <c r="U159" s="5"/>
      <c r="V159" s="5"/>
      <c r="W159" s="5"/>
    </row>
    <row r="160" spans="20:25" ht="13" x14ac:dyDescent="0.25">
      <c r="T160" s="5"/>
      <c r="U160" s="5"/>
      <c r="V160" s="5"/>
      <c r="W160" s="5"/>
      <c r="X160" s="5"/>
      <c r="Y160" s="5"/>
    </row>
    <row r="161" spans="20:25" ht="13" x14ac:dyDescent="0.25">
      <c r="T161" s="5"/>
      <c r="U161" s="5"/>
      <c r="V161" s="5"/>
      <c r="W161" s="5"/>
      <c r="X161" s="6"/>
      <c r="Y161" s="8"/>
    </row>
    <row r="162" spans="20:25" ht="13" x14ac:dyDescent="0.25">
      <c r="T162" s="5"/>
      <c r="U162" s="5"/>
      <c r="V162" s="5"/>
      <c r="W162" s="5"/>
      <c r="X162" s="9"/>
      <c r="Y162" s="8"/>
    </row>
    <row r="163" spans="20:25" ht="13" x14ac:dyDescent="0.25">
      <c r="T163" s="5"/>
      <c r="U163" s="5"/>
      <c r="V163" s="5"/>
      <c r="W163" s="5"/>
      <c r="X163" s="6"/>
      <c r="Y163" s="8"/>
    </row>
    <row r="164" spans="20:25" ht="13" x14ac:dyDescent="0.25">
      <c r="T164" s="5"/>
      <c r="U164" s="5"/>
      <c r="V164" s="5"/>
      <c r="W164" s="5"/>
      <c r="X164" s="6"/>
      <c r="Y164" s="8"/>
    </row>
    <row r="165" spans="20:25" ht="13" x14ac:dyDescent="0.25">
      <c r="T165" s="5"/>
      <c r="U165" s="5"/>
      <c r="V165" s="5"/>
      <c r="W165" s="5"/>
    </row>
    <row r="166" spans="20:25" ht="13" x14ac:dyDescent="0.25">
      <c r="T166" s="5"/>
      <c r="U166" s="5"/>
      <c r="V166" s="5"/>
      <c r="W166" s="5"/>
    </row>
  </sheetData>
  <mergeCells count="5">
    <mergeCell ref="B4:E4"/>
    <mergeCell ref="B3:E3"/>
    <mergeCell ref="B1:E1"/>
    <mergeCell ref="B2:E2"/>
    <mergeCell ref="B74:E74"/>
  </mergeCells>
  <dataValidations count="1">
    <dataValidation type="list" allowBlank="1" showInputMessage="1" showErrorMessage="1" sqref="C11" xr:uid="{00000000-0002-0000-0000-000000000000}">
      <formula1>$AG$8:$AG$9</formula1>
    </dataValidation>
  </dataValidations>
  <hyperlinks>
    <hyperlink ref="B4" r:id="rId1" display="www.ApnaPlan.com" xr:uid="{00000000-0004-0000-0000-000000000000}"/>
    <hyperlink ref="B3" r:id="rId2" display="www.ApnaPlan.com" xr:uid="{00000000-0004-0000-0000-000001000000}"/>
  </hyperlinks>
  <pageMargins left="0.78749999999999998" right="0.78749999999999998" top="1.0249999999999999" bottom="1.0249999999999999" header="0.78749999999999998" footer="0.78749999999999998"/>
  <pageSetup scale="82" orientation="portrait" useFirstPageNumber="1" horizontalDpi="300" verticalDpi="300" r:id="rId3"/>
  <headerFooter alignWithMargins="0">
    <oddHeader>&amp;C&amp;A</oddHeader>
    <oddFooter>&amp;CPage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view="pageBreakPreview" topLeftCell="F7" zoomScale="60" zoomScaleNormal="90" workbookViewId="0">
      <selection activeCell="O40" sqref="O40"/>
    </sheetView>
  </sheetViews>
  <sheetFormatPr defaultRowHeight="12.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tax clculator</vt:lpstr>
      <vt:lpstr>Recommended Books</vt:lpstr>
      <vt:lpstr>Excel_BuiltIn__FilterDatabase_1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Kumar1</dc:creator>
  <cp:lastModifiedBy>Sathishkumar Duraisamy</cp:lastModifiedBy>
  <cp:lastPrinted>2020-04-25T12:53:56Z</cp:lastPrinted>
  <dcterms:created xsi:type="dcterms:W3CDTF">2013-02-27T18:41:34Z</dcterms:created>
  <dcterms:modified xsi:type="dcterms:W3CDTF">2021-04-27T15:08:30Z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amit kumar</vt:lpwstr>
  </property>
  <property fmtid="{D5CDD505-2E9C-101B-9397-08002B2CF9AE}" pid="3" name="AXPDataClassification">
    <vt:lpwstr>AXP Public</vt:lpwstr>
  </property>
  <property fmtid="{D5CDD505-2E9C-101B-9397-08002B2CF9AE}" pid="4" name="AXPDataClassificationForSearch">
    <vt:lpwstr>AXPPublic_UniqueSearchString</vt:lpwstr>
  </property>
</Properties>
</file>