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sheim\Documents\GitHub\digital-servo\PSU\"/>
    </mc:Choice>
  </mc:AlternateContent>
  <bookViews>
    <workbookView xWindow="0" yWindow="0" windowWidth="19200" windowHeight="778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B7" i="2"/>
  <c r="C4" i="2"/>
  <c r="C48" i="1"/>
  <c r="C16" i="1"/>
  <c r="B5" i="2"/>
  <c r="F17" i="1"/>
  <c r="D4" i="2"/>
  <c r="C9" i="2" s="1"/>
  <c r="B4" i="2"/>
  <c r="E48" i="1"/>
  <c r="E4" i="2" s="1"/>
  <c r="D48" i="1"/>
  <c r="B49" i="1" s="1"/>
  <c r="B16" i="1"/>
  <c r="C17" i="1"/>
  <c r="B17" i="1"/>
  <c r="E3" i="2"/>
  <c r="C3" i="2"/>
  <c r="J5" i="2"/>
  <c r="K5" i="2"/>
  <c r="J3" i="2"/>
  <c r="J4" i="2"/>
  <c r="J2" i="2"/>
  <c r="I5" i="2"/>
  <c r="E51" i="1"/>
  <c r="D44" i="1"/>
  <c r="C54" i="1"/>
  <c r="M54" i="1"/>
  <c r="E44" i="1"/>
  <c r="E46" i="1"/>
  <c r="D46" i="1"/>
  <c r="C46" i="1"/>
  <c r="C47" i="1" s="1"/>
  <c r="B46" i="1"/>
  <c r="B47" i="1" s="1"/>
  <c r="B44" i="1"/>
  <c r="H41" i="1"/>
  <c r="M41" i="1"/>
  <c r="I41" i="1"/>
  <c r="G41" i="1"/>
  <c r="C41" i="1"/>
  <c r="D41" i="1"/>
  <c r="B41" i="1"/>
  <c r="F30" i="1"/>
  <c r="E32" i="1"/>
  <c r="D32" i="1"/>
  <c r="C32" i="1"/>
  <c r="E30" i="1"/>
  <c r="O6" i="1"/>
  <c r="C30" i="1"/>
  <c r="D5" i="2" l="1"/>
  <c r="D7" i="2" s="1"/>
  <c r="C5" i="2"/>
  <c r="D51" i="1"/>
  <c r="B3" i="2"/>
  <c r="D3" i="2"/>
  <c r="C51" i="1"/>
  <c r="B51" i="1"/>
  <c r="D47" i="1"/>
  <c r="E47" i="1"/>
  <c r="B48" i="1"/>
  <c r="E12" i="1"/>
  <c r="H19" i="1" s="1"/>
  <c r="M10" i="1"/>
  <c r="L10" i="1"/>
  <c r="K10" i="1"/>
  <c r="D30" i="1"/>
  <c r="C31" i="1" s="1"/>
  <c r="D12" i="1"/>
  <c r="C12" i="1"/>
  <c r="B12" i="1"/>
  <c r="F4" i="2" l="1"/>
  <c r="B50" i="1"/>
  <c r="F51" i="1"/>
</calcChain>
</file>

<file path=xl/sharedStrings.xml><?xml version="1.0" encoding="utf-8"?>
<sst xmlns="http://schemas.openxmlformats.org/spreadsheetml/2006/main" count="148" uniqueCount="127">
  <si>
    <t>REF CAVITY</t>
  </si>
  <si>
    <t>Trans/Ref</t>
  </si>
  <si>
    <t>Error</t>
  </si>
  <si>
    <t>LBO</t>
  </si>
  <si>
    <t>BBO 326</t>
  </si>
  <si>
    <t>BBO 361</t>
  </si>
  <si>
    <t>IODINE</t>
  </si>
  <si>
    <t>TOTALS</t>
  </si>
  <si>
    <t>ADC wires</t>
  </si>
  <si>
    <t>DAC wires</t>
  </si>
  <si>
    <t>LVDS</t>
  </si>
  <si>
    <t># of bits</t>
  </si>
  <si>
    <t>MAX IO</t>
  </si>
  <si>
    <t>ad5391</t>
  </si>
  <si>
    <t>ltc2668</t>
  </si>
  <si>
    <t>CMD,ADDR, DATA</t>
  </si>
  <si>
    <t>Data Format</t>
  </si>
  <si>
    <t>crystals</t>
  </si>
  <si>
    <t>diodes</t>
  </si>
  <si>
    <t>LBO, 2xBBO, 2xPPLNwg</t>
  </si>
  <si>
    <t>2x1083, 820, 468, 480</t>
  </si>
  <si>
    <t>Total</t>
  </si>
  <si>
    <t>SLOW INPUTS</t>
  </si>
  <si>
    <t>transmission and temp</t>
  </si>
  <si>
    <t>*1083 nm and 820 nm lock to reference cavity must be fast.</t>
  </si>
  <si>
    <t>*Iodine is a lock-in type error signal, only need on input/output</t>
  </si>
  <si>
    <t>*LBO lock is HC (2 inputs subtracted) and output</t>
  </si>
  <si>
    <t>*BBOs are HC for each input, and lock-in</t>
  </si>
  <si>
    <t>Slow ADC</t>
  </si>
  <si>
    <t>Slow DAC</t>
  </si>
  <si>
    <t>ADS79xx</t>
  </si>
  <si>
    <t>*16 channel, 12-14 bit, SPI 33MHz max frequency, +5V, $38</t>
  </si>
  <si>
    <t>*16 channel, 16, 12 bit, SPI 50 MHz max f, +-10V range, $48</t>
  </si>
  <si>
    <t>LBS (mV)</t>
  </si>
  <si>
    <t>SLOW OUTPUTS</t>
  </si>
  <si>
    <t>Fast Out</t>
  </si>
  <si>
    <t>Slow out</t>
  </si>
  <si>
    <t>Voltage amplitude</t>
  </si>
  <si>
    <t>PZTs want ~1MHz BW</t>
  </si>
  <si>
    <t>AD5543</t>
  </si>
  <si>
    <t xml:space="preserve">*1channed, 50MHz clock, </t>
  </si>
  <si>
    <t>FAST</t>
  </si>
  <si>
    <t>SLOW</t>
  </si>
  <si>
    <t>ADC</t>
  </si>
  <si>
    <t>DAC</t>
  </si>
  <si>
    <t>TYPE</t>
  </si>
  <si>
    <t>CHIP</t>
  </si>
  <si>
    <t>NUMBER</t>
  </si>
  <si>
    <t>WIRES</t>
  </si>
  <si>
    <t>TOTAL</t>
  </si>
  <si>
    <t>ads79xx (16ch)</t>
  </si>
  <si>
    <t>Channels</t>
  </si>
  <si>
    <t>Cost</t>
  </si>
  <si>
    <t>Sample rate (MSPS)</t>
  </si>
  <si>
    <t>ltc2320 (14,16)</t>
  </si>
  <si>
    <t>ad9257 (14)</t>
  </si>
  <si>
    <t>Input p-p (V)</t>
  </si>
  <si>
    <t>1-2</t>
  </si>
  <si>
    <t>LTC2172  (12-14)</t>
  </si>
  <si>
    <t>Slow in</t>
  </si>
  <si>
    <t>Fast in</t>
  </si>
  <si>
    <t xml:space="preserve">Fast out </t>
  </si>
  <si>
    <t>lbo 542</t>
  </si>
  <si>
    <t>bbo 326</t>
  </si>
  <si>
    <t>I2</t>
  </si>
  <si>
    <t>bbo361</t>
  </si>
  <si>
    <t>ta</t>
  </si>
  <si>
    <t>Temp control ("really slow")</t>
  </si>
  <si>
    <t>Lasers</t>
  </si>
  <si>
    <t>Cavities</t>
  </si>
  <si>
    <t>Temperature</t>
  </si>
  <si>
    <t>xtal</t>
  </si>
  <si>
    <t>waveguide</t>
  </si>
  <si>
    <t>tapered amp</t>
  </si>
  <si>
    <t>laser diode</t>
  </si>
  <si>
    <t>LBO, BBOx2</t>
  </si>
  <si>
    <t>468, 480</t>
  </si>
  <si>
    <t>1083x2, 820, 824, 862, 858</t>
  </si>
  <si>
    <t>Totals</t>
  </si>
  <si>
    <t>Slow in (error)</t>
  </si>
  <si>
    <t>Slow in (trans)</t>
  </si>
  <si>
    <t>Wires</t>
  </si>
  <si>
    <t>Fast out</t>
  </si>
  <si>
    <t>Channels needed</t>
  </si>
  <si>
    <t>Number chips</t>
  </si>
  <si>
    <t>Slow ADC ch #</t>
  </si>
  <si>
    <t>Slow DAC ch #</t>
  </si>
  <si>
    <t>Fast ADC ch #</t>
  </si>
  <si>
    <t>Fast DAC ch #</t>
  </si>
  <si>
    <t>Really Slow ADC ch #</t>
  </si>
  <si>
    <t>Really slow DAC ch #</t>
  </si>
  <si>
    <t>Leftover</t>
  </si>
  <si>
    <t>Channels wanted</t>
  </si>
  <si>
    <t>wires</t>
  </si>
  <si>
    <t>CS</t>
  </si>
  <si>
    <t>WR</t>
  </si>
  <si>
    <t>A4:A0</t>
  </si>
  <si>
    <t>D13:D0</t>
  </si>
  <si>
    <t>REG0:REG1</t>
  </si>
  <si>
    <t>RESET</t>
  </si>
  <si>
    <t>CLR</t>
  </si>
  <si>
    <t>#IO</t>
  </si>
  <si>
    <t># not pairs</t>
  </si>
  <si>
    <t># pairs</t>
  </si>
  <si>
    <t>LTC2195</t>
  </si>
  <si>
    <t>Chip</t>
  </si>
  <si>
    <t>Function</t>
  </si>
  <si>
    <t># needed</t>
  </si>
  <si>
    <t>Fast ADC</t>
  </si>
  <si>
    <t>Fast DAC</t>
  </si>
  <si>
    <t>AD9783</t>
  </si>
  <si>
    <t>AD5382</t>
  </si>
  <si>
    <t>Connector</t>
  </si>
  <si>
    <t>Pairs</t>
  </si>
  <si>
    <t>Unpairs</t>
  </si>
  <si>
    <t>A</t>
  </si>
  <si>
    <t>B</t>
  </si>
  <si>
    <t>C</t>
  </si>
  <si>
    <t>79, 81</t>
  </si>
  <si>
    <t>Pins</t>
  </si>
  <si>
    <t>3, 5, 69, 71, 72, 74</t>
  </si>
  <si>
    <t>CS RST(for each chip)</t>
  </si>
  <si>
    <t>SPI, CLK (shared)</t>
  </si>
  <si>
    <t>Slow</t>
  </si>
  <si>
    <t>Shared</t>
  </si>
  <si>
    <t>Not shared</t>
  </si>
  <si>
    <t>LTC2320-16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</si>
</sst>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/>
    <xf numFmtId="164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35" workbookViewId="0">
      <selection activeCell="E18" sqref="E18"/>
    </sheetView>
  </sheetViews>
  <sheetFormatPr defaultRowHeight="14.25" x14ac:dyDescent="0.45"/>
  <cols>
    <col min="1" max="1" width="14.53125" customWidth="1"/>
    <col min="2" max="2" width="9.3984375" customWidth="1"/>
    <col min="4" max="4" width="9.06640625" style="1"/>
    <col min="6" max="6" width="15.59765625" customWidth="1"/>
    <col min="7" max="7" width="14.1328125" customWidth="1"/>
    <col min="8" max="8" width="11.1328125" customWidth="1"/>
    <col min="9" max="9" width="13.33203125" customWidth="1"/>
    <col min="10" max="10" width="14.46484375" customWidth="1"/>
    <col min="11" max="11" width="16" customWidth="1"/>
    <col min="12" max="12" width="16.06640625" customWidth="1"/>
    <col min="13" max="13" width="17.265625" customWidth="1"/>
  </cols>
  <sheetData>
    <row r="1" spans="1:19" x14ac:dyDescent="0.45">
      <c r="A1" s="4" t="s">
        <v>0</v>
      </c>
      <c r="B1" s="3" t="s">
        <v>1</v>
      </c>
      <c r="C1" s="3" t="s">
        <v>2</v>
      </c>
      <c r="D1" s="1" t="s">
        <v>35</v>
      </c>
      <c r="E1" s="1" t="s">
        <v>36</v>
      </c>
      <c r="F1" t="s">
        <v>59</v>
      </c>
      <c r="G1" s="2" t="s">
        <v>24</v>
      </c>
      <c r="H1" s="2"/>
      <c r="I1" s="2"/>
      <c r="J1" s="2"/>
      <c r="K1" s="2"/>
      <c r="L1" s="2"/>
    </row>
    <row r="2" spans="1:19" x14ac:dyDescent="0.45">
      <c r="A2" s="3">
        <v>1083</v>
      </c>
      <c r="B2" s="3">
        <v>1</v>
      </c>
      <c r="C2" s="3">
        <v>2</v>
      </c>
      <c r="D2" s="3">
        <v>2</v>
      </c>
      <c r="E2" s="3">
        <v>2</v>
      </c>
      <c r="G2" s="6"/>
      <c r="H2" s="6"/>
      <c r="I2" s="6"/>
      <c r="J2" s="6"/>
      <c r="K2" s="6"/>
      <c r="L2" s="6"/>
      <c r="N2" s="17" t="s">
        <v>67</v>
      </c>
      <c r="O2" s="17"/>
    </row>
    <row r="3" spans="1:19" x14ac:dyDescent="0.45">
      <c r="A3" s="3">
        <v>820</v>
      </c>
      <c r="B3" s="3">
        <v>1</v>
      </c>
      <c r="C3" s="3">
        <v>2</v>
      </c>
      <c r="D3" s="3">
        <v>2</v>
      </c>
      <c r="E3" s="3">
        <v>2</v>
      </c>
      <c r="G3" s="6"/>
      <c r="H3" s="6"/>
      <c r="I3" s="6"/>
      <c r="J3" s="6"/>
      <c r="K3" s="6"/>
      <c r="L3" s="6"/>
      <c r="N3" s="1" t="s">
        <v>17</v>
      </c>
      <c r="O3" s="1">
        <v>5</v>
      </c>
      <c r="P3" s="16" t="s">
        <v>19</v>
      </c>
      <c r="Q3" s="16"/>
      <c r="R3" s="16"/>
    </row>
    <row r="4" spans="1:19" x14ac:dyDescent="0.45">
      <c r="A4" s="4" t="s">
        <v>6</v>
      </c>
      <c r="B4" s="3"/>
      <c r="C4" s="3"/>
      <c r="E4" s="1">
        <v>1</v>
      </c>
      <c r="F4">
        <v>1</v>
      </c>
      <c r="G4" s="22" t="s">
        <v>25</v>
      </c>
      <c r="H4" s="22"/>
      <c r="I4" s="22"/>
      <c r="J4" s="22"/>
      <c r="K4" s="22"/>
      <c r="L4" s="22"/>
      <c r="N4" s="1" t="s">
        <v>18</v>
      </c>
      <c r="O4" s="1">
        <v>5</v>
      </c>
      <c r="P4" s="16" t="s">
        <v>20</v>
      </c>
      <c r="Q4" s="16"/>
      <c r="R4" s="16"/>
    </row>
    <row r="5" spans="1:19" x14ac:dyDescent="0.45">
      <c r="A5" s="4" t="s">
        <v>3</v>
      </c>
      <c r="B5" s="3">
        <v>1</v>
      </c>
      <c r="C5" s="3">
        <v>2</v>
      </c>
      <c r="E5" s="1">
        <v>1</v>
      </c>
      <c r="G5" s="2" t="s">
        <v>26</v>
      </c>
      <c r="H5" s="2"/>
      <c r="I5" s="2"/>
      <c r="J5" s="2"/>
      <c r="K5" s="2"/>
      <c r="L5" s="2"/>
      <c r="N5" t="s">
        <v>66</v>
      </c>
      <c r="O5">
        <v>1</v>
      </c>
    </row>
    <row r="6" spans="1:19" x14ac:dyDescent="0.45">
      <c r="A6" s="4" t="s">
        <v>4</v>
      </c>
      <c r="B6" s="14"/>
      <c r="C6" s="14"/>
      <c r="D6" s="15"/>
      <c r="E6" s="15"/>
      <c r="G6" s="2" t="s">
        <v>27</v>
      </c>
      <c r="H6" s="2"/>
      <c r="I6" s="2"/>
      <c r="J6" s="2"/>
      <c r="K6" s="2"/>
      <c r="L6" s="2"/>
      <c r="N6" s="5" t="s">
        <v>21</v>
      </c>
      <c r="O6" s="1">
        <f>O3+O4</f>
        <v>10</v>
      </c>
    </row>
    <row r="7" spans="1:19" x14ac:dyDescent="0.45">
      <c r="A7" s="3">
        <v>542</v>
      </c>
      <c r="B7" s="3">
        <v>1</v>
      </c>
      <c r="C7" s="3">
        <v>2</v>
      </c>
      <c r="E7" s="1">
        <v>1</v>
      </c>
      <c r="J7" s="16" t="s">
        <v>37</v>
      </c>
      <c r="K7" s="16"/>
      <c r="N7" s="17" t="s">
        <v>22</v>
      </c>
      <c r="O7" s="17"/>
    </row>
    <row r="8" spans="1:19" ht="14.65" thickBot="1" x14ac:dyDescent="0.5">
      <c r="A8" s="3">
        <v>820</v>
      </c>
      <c r="B8" s="3">
        <v>1</v>
      </c>
      <c r="C8" s="3">
        <v>2</v>
      </c>
      <c r="E8" s="1">
        <v>1</v>
      </c>
      <c r="J8" s="3">
        <v>15</v>
      </c>
      <c r="K8" s="2"/>
      <c r="L8" s="2"/>
      <c r="M8" s="2"/>
      <c r="N8" s="1"/>
      <c r="O8" s="16" t="s">
        <v>23</v>
      </c>
      <c r="P8" s="16"/>
      <c r="Q8" s="16"/>
    </row>
    <row r="9" spans="1:19" ht="14.65" thickBot="1" x14ac:dyDescent="0.5">
      <c r="A9" s="4" t="s">
        <v>5</v>
      </c>
      <c r="B9" s="14"/>
      <c r="C9" s="14"/>
      <c r="D9" s="15"/>
      <c r="E9" s="15"/>
      <c r="J9" s="9" t="s">
        <v>11</v>
      </c>
      <c r="K9" s="9">
        <v>16</v>
      </c>
      <c r="L9" s="9">
        <v>14</v>
      </c>
      <c r="M9" s="9">
        <v>12</v>
      </c>
    </row>
    <row r="10" spans="1:19" ht="14.65" thickBot="1" x14ac:dyDescent="0.5">
      <c r="A10" s="3">
        <v>1083</v>
      </c>
      <c r="B10" s="3">
        <v>1</v>
      </c>
      <c r="C10" s="3">
        <v>2</v>
      </c>
      <c r="E10" s="1">
        <v>1</v>
      </c>
      <c r="J10" s="9" t="s">
        <v>33</v>
      </c>
      <c r="K10" s="13">
        <f>J8/2^(K9-1)/0.001</f>
        <v>0.457763671875</v>
      </c>
      <c r="L10" s="10">
        <f>J8/2^(L9-1)/0.001</f>
        <v>1.8310546875</v>
      </c>
      <c r="M10" s="10">
        <f>J8/2^(M9-1)/0.001</f>
        <v>7.32421875</v>
      </c>
      <c r="N10" s="19" t="s">
        <v>34</v>
      </c>
      <c r="O10" s="17"/>
    </row>
    <row r="11" spans="1:19" x14ac:dyDescent="0.45">
      <c r="A11" s="3">
        <v>542</v>
      </c>
      <c r="B11" s="3">
        <v>1</v>
      </c>
      <c r="C11" s="3"/>
      <c r="E11" s="1">
        <v>1</v>
      </c>
      <c r="F11" s="3">
        <v>2</v>
      </c>
    </row>
    <row r="12" spans="1:19" x14ac:dyDescent="0.45">
      <c r="A12" s="4" t="s">
        <v>7</v>
      </c>
      <c r="B12" s="4">
        <f>SUM(B2:B11)</f>
        <v>7</v>
      </c>
      <c r="C12" s="4">
        <f>SUM(C2:C11)</f>
        <v>12</v>
      </c>
      <c r="D12" s="5">
        <f>SUM(D2:D11)</f>
        <v>4</v>
      </c>
      <c r="E12" s="5">
        <f>SUM(E2:E11)</f>
        <v>10</v>
      </c>
    </row>
    <row r="13" spans="1:19" x14ac:dyDescent="0.45">
      <c r="A13" s="3"/>
      <c r="B13" s="8"/>
      <c r="C13" s="8"/>
    </row>
    <row r="14" spans="1:19" x14ac:dyDescent="0.45">
      <c r="B14" s="3" t="s">
        <v>41</v>
      </c>
      <c r="C14" s="3"/>
      <c r="D14" s="3"/>
      <c r="E14" s="3" t="s">
        <v>123</v>
      </c>
      <c r="F14" s="3"/>
      <c r="J14" s="12" t="s">
        <v>29</v>
      </c>
      <c r="R14" t="s">
        <v>16</v>
      </c>
    </row>
    <row r="15" spans="1:19" x14ac:dyDescent="0.45">
      <c r="B15" s="3" t="s">
        <v>8</v>
      </c>
      <c r="C15" s="3" t="s">
        <v>9</v>
      </c>
      <c r="E15" s="3" t="s">
        <v>28</v>
      </c>
      <c r="F15" s="3" t="s">
        <v>29</v>
      </c>
      <c r="H15" s="3" t="s">
        <v>29</v>
      </c>
      <c r="J15" s="12" t="s">
        <v>13</v>
      </c>
      <c r="K15" s="16" t="s">
        <v>31</v>
      </c>
      <c r="L15" s="16"/>
      <c r="M15" s="16"/>
      <c r="N15" s="16"/>
      <c r="O15" s="16"/>
      <c r="P15" s="16"/>
      <c r="Q15" s="16"/>
      <c r="R15" s="7" t="s">
        <v>15</v>
      </c>
      <c r="S15" s="7"/>
    </row>
    <row r="16" spans="1:19" x14ac:dyDescent="0.45">
      <c r="A16" s="3" t="s">
        <v>10</v>
      </c>
      <c r="B16" s="3">
        <f>2*(4+1+1)</f>
        <v>12</v>
      </c>
      <c r="C16" s="3">
        <f>2*(16+1+1)</f>
        <v>36</v>
      </c>
      <c r="D16" s="3" t="s">
        <v>124</v>
      </c>
      <c r="E16" s="1">
        <v>0</v>
      </c>
      <c r="F16" s="1">
        <v>0</v>
      </c>
      <c r="J16" s="12" t="s">
        <v>14</v>
      </c>
      <c r="K16" s="16" t="s">
        <v>32</v>
      </c>
      <c r="L16" s="16"/>
      <c r="M16" s="16"/>
      <c r="N16" s="16"/>
      <c r="O16" s="16"/>
      <c r="P16" s="16"/>
      <c r="Q16" s="16"/>
    </row>
    <row r="17" spans="1:13" x14ac:dyDescent="0.45">
      <c r="A17" s="3" t="s">
        <v>122</v>
      </c>
      <c r="B17" s="3">
        <f>3+2</f>
        <v>5</v>
      </c>
      <c r="C17" s="3">
        <f>3+2</f>
        <v>5</v>
      </c>
      <c r="D17" s="3" t="s">
        <v>125</v>
      </c>
      <c r="E17" s="1">
        <v>10</v>
      </c>
      <c r="F17" s="1">
        <f>3+14+5+2+1+1</f>
        <v>26</v>
      </c>
      <c r="H17">
        <v>3</v>
      </c>
    </row>
    <row r="18" spans="1:13" x14ac:dyDescent="0.45">
      <c r="A18" s="3" t="s">
        <v>121</v>
      </c>
      <c r="B18" s="3">
        <v>1</v>
      </c>
      <c r="C18" s="3">
        <v>2</v>
      </c>
      <c r="D18" s="3"/>
      <c r="E18" s="3"/>
      <c r="F18" s="3"/>
      <c r="J18" s="12" t="s">
        <v>39</v>
      </c>
      <c r="K18" t="s">
        <v>40</v>
      </c>
    </row>
    <row r="19" spans="1:13" x14ac:dyDescent="0.45">
      <c r="A19" s="4"/>
      <c r="B19" s="4"/>
      <c r="C19" s="4"/>
      <c r="D19" s="3"/>
      <c r="H19" s="12">
        <f>E12*H17</f>
        <v>30</v>
      </c>
    </row>
    <row r="20" spans="1:13" x14ac:dyDescent="0.45">
      <c r="A20" s="3"/>
      <c r="B20" s="18"/>
      <c r="C20" s="18"/>
      <c r="D20" s="3"/>
      <c r="E20" s="3"/>
      <c r="F20" s="3"/>
    </row>
    <row r="21" spans="1:13" x14ac:dyDescent="0.45">
      <c r="D21" s="3"/>
      <c r="E21" s="3"/>
      <c r="F21" s="3"/>
    </row>
    <row r="22" spans="1:13" x14ac:dyDescent="0.45">
      <c r="A22" s="3"/>
      <c r="B22" s="4"/>
      <c r="C22" s="4"/>
      <c r="D22" s="3"/>
      <c r="E22" s="3"/>
      <c r="F22" s="3"/>
    </row>
    <row r="23" spans="1:13" x14ac:dyDescent="0.45">
      <c r="B23" s="3"/>
      <c r="C23" s="3"/>
      <c r="D23" s="3"/>
      <c r="E23" s="3"/>
      <c r="F23" s="3"/>
      <c r="J23" s="12" t="s">
        <v>28</v>
      </c>
    </row>
    <row r="24" spans="1:13" x14ac:dyDescent="0.45">
      <c r="A24" s="4" t="s">
        <v>12</v>
      </c>
      <c r="B24" s="3"/>
      <c r="C24" s="3"/>
      <c r="D24" s="3"/>
      <c r="E24" s="20" t="s">
        <v>38</v>
      </c>
      <c r="F24" s="20"/>
      <c r="G24" s="20"/>
      <c r="J24" s="12" t="s">
        <v>30</v>
      </c>
    </row>
    <row r="25" spans="1:13" x14ac:dyDescent="0.45">
      <c r="A25" s="11">
        <v>216</v>
      </c>
      <c r="B25" s="3"/>
      <c r="C25" s="3"/>
      <c r="D25" s="3"/>
      <c r="E25" s="3"/>
      <c r="F25" s="3"/>
    </row>
    <row r="26" spans="1:13" x14ac:dyDescent="0.45">
      <c r="A26" s="3"/>
      <c r="B26" s="3"/>
      <c r="C26" s="3"/>
      <c r="D26" s="3"/>
      <c r="E26" s="3"/>
      <c r="F26" s="3"/>
    </row>
    <row r="27" spans="1:13" x14ac:dyDescent="0.45">
      <c r="A27" s="3"/>
      <c r="B27" s="3" t="s">
        <v>45</v>
      </c>
      <c r="C27" s="20" t="s">
        <v>41</v>
      </c>
      <c r="D27" s="20"/>
      <c r="E27" s="20" t="s">
        <v>42</v>
      </c>
      <c r="F27" s="20"/>
      <c r="J27" s="20" t="s">
        <v>28</v>
      </c>
      <c r="K27" s="20"/>
      <c r="L27" s="20"/>
      <c r="M27" s="20"/>
    </row>
    <row r="28" spans="1:13" x14ac:dyDescent="0.45">
      <c r="A28" s="3"/>
      <c r="B28" s="3" t="s">
        <v>46</v>
      </c>
      <c r="C28" s="3" t="s">
        <v>43</v>
      </c>
      <c r="D28" s="3" t="s">
        <v>44</v>
      </c>
      <c r="E28" s="3" t="s">
        <v>43</v>
      </c>
      <c r="F28" s="3" t="s">
        <v>44</v>
      </c>
      <c r="J28" t="s">
        <v>54</v>
      </c>
      <c r="K28" s="11" t="s">
        <v>58</v>
      </c>
      <c r="L28" t="s">
        <v>50</v>
      </c>
      <c r="M28" t="s">
        <v>55</v>
      </c>
    </row>
    <row r="29" spans="1:13" x14ac:dyDescent="0.45">
      <c r="A29" s="3"/>
      <c r="B29" s="3" t="s">
        <v>47</v>
      </c>
      <c r="C29" s="3">
        <v>12</v>
      </c>
      <c r="D29" s="3">
        <v>6</v>
      </c>
      <c r="E29" s="3">
        <v>16</v>
      </c>
      <c r="F29" s="3">
        <v>16</v>
      </c>
      <c r="I29" t="s">
        <v>51</v>
      </c>
      <c r="J29" s="3">
        <v>8</v>
      </c>
      <c r="K29" s="3">
        <v>4</v>
      </c>
      <c r="L29">
        <v>16</v>
      </c>
      <c r="M29">
        <v>8</v>
      </c>
    </row>
    <row r="30" spans="1:13" x14ac:dyDescent="0.45">
      <c r="A30" s="3"/>
      <c r="B30" s="3" t="s">
        <v>48</v>
      </c>
      <c r="C30" s="3">
        <f>_xlfn.CEILING.MATH(C29/2)*(B16+B18)+B17</f>
        <v>83</v>
      </c>
      <c r="D30" s="3">
        <f>_xlfn.CEILING.MATH(D29/2)*(C16+C18)+C17</f>
        <v>119</v>
      </c>
      <c r="E30" s="3">
        <f>E29/J29*11</f>
        <v>22</v>
      </c>
      <c r="F30" s="3">
        <f>F29/8*21</f>
        <v>42</v>
      </c>
      <c r="I30" t="s">
        <v>52</v>
      </c>
      <c r="J30">
        <v>23</v>
      </c>
      <c r="K30">
        <v>55</v>
      </c>
      <c r="M30">
        <v>77</v>
      </c>
    </row>
    <row r="31" spans="1:13" x14ac:dyDescent="0.45">
      <c r="A31" s="3"/>
      <c r="B31" s="3" t="s">
        <v>49</v>
      </c>
      <c r="C31" s="20">
        <f>SUM(C30:F30)</f>
        <v>266</v>
      </c>
      <c r="D31" s="20"/>
      <c r="E31" s="20"/>
      <c r="F31" s="20"/>
      <c r="I31" t="s">
        <v>53</v>
      </c>
      <c r="J31">
        <v>1.5</v>
      </c>
      <c r="K31">
        <v>25</v>
      </c>
      <c r="M31">
        <v>40</v>
      </c>
    </row>
    <row r="32" spans="1:13" x14ac:dyDescent="0.45">
      <c r="A32" s="3"/>
      <c r="B32" s="3"/>
      <c r="C32" s="3">
        <f>C29/2</f>
        <v>6</v>
      </c>
      <c r="D32" s="3">
        <f>D29/2</f>
        <v>3</v>
      </c>
      <c r="E32" s="3">
        <f>E29/8</f>
        <v>2</v>
      </c>
      <c r="F32" s="3"/>
      <c r="I32" t="s">
        <v>56</v>
      </c>
      <c r="J32">
        <v>8</v>
      </c>
      <c r="K32" s="21" t="s">
        <v>57</v>
      </c>
      <c r="M32">
        <v>2</v>
      </c>
    </row>
    <row r="33" spans="1:15" x14ac:dyDescent="0.45">
      <c r="A33" s="3"/>
      <c r="B33" s="3"/>
      <c r="C33" s="24"/>
    </row>
    <row r="34" spans="1:15" x14ac:dyDescent="0.45">
      <c r="B34" s="28" t="s">
        <v>68</v>
      </c>
      <c r="C34" s="28"/>
      <c r="D34" s="28"/>
      <c r="G34" s="27" t="s">
        <v>69</v>
      </c>
      <c r="H34" s="27"/>
      <c r="L34" s="27" t="s">
        <v>70</v>
      </c>
      <c r="M34" s="7"/>
      <c r="N34" s="7"/>
    </row>
    <row r="35" spans="1:15" x14ac:dyDescent="0.45">
      <c r="B35" s="26" t="s">
        <v>60</v>
      </c>
      <c r="C35" s="25" t="s">
        <v>61</v>
      </c>
      <c r="D35" s="25" t="s">
        <v>36</v>
      </c>
      <c r="G35" s="25" t="s">
        <v>79</v>
      </c>
      <c r="H35" s="29" t="s">
        <v>80</v>
      </c>
      <c r="I35" s="25" t="s">
        <v>36</v>
      </c>
      <c r="L35" t="s">
        <v>71</v>
      </c>
      <c r="M35" s="1">
        <v>3</v>
      </c>
      <c r="N35" t="s">
        <v>75</v>
      </c>
    </row>
    <row r="36" spans="1:15" x14ac:dyDescent="0.45">
      <c r="B36" s="26">
        <v>2</v>
      </c>
      <c r="C36" s="26">
        <v>1</v>
      </c>
      <c r="D36" s="26">
        <v>1</v>
      </c>
      <c r="E36" s="25">
        <v>1083</v>
      </c>
      <c r="G36" s="26">
        <v>2</v>
      </c>
      <c r="H36" s="30">
        <v>1</v>
      </c>
      <c r="I36" s="26">
        <v>1</v>
      </c>
      <c r="J36" s="25" t="s">
        <v>62</v>
      </c>
      <c r="L36" t="s">
        <v>72</v>
      </c>
      <c r="M36" s="1">
        <v>2</v>
      </c>
      <c r="N36" t="s">
        <v>76</v>
      </c>
    </row>
    <row r="37" spans="1:15" x14ac:dyDescent="0.45">
      <c r="B37" s="26">
        <v>2</v>
      </c>
      <c r="C37" s="26">
        <v>1</v>
      </c>
      <c r="D37" s="30">
        <v>1</v>
      </c>
      <c r="E37" s="25">
        <v>820</v>
      </c>
      <c r="G37" s="26">
        <v>4</v>
      </c>
      <c r="H37" s="30">
        <v>2</v>
      </c>
      <c r="I37" s="26">
        <v>2</v>
      </c>
      <c r="J37" s="25" t="s">
        <v>63</v>
      </c>
      <c r="L37" t="s">
        <v>73</v>
      </c>
      <c r="M37" s="1">
        <v>1</v>
      </c>
      <c r="N37" s="6">
        <v>820</v>
      </c>
    </row>
    <row r="38" spans="1:15" x14ac:dyDescent="0.45">
      <c r="B38" s="26">
        <v>2</v>
      </c>
      <c r="C38" s="26">
        <v>1</v>
      </c>
      <c r="D38" s="30">
        <v>1</v>
      </c>
      <c r="E38" s="25">
        <v>824</v>
      </c>
      <c r="G38" s="26">
        <v>2</v>
      </c>
      <c r="H38" s="30">
        <v>0</v>
      </c>
      <c r="I38" s="26">
        <v>1</v>
      </c>
      <c r="J38" s="25" t="s">
        <v>64</v>
      </c>
      <c r="L38" t="s">
        <v>74</v>
      </c>
      <c r="M38" s="1">
        <v>5</v>
      </c>
      <c r="N38" s="1" t="s">
        <v>77</v>
      </c>
      <c r="O38" s="1"/>
    </row>
    <row r="39" spans="1:15" x14ac:dyDescent="0.45">
      <c r="B39" s="26">
        <v>2</v>
      </c>
      <c r="C39" s="30">
        <v>1</v>
      </c>
      <c r="D39" s="30">
        <v>1</v>
      </c>
      <c r="E39" s="25">
        <v>862</v>
      </c>
      <c r="G39" s="26">
        <v>4</v>
      </c>
      <c r="H39" s="30">
        <v>2</v>
      </c>
      <c r="I39" s="26">
        <v>2</v>
      </c>
      <c r="J39" s="25" t="s">
        <v>65</v>
      </c>
    </row>
    <row r="40" spans="1:15" x14ac:dyDescent="0.45">
      <c r="B40" s="26">
        <v>2</v>
      </c>
      <c r="C40" s="30">
        <v>1</v>
      </c>
      <c r="D40" s="30">
        <v>1</v>
      </c>
      <c r="E40" s="25">
        <v>858</v>
      </c>
    </row>
    <row r="41" spans="1:15" s="12" customFormat="1" x14ac:dyDescent="0.45">
      <c r="A41" s="12" t="s">
        <v>78</v>
      </c>
      <c r="B41" s="5">
        <f>SUM(B36:B40)</f>
        <v>10</v>
      </c>
      <c r="C41" s="5">
        <f t="shared" ref="C41:D41" si="0">SUM(C36:C40)</f>
        <v>5</v>
      </c>
      <c r="D41" s="5">
        <f t="shared" si="0"/>
        <v>5</v>
      </c>
      <c r="E41" s="5"/>
      <c r="F41" s="5"/>
      <c r="G41" s="5">
        <f>SUM(G36:G39)</f>
        <v>12</v>
      </c>
      <c r="H41" s="5">
        <f>SUM(H36:H39)</f>
        <v>5</v>
      </c>
      <c r="I41" s="5">
        <f>SUM(I36:I39)</f>
        <v>6</v>
      </c>
      <c r="J41" s="5"/>
      <c r="K41" s="5"/>
      <c r="L41" s="5"/>
      <c r="M41" s="5">
        <f>SUM(M35:M38)</f>
        <v>11</v>
      </c>
    </row>
    <row r="42" spans="1:15" x14ac:dyDescent="0.45">
      <c r="B42" s="30"/>
      <c r="C42" s="30"/>
    </row>
    <row r="43" spans="1:15" x14ac:dyDescent="0.45">
      <c r="B43" t="s">
        <v>60</v>
      </c>
      <c r="C43" t="s">
        <v>82</v>
      </c>
      <c r="D43" s="1" t="s">
        <v>59</v>
      </c>
      <c r="E43" t="s">
        <v>36</v>
      </c>
    </row>
    <row r="44" spans="1:15" s="1" customFormat="1" x14ac:dyDescent="0.45">
      <c r="A44" s="1" t="s">
        <v>83</v>
      </c>
      <c r="B44" s="1">
        <f>B41</f>
        <v>10</v>
      </c>
      <c r="C44" s="1">
        <v>4</v>
      </c>
      <c r="D44" s="1">
        <f>G41</f>
        <v>12</v>
      </c>
      <c r="E44" s="1">
        <f>D41+I41</f>
        <v>11</v>
      </c>
      <c r="G44"/>
      <c r="I44" s="1" t="s">
        <v>87</v>
      </c>
      <c r="J44" s="1" t="s">
        <v>88</v>
      </c>
      <c r="K44" s="1" t="s">
        <v>85</v>
      </c>
      <c r="L44" s="1" t="s">
        <v>86</v>
      </c>
      <c r="M44" s="1" t="s">
        <v>89</v>
      </c>
      <c r="N44" s="1" t="s">
        <v>90</v>
      </c>
    </row>
    <row r="45" spans="1:15" x14ac:dyDescent="0.45">
      <c r="A45" t="s">
        <v>92</v>
      </c>
      <c r="B45" s="1">
        <v>10</v>
      </c>
      <c r="C45" s="1">
        <v>4</v>
      </c>
      <c r="D45" s="1">
        <v>24</v>
      </c>
      <c r="E45" s="1">
        <v>32</v>
      </c>
      <c r="F45" s="1"/>
      <c r="I45" s="1">
        <v>2</v>
      </c>
      <c r="J45" s="1">
        <v>2</v>
      </c>
      <c r="K45" s="1">
        <v>8</v>
      </c>
      <c r="L45" s="1">
        <v>32</v>
      </c>
      <c r="M45" s="1">
        <v>16</v>
      </c>
      <c r="N45" s="1">
        <v>16</v>
      </c>
    </row>
    <row r="46" spans="1:15" x14ac:dyDescent="0.45">
      <c r="A46" t="s">
        <v>84</v>
      </c>
      <c r="B46" s="1">
        <f>_xlfn.CEILING.MATH(B45/I45)</f>
        <v>5</v>
      </c>
      <c r="C46" s="1">
        <f>_xlfn.CEILING.MATH(C45/J45)</f>
        <v>2</v>
      </c>
      <c r="D46" s="1">
        <f>_xlfn.CEILING.MATH(D45/K45)</f>
        <v>3</v>
      </c>
      <c r="E46" s="1">
        <f>_xlfn.CEILING.MATH(E45/L45)</f>
        <v>1</v>
      </c>
      <c r="F46" s="1"/>
      <c r="J46" t="s">
        <v>93</v>
      </c>
      <c r="K46" s="1">
        <v>11</v>
      </c>
      <c r="L46" s="1">
        <v>25</v>
      </c>
    </row>
    <row r="47" spans="1:15" x14ac:dyDescent="0.45">
      <c r="A47" t="s">
        <v>91</v>
      </c>
      <c r="B47" s="1">
        <f>B46*I45-B44</f>
        <v>0</v>
      </c>
      <c r="C47" s="1">
        <f>C46*J45-C44</f>
        <v>0</v>
      </c>
      <c r="D47" s="1">
        <f>D46*K45-D44</f>
        <v>12</v>
      </c>
      <c r="E47" s="1">
        <f>E46*L45-E44</f>
        <v>21</v>
      </c>
      <c r="F47" s="1"/>
      <c r="L47" s="6" t="s">
        <v>94</v>
      </c>
      <c r="M47" s="1">
        <v>1</v>
      </c>
    </row>
    <row r="48" spans="1:15" x14ac:dyDescent="0.45">
      <c r="A48" t="s">
        <v>81</v>
      </c>
      <c r="B48" s="1">
        <f>B46*(B16+B18)+B17</f>
        <v>70</v>
      </c>
      <c r="C48" s="1">
        <f>C46*(C16+C18)+C17</f>
        <v>81</v>
      </c>
      <c r="D48" s="1">
        <f>D46*(E17)+E16</f>
        <v>30</v>
      </c>
      <c r="E48" s="1">
        <f>E46*F17+F16</f>
        <v>26</v>
      </c>
      <c r="F48" s="1"/>
      <c r="G48" s="1"/>
      <c r="L48" s="6" t="s">
        <v>95</v>
      </c>
      <c r="M48" s="1">
        <v>1</v>
      </c>
    </row>
    <row r="49" spans="2:13" x14ac:dyDescent="0.45">
      <c r="B49" s="23">
        <f>SUM(B48:E48)</f>
        <v>207</v>
      </c>
      <c r="C49" s="23"/>
      <c r="D49" s="23"/>
      <c r="E49" s="23"/>
      <c r="F49" s="1"/>
      <c r="G49" s="1"/>
      <c r="L49" s="6" t="s">
        <v>97</v>
      </c>
      <c r="M49" s="1">
        <v>14</v>
      </c>
    </row>
    <row r="50" spans="2:13" x14ac:dyDescent="0.45">
      <c r="B50">
        <f>216-B49</f>
        <v>9</v>
      </c>
      <c r="L50" s="6" t="s">
        <v>96</v>
      </c>
      <c r="M50" s="1">
        <v>5</v>
      </c>
    </row>
    <row r="51" spans="2:13" x14ac:dyDescent="0.45">
      <c r="B51">
        <f>145.71*B46</f>
        <v>728.55000000000007</v>
      </c>
      <c r="C51">
        <f>43.53*C46</f>
        <v>87.06</v>
      </c>
      <c r="D51" s="1">
        <f>30.67*D46</f>
        <v>92.01</v>
      </c>
      <c r="E51">
        <f>87.65*E46</f>
        <v>87.65</v>
      </c>
      <c r="F51">
        <f>SUM(B51:E51)</f>
        <v>995.2700000000001</v>
      </c>
      <c r="L51" s="6" t="s">
        <v>98</v>
      </c>
      <c r="M51" s="31">
        <v>2</v>
      </c>
    </row>
    <row r="52" spans="2:13" x14ac:dyDescent="0.45">
      <c r="B52" t="s">
        <v>101</v>
      </c>
      <c r="C52">
        <v>216</v>
      </c>
      <c r="L52" s="6" t="s">
        <v>99</v>
      </c>
      <c r="M52" s="31">
        <v>1</v>
      </c>
    </row>
    <row r="53" spans="2:13" x14ac:dyDescent="0.45">
      <c r="B53" t="s">
        <v>102</v>
      </c>
      <c r="C53">
        <v>8</v>
      </c>
      <c r="L53" s="6" t="s">
        <v>100</v>
      </c>
      <c r="M53" s="31">
        <v>1</v>
      </c>
    </row>
    <row r="54" spans="2:13" x14ac:dyDescent="0.45">
      <c r="B54" t="s">
        <v>103</v>
      </c>
      <c r="C54">
        <f>C52-C53</f>
        <v>208</v>
      </c>
      <c r="G54" s="12"/>
      <c r="H54" s="12"/>
      <c r="I54" s="12"/>
      <c r="J54" s="12"/>
      <c r="M54" s="5">
        <f>SUM(M47:M53)</f>
        <v>25</v>
      </c>
    </row>
  </sheetData>
  <mergeCells count="16">
    <mergeCell ref="B49:E49"/>
    <mergeCell ref="C27:D27"/>
    <mergeCell ref="E27:F27"/>
    <mergeCell ref="C31:F31"/>
    <mergeCell ref="J27:M27"/>
    <mergeCell ref="B20:C20"/>
    <mergeCell ref="N10:O10"/>
    <mergeCell ref="E24:G24"/>
    <mergeCell ref="K15:Q15"/>
    <mergeCell ref="K16:Q16"/>
    <mergeCell ref="J7:K7"/>
    <mergeCell ref="N2:O2"/>
    <mergeCell ref="P3:R3"/>
    <mergeCell ref="P4:R4"/>
    <mergeCell ref="N7:O7"/>
    <mergeCell ref="O8:Q8"/>
  </mergeCells>
  <conditionalFormatting sqref="B20:C20">
    <cfRule type="cellIs" dxfId="1" priority="7" operator="greaterThan">
      <formula>$A$25</formula>
    </cfRule>
    <cfRule type="cellIs" dxfId="0" priority="8" operator="greaterThan">
      <formula>216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C9" sqref="C9"/>
    </sheetView>
  </sheetViews>
  <sheetFormatPr defaultRowHeight="14.25" x14ac:dyDescent="0.45"/>
  <cols>
    <col min="1" max="3" width="9.06640625" style="1"/>
    <col min="4" max="4" width="11.3984375" style="1" customWidth="1"/>
    <col min="5" max="5" width="11.53125" style="1" customWidth="1"/>
    <col min="6" max="16384" width="9.06640625" style="1"/>
  </cols>
  <sheetData>
    <row r="1" spans="1:13" x14ac:dyDescent="0.45">
      <c r="A1" s="1" t="s">
        <v>106</v>
      </c>
      <c r="B1" s="1" t="s">
        <v>108</v>
      </c>
      <c r="C1" s="1" t="s">
        <v>109</v>
      </c>
      <c r="D1" s="1" t="s">
        <v>28</v>
      </c>
      <c r="E1" s="1" t="s">
        <v>29</v>
      </c>
      <c r="H1" s="1" t="s">
        <v>112</v>
      </c>
      <c r="I1" s="1" t="s">
        <v>21</v>
      </c>
      <c r="J1" s="1" t="s">
        <v>113</v>
      </c>
      <c r="K1" s="1" t="s">
        <v>114</v>
      </c>
      <c r="L1" s="1" t="s">
        <v>119</v>
      </c>
    </row>
    <row r="2" spans="1:13" x14ac:dyDescent="0.45">
      <c r="A2" s="1" t="s">
        <v>105</v>
      </c>
      <c r="B2" s="1" t="s">
        <v>104</v>
      </c>
      <c r="C2" s="1" t="s">
        <v>110</v>
      </c>
      <c r="D2" s="1" t="s">
        <v>126</v>
      </c>
      <c r="E2" s="1" t="s">
        <v>111</v>
      </c>
      <c r="H2" s="1" t="s">
        <v>115</v>
      </c>
      <c r="I2" s="1">
        <v>66</v>
      </c>
      <c r="J2" s="1">
        <f>I2-K2</f>
        <v>64</v>
      </c>
      <c r="K2" s="1">
        <v>2</v>
      </c>
      <c r="L2" s="1" t="s">
        <v>118</v>
      </c>
    </row>
    <row r="3" spans="1:13" x14ac:dyDescent="0.45">
      <c r="A3" s="1" t="s">
        <v>107</v>
      </c>
      <c r="B3" s="1">
        <f>Sheet1!B46</f>
        <v>5</v>
      </c>
      <c r="C3" s="1">
        <f>Sheet1!C46</f>
        <v>2</v>
      </c>
      <c r="D3" s="1">
        <f>Sheet1!D46</f>
        <v>3</v>
      </c>
      <c r="E3" s="1">
        <f>Sheet1!E46</f>
        <v>1</v>
      </c>
      <c r="H3" s="1" t="s">
        <v>116</v>
      </c>
      <c r="I3" s="1">
        <v>72</v>
      </c>
      <c r="J3" s="1">
        <f t="shared" ref="J3:K5" si="0">I3-K3</f>
        <v>72</v>
      </c>
      <c r="K3" s="1">
        <v>0</v>
      </c>
    </row>
    <row r="4" spans="1:13" x14ac:dyDescent="0.45">
      <c r="A4" s="1" t="s">
        <v>81</v>
      </c>
      <c r="B4" s="1">
        <f>Sheet1!B48</f>
        <v>70</v>
      </c>
      <c r="C4" s="1">
        <f>Sheet1!C48</f>
        <v>81</v>
      </c>
      <c r="D4" s="1">
        <f>Sheet1!D48</f>
        <v>30</v>
      </c>
      <c r="E4" s="1">
        <f>Sheet1!E48</f>
        <v>26</v>
      </c>
      <c r="F4" s="1">
        <f>SUM(B4:E4)</f>
        <v>207</v>
      </c>
      <c r="H4" s="1" t="s">
        <v>117</v>
      </c>
      <c r="I4" s="1">
        <v>78</v>
      </c>
      <c r="J4" s="1">
        <f t="shared" si="0"/>
        <v>72</v>
      </c>
      <c r="K4" s="1">
        <v>6</v>
      </c>
      <c r="L4" s="23" t="s">
        <v>120</v>
      </c>
      <c r="M4" s="23"/>
    </row>
    <row r="5" spans="1:13" x14ac:dyDescent="0.45">
      <c r="A5" s="1" t="s">
        <v>10</v>
      </c>
      <c r="B5" s="1">
        <f>B3*Sheet1!B16+2</f>
        <v>62</v>
      </c>
      <c r="C5" s="1">
        <f>C3*(Sheet1!C16+2)</f>
        <v>76</v>
      </c>
      <c r="D5" s="23">
        <f>SUM(D4:E4)</f>
        <v>56</v>
      </c>
      <c r="E5" s="23"/>
      <c r="H5" s="1" t="s">
        <v>21</v>
      </c>
      <c r="I5" s="1">
        <f>SUM(I2:I4)</f>
        <v>216</v>
      </c>
      <c r="J5" s="1">
        <f>SUM(J2:J4)</f>
        <v>208</v>
      </c>
      <c r="K5" s="1">
        <f>SUM(K2:K4)</f>
        <v>8</v>
      </c>
    </row>
    <row r="6" spans="1:13" x14ac:dyDescent="0.45">
      <c r="B6" s="1" t="s">
        <v>116</v>
      </c>
      <c r="C6" s="1" t="s">
        <v>117</v>
      </c>
      <c r="D6" s="1" t="s">
        <v>115</v>
      </c>
    </row>
    <row r="7" spans="1:13" x14ac:dyDescent="0.45">
      <c r="B7" s="1">
        <f>I4-B4</f>
        <v>8</v>
      </c>
      <c r="C7" s="1">
        <f>I3-C4</f>
        <v>-9</v>
      </c>
      <c r="D7" s="1">
        <f>I2-D5</f>
        <v>10</v>
      </c>
    </row>
    <row r="9" spans="1:13" x14ac:dyDescent="0.45">
      <c r="C9" s="1">
        <f>I2+I3-C4-D4-E4</f>
        <v>1</v>
      </c>
    </row>
  </sheetData>
  <mergeCells count="2">
    <mergeCell ref="L4:M4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Schussheim</dc:creator>
  <cp:lastModifiedBy>Daniel Schussheim</cp:lastModifiedBy>
  <dcterms:created xsi:type="dcterms:W3CDTF">2017-09-13T20:00:24Z</dcterms:created>
  <dcterms:modified xsi:type="dcterms:W3CDTF">2017-09-15T18:26:34Z</dcterms:modified>
</cp:coreProperties>
</file>