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Ballparks" sheetId="1" r:id="rId4"/>
  </sheets>
  <definedNames>
    <definedName name="GeocodeAddressColumn_MLBBallparks">'MLB Ballparks'!$K$1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5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<sst xmlns="http://schemas.openxmlformats.org/spreadsheetml/2006/main" count="33" uniqueCount="33">
  <si>
    <t>Ballpark</t>
  </si>
  <si>
    <t>Latitude</t>
  </si>
  <si>
    <t>Longitude</t>
  </si>
  <si>
    <t>American Family Field‡</t>
  </si>
  <si>
    <t>Angel Stadium</t>
  </si>
  <si>
    <t>Busch Stadium</t>
  </si>
  <si>
    <t>Chase Field‡</t>
  </si>
  <si>
    <t>Citi Field</t>
  </si>
  <si>
    <t>Citizens Bank Park</t>
  </si>
  <si>
    <t>Comerica Park</t>
  </si>
  <si>
    <t>Coors Field</t>
  </si>
  <si>
    <t>Dodger Stadium</t>
  </si>
  <si>
    <t>Fenway Park</t>
  </si>
  <si>
    <t>Globe Life Field‡</t>
  </si>
  <si>
    <t>Great American Ball Park</t>
  </si>
  <si>
    <t>Guaranteed Rate Field</t>
  </si>
  <si>
    <t>Kauffman Stadium</t>
  </si>
  <si>
    <t>LoanDepot Park‡</t>
  </si>
  <si>
    <t>Minute Maid Park‡</t>
  </si>
  <si>
    <t>Nationals Park</t>
  </si>
  <si>
    <t>Oakland-Alameda County Coliseum</t>
  </si>
  <si>
    <t>Oracle Park</t>
  </si>
  <si>
    <t>Oriole Park at Camden Yards</t>
  </si>
  <si>
    <t>Petco Park</t>
  </si>
  <si>
    <t>PNC Park</t>
  </si>
  <si>
    <t>Progressive Field</t>
  </si>
  <si>
    <t>Rogers Centre‡</t>
  </si>
  <si>
    <t>T-Mobile Park‡</t>
  </si>
  <si>
    <t>Target Field</t>
  </si>
  <si>
    <t>Tropicana Field†</t>
  </si>
  <si>
    <t>Truist Park</t>
  </si>
  <si>
    <t>Wrigley Field</t>
  </si>
  <si>
    <t>Yankee 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</si>
</sst>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3" width="12.63"/>
  </cols>
  <sheetData>
    <row r="1">
      <c r="A1" s="1" t="str">
        <f>IFERROR(__xludf.DUMMYFUNCTION("IMPORTHTML(""https://en.wikipedia.org/wiki/List_of_current_Major_League_Baseball_stadiums"",""table"",2)"),"Image")</f>
        <v>Image</v>
      </c>
      <c r="B1" s="1" t="str">
        <f>IFERROR(__xludf.DUMMYFUNCTION("""COMPUTED_VALUE"""),"Name")</f>
        <v>Name</v>
      </c>
      <c r="C1" s="1" t="str">
        <f>IFERROR(__xludf.DUMMYFUNCTION("""COMPUTED_VALUE"""),"Capacity")</f>
        <v>Capacity</v>
      </c>
      <c r="D1" s="1" t="str">
        <f>IFERROR(__xludf.DUMMYFUNCTION("""COMPUTED_VALUE"""),"Location")</f>
        <v>Location</v>
      </c>
      <c r="E1" s="1" t="str">
        <f>IFERROR(__xludf.DUMMYFUNCTION("""COMPUTED_VALUE"""),"Surface")</f>
        <v>Surface</v>
      </c>
      <c r="F1" s="1" t="str">
        <f>IFERROR(__xludf.DUMMYFUNCTION("""COMPUTED_VALUE"""),"Team")</f>
        <v>Team</v>
      </c>
      <c r="G1" s="1" t="str">
        <f>IFERROR(__xludf.DUMMYFUNCTION("""COMPUTED_VALUE"""),"Opened")</f>
        <v>Opened</v>
      </c>
      <c r="H1" s="1" t="str">
        <f>IFERROR(__xludf.DUMMYFUNCTION("""COMPUTED_VALUE"""),"Distance to center field")</f>
        <v>Distance to center field</v>
      </c>
      <c r="I1" s="1" t="str">
        <f>IFERROR(__xludf.DUMMYFUNCTION("""COMPUTED_VALUE"""),"Type")</f>
        <v>Type</v>
      </c>
      <c r="J1" s="1" t="str">
        <f>IFERROR(__xludf.DUMMYFUNCTION("""COMPUTED_VALUE"""),"Roof type")</f>
        <v>Roof type</v>
      </c>
      <c r="K1" s="2" t="s">
        <v>0</v>
      </c>
      <c r="L1" s="2" t="s">
        <v>1</v>
      </c>
      <c r="M1" s="2" t="s">
        <v>2</v>
      </c>
    </row>
    <row r="2">
      <c r="A2" s="1"/>
      <c r="B2" s="1" t="str">
        <f>IFERROR(__xludf.DUMMYFUNCTION("""COMPUTED_VALUE"""),"American Family Field‡")</f>
        <v>American Family Field‡</v>
      </c>
      <c r="C2" s="1" t="str">
        <f>IFERROR(__xludf.DUMMYFUNCTION("""COMPUTED_VALUE"""),"41,900[1]")</f>
        <v>41,900[1]</v>
      </c>
      <c r="D2" s="1" t="str">
        <f>IFERROR(__xludf.DUMMYFUNCTION("""COMPUTED_VALUE"""),"Milwaukee, Wisconsin")</f>
        <v>Milwaukee, Wisconsin</v>
      </c>
      <c r="E2" s="1" t="str">
        <f>IFERROR(__xludf.DUMMYFUNCTION("""COMPUTED_VALUE"""),"Grass")</f>
        <v>Grass</v>
      </c>
      <c r="F2" s="1" t="str">
        <f>IFERROR(__xludf.DUMMYFUNCTION("""COMPUTED_VALUE"""),"Milwaukee Brewers")</f>
        <v>Milwaukee Brewers</v>
      </c>
      <c r="G2" s="1">
        <f>IFERROR(__xludf.DUMMYFUNCTION("""COMPUTED_VALUE"""),2001.0)</f>
        <v>2001</v>
      </c>
      <c r="H2" s="1" t="str">
        <f>IFERROR(__xludf.DUMMYFUNCTION("""COMPUTED_VALUE"""),"400 feet (122 m)")</f>
        <v>400 feet (122 m)</v>
      </c>
      <c r="I2" s="1" t="str">
        <f>IFERROR(__xludf.DUMMYFUNCTION("""COMPUTED_VALUE"""),"Retro-modern")</f>
        <v>Retro-modern</v>
      </c>
      <c r="J2" s="1" t="str">
        <f>IFERROR(__xludf.DUMMYFUNCTION("""COMPUTED_VALUE"""),"Retractable")</f>
        <v>Retractable</v>
      </c>
      <c r="K2" s="1" t="s">
        <v>3</v>
      </c>
      <c r="L2" s="2">
        <v>43.0282068</v>
      </c>
      <c r="M2" s="2">
        <v>-87.9712675999999</v>
      </c>
    </row>
    <row r="3">
      <c r="A3" s="1"/>
      <c r="B3" s="1" t="str">
        <f>IFERROR(__xludf.DUMMYFUNCTION("""COMPUTED_VALUE"""),"Angel Stadium")</f>
        <v>Angel Stadium</v>
      </c>
      <c r="C3" s="1" t="str">
        <f>IFERROR(__xludf.DUMMYFUNCTION("""COMPUTED_VALUE"""),"45,517[2]")</f>
        <v>45,517[2]</v>
      </c>
      <c r="D3" s="1" t="str">
        <f>IFERROR(__xludf.DUMMYFUNCTION("""COMPUTED_VALUE"""),"Anaheim, California")</f>
        <v>Anaheim, California</v>
      </c>
      <c r="E3" s="1" t="str">
        <f>IFERROR(__xludf.DUMMYFUNCTION("""COMPUTED_VALUE"""),"Grass")</f>
        <v>Grass</v>
      </c>
      <c r="F3" s="1" t="str">
        <f>IFERROR(__xludf.DUMMYFUNCTION("""COMPUTED_VALUE"""),"Los Angeles Angels")</f>
        <v>Los Angeles Angels</v>
      </c>
      <c r="G3" s="1">
        <f>IFERROR(__xludf.DUMMYFUNCTION("""COMPUTED_VALUE"""),1966.0)</f>
        <v>1966</v>
      </c>
      <c r="H3" s="1" t="str">
        <f>IFERROR(__xludf.DUMMYFUNCTION("""COMPUTED_VALUE"""),"396 feet (121 m)")</f>
        <v>396 feet (121 m)</v>
      </c>
      <c r="I3" s="1" t="str">
        <f>IFERROR(__xludf.DUMMYFUNCTION("""COMPUTED_VALUE"""),"Modern
Retro-modern")</f>
        <v>Modern
Retro-modern</v>
      </c>
      <c r="J3" s="1" t="str">
        <f>IFERROR(__xludf.DUMMYFUNCTION("""COMPUTED_VALUE"""),"Open")</f>
        <v>Open</v>
      </c>
      <c r="K3" s="1" t="s">
        <v>4</v>
      </c>
      <c r="L3" s="2">
        <v>33.800308</v>
      </c>
      <c r="M3" s="2">
        <v>-117.8827321</v>
      </c>
    </row>
    <row r="4">
      <c r="A4" s="1"/>
      <c r="B4" s="1" t="str">
        <f>IFERROR(__xludf.DUMMYFUNCTION("""COMPUTED_VALUE"""),"Busch Stadium")</f>
        <v>Busch Stadium</v>
      </c>
      <c r="C4" s="1" t="str">
        <f>IFERROR(__xludf.DUMMYFUNCTION("""COMPUTED_VALUE"""),"45,494[3]")</f>
        <v>45,494[3]</v>
      </c>
      <c r="D4" s="1" t="str">
        <f>IFERROR(__xludf.DUMMYFUNCTION("""COMPUTED_VALUE"""),"St. Louis, Missouri")</f>
        <v>St. Louis, Missouri</v>
      </c>
      <c r="E4" s="1" t="str">
        <f>IFERROR(__xludf.DUMMYFUNCTION("""COMPUTED_VALUE"""),"Grass")</f>
        <v>Grass</v>
      </c>
      <c r="F4" s="1" t="str">
        <f>IFERROR(__xludf.DUMMYFUNCTION("""COMPUTED_VALUE"""),"St. Louis Cardinals")</f>
        <v>St. Louis Cardinals</v>
      </c>
      <c r="G4" s="1">
        <f>IFERROR(__xludf.DUMMYFUNCTION("""COMPUTED_VALUE"""),2006.0)</f>
        <v>2006</v>
      </c>
      <c r="H4" s="1" t="str">
        <f>IFERROR(__xludf.DUMMYFUNCTION("""COMPUTED_VALUE"""),"400 feet (122 m)")</f>
        <v>400 feet (122 m)</v>
      </c>
      <c r="I4" s="1" t="str">
        <f>IFERROR(__xludf.DUMMYFUNCTION("""COMPUTED_VALUE"""),"Retro-classic")</f>
        <v>Retro-classic</v>
      </c>
      <c r="J4" s="1" t="str">
        <f>IFERROR(__xludf.DUMMYFUNCTION("""COMPUTED_VALUE"""),"Open")</f>
        <v>Open</v>
      </c>
      <c r="K4" s="1" t="s">
        <v>5</v>
      </c>
      <c r="L4" s="2">
        <v>38.6226188</v>
      </c>
      <c r="M4" s="2">
        <v>-90.1928209</v>
      </c>
    </row>
    <row r="5">
      <c r="A5" s="1"/>
      <c r="B5" s="1" t="str">
        <f>IFERROR(__xludf.DUMMYFUNCTION("""COMPUTED_VALUE"""),"Chase Field‡")</f>
        <v>Chase Field‡</v>
      </c>
      <c r="C5" s="1" t="str">
        <f>IFERROR(__xludf.DUMMYFUNCTION("""COMPUTED_VALUE"""),"48,405[4]")</f>
        <v>48,405[4]</v>
      </c>
      <c r="D5" s="1" t="str">
        <f>IFERROR(__xludf.DUMMYFUNCTION("""COMPUTED_VALUE"""),"Phoenix, Arizona")</f>
        <v>Phoenix, Arizona</v>
      </c>
      <c r="E5" s="1" t="str">
        <f>IFERROR(__xludf.DUMMYFUNCTION("""COMPUTED_VALUE"""),"Artificial turf")</f>
        <v>Artificial turf</v>
      </c>
      <c r="F5" s="1" t="str">
        <f>IFERROR(__xludf.DUMMYFUNCTION("""COMPUTED_VALUE"""),"Arizona Diamondbacks")</f>
        <v>Arizona Diamondbacks</v>
      </c>
      <c r="G5" s="1">
        <f>IFERROR(__xludf.DUMMYFUNCTION("""COMPUTED_VALUE"""),1998.0)</f>
        <v>1998</v>
      </c>
      <c r="H5" s="1" t="str">
        <f>IFERROR(__xludf.DUMMYFUNCTION("""COMPUTED_VALUE"""),"407 feet (124 m)")</f>
        <v>407 feet (124 m)</v>
      </c>
      <c r="I5" s="1" t="str">
        <f>IFERROR(__xludf.DUMMYFUNCTION("""COMPUTED_VALUE"""),"Retro-modern")</f>
        <v>Retro-modern</v>
      </c>
      <c r="J5" s="1" t="str">
        <f>IFERROR(__xludf.DUMMYFUNCTION("""COMPUTED_VALUE"""),"Retractable")</f>
        <v>Retractable</v>
      </c>
      <c r="K5" s="1" t="s">
        <v>6</v>
      </c>
      <c r="L5" s="2">
        <v>33.4453344</v>
      </c>
      <c r="M5" s="2">
        <v>-112.0667091</v>
      </c>
    </row>
    <row r="6">
      <c r="A6" s="1"/>
      <c r="B6" s="1" t="str">
        <f>IFERROR(__xludf.DUMMYFUNCTION("""COMPUTED_VALUE"""),"Citi Field")</f>
        <v>Citi Field</v>
      </c>
      <c r="C6" s="1" t="str">
        <f>IFERROR(__xludf.DUMMYFUNCTION("""COMPUTED_VALUE"""),"41,922[5]")</f>
        <v>41,922[5]</v>
      </c>
      <c r="D6" s="1" t="str">
        <f>IFERROR(__xludf.DUMMYFUNCTION("""COMPUTED_VALUE"""),"Queens, New York")</f>
        <v>Queens, New York</v>
      </c>
      <c r="E6" s="1" t="str">
        <f>IFERROR(__xludf.DUMMYFUNCTION("""COMPUTED_VALUE"""),"Grass")</f>
        <v>Grass</v>
      </c>
      <c r="F6" s="1" t="str">
        <f>IFERROR(__xludf.DUMMYFUNCTION("""COMPUTED_VALUE"""),"New York Mets")</f>
        <v>New York Mets</v>
      </c>
      <c r="G6" s="1">
        <f>IFERROR(__xludf.DUMMYFUNCTION("""COMPUTED_VALUE"""),2009.0)</f>
        <v>2009</v>
      </c>
      <c r="H6" s="1" t="str">
        <f>IFERROR(__xludf.DUMMYFUNCTION("""COMPUTED_VALUE"""),"408 feet (124 m)")</f>
        <v>408 feet (124 m)</v>
      </c>
      <c r="I6" s="1" t="str">
        <f>IFERROR(__xludf.DUMMYFUNCTION("""COMPUTED_VALUE"""),"Retro-classic")</f>
        <v>Retro-classic</v>
      </c>
      <c r="J6" s="1" t="str">
        <f>IFERROR(__xludf.DUMMYFUNCTION("""COMPUTED_VALUE"""),"Open")</f>
        <v>Open</v>
      </c>
      <c r="K6" s="1" t="s">
        <v>7</v>
      </c>
      <c r="L6" s="2">
        <v>40.7570877</v>
      </c>
      <c r="M6" s="2">
        <v>-73.8458213</v>
      </c>
    </row>
    <row r="7">
      <c r="A7" s="1"/>
      <c r="B7" s="1" t="str">
        <f>IFERROR(__xludf.DUMMYFUNCTION("""COMPUTED_VALUE"""),"Citizens Bank Park")</f>
        <v>Citizens Bank Park</v>
      </c>
      <c r="C7" s="1" t="str">
        <f>IFERROR(__xludf.DUMMYFUNCTION("""COMPUTED_VALUE"""),"42,792[6]")</f>
        <v>42,792[6]</v>
      </c>
      <c r="D7" s="1" t="str">
        <f>IFERROR(__xludf.DUMMYFUNCTION("""COMPUTED_VALUE"""),"Philadelphia, Pennsylvania")</f>
        <v>Philadelphia, Pennsylvania</v>
      </c>
      <c r="E7" s="1" t="str">
        <f>IFERROR(__xludf.DUMMYFUNCTION("""COMPUTED_VALUE"""),"Grass")</f>
        <v>Grass</v>
      </c>
      <c r="F7" s="1" t="str">
        <f>IFERROR(__xludf.DUMMYFUNCTION("""COMPUTED_VALUE"""),"Philadelphia Phillies")</f>
        <v>Philadelphia Phillies</v>
      </c>
      <c r="G7" s="1">
        <f>IFERROR(__xludf.DUMMYFUNCTION("""COMPUTED_VALUE"""),2004.0)</f>
        <v>2004</v>
      </c>
      <c r="H7" s="1" t="str">
        <f>IFERROR(__xludf.DUMMYFUNCTION("""COMPUTED_VALUE"""),"401 feet (122 m)")</f>
        <v>401 feet (122 m)</v>
      </c>
      <c r="I7" s="1" t="str">
        <f>IFERROR(__xludf.DUMMYFUNCTION("""COMPUTED_VALUE"""),"Retro-classic")</f>
        <v>Retro-classic</v>
      </c>
      <c r="J7" s="1" t="str">
        <f>IFERROR(__xludf.DUMMYFUNCTION("""COMPUTED_VALUE"""),"Open")</f>
        <v>Open</v>
      </c>
      <c r="K7" s="1" t="s">
        <v>8</v>
      </c>
      <c r="L7" s="2">
        <v>39.9060572</v>
      </c>
      <c r="M7" s="2">
        <v>-75.1664952</v>
      </c>
    </row>
    <row r="8">
      <c r="A8" s="1"/>
      <c r="B8" s="1" t="str">
        <f>IFERROR(__xludf.DUMMYFUNCTION("""COMPUTED_VALUE"""),"Comerica Park")</f>
        <v>Comerica Park</v>
      </c>
      <c r="C8" s="1" t="str">
        <f>IFERROR(__xludf.DUMMYFUNCTION("""COMPUTED_VALUE"""),"41,083[7]")</f>
        <v>41,083[7]</v>
      </c>
      <c r="D8" s="1" t="str">
        <f>IFERROR(__xludf.DUMMYFUNCTION("""COMPUTED_VALUE"""),"Detroit, Michigan")</f>
        <v>Detroit, Michigan</v>
      </c>
      <c r="E8" s="1" t="str">
        <f>IFERROR(__xludf.DUMMYFUNCTION("""COMPUTED_VALUE"""),"Grass")</f>
        <v>Grass</v>
      </c>
      <c r="F8" s="1" t="str">
        <f>IFERROR(__xludf.DUMMYFUNCTION("""COMPUTED_VALUE"""),"Detroit Tigers")</f>
        <v>Detroit Tigers</v>
      </c>
      <c r="G8" s="1">
        <f>IFERROR(__xludf.DUMMYFUNCTION("""COMPUTED_VALUE"""),2000.0)</f>
        <v>2000</v>
      </c>
      <c r="H8" s="1" t="str">
        <f>IFERROR(__xludf.DUMMYFUNCTION("""COMPUTED_VALUE"""),"412 feet (126 m)")</f>
        <v>412 feet (126 m)</v>
      </c>
      <c r="I8" s="1" t="str">
        <f>IFERROR(__xludf.DUMMYFUNCTION("""COMPUTED_VALUE"""),"Retro-classic")</f>
        <v>Retro-classic</v>
      </c>
      <c r="J8" s="1" t="str">
        <f>IFERROR(__xludf.DUMMYFUNCTION("""COMPUTED_VALUE"""),"Open")</f>
        <v>Open</v>
      </c>
      <c r="K8" s="1" t="s">
        <v>9</v>
      </c>
      <c r="L8" s="2">
        <v>42.3389984</v>
      </c>
      <c r="M8" s="2">
        <v>-83.0485197</v>
      </c>
    </row>
    <row r="9">
      <c r="A9" s="1"/>
      <c r="B9" s="1" t="str">
        <f>IFERROR(__xludf.DUMMYFUNCTION("""COMPUTED_VALUE"""),"Coors Field")</f>
        <v>Coors Field</v>
      </c>
      <c r="C9" s="1" t="str">
        <f>IFERROR(__xludf.DUMMYFUNCTION("""COMPUTED_VALUE"""),"50,144[8]")</f>
        <v>50,144[8]</v>
      </c>
      <c r="D9" s="1" t="str">
        <f>IFERROR(__xludf.DUMMYFUNCTION("""COMPUTED_VALUE"""),"Denver, Colorado")</f>
        <v>Denver, Colorado</v>
      </c>
      <c r="E9" s="1" t="str">
        <f>IFERROR(__xludf.DUMMYFUNCTION("""COMPUTED_VALUE"""),"Grass")</f>
        <v>Grass</v>
      </c>
      <c r="F9" s="1" t="str">
        <f>IFERROR(__xludf.DUMMYFUNCTION("""COMPUTED_VALUE"""),"Colorado Rockies")</f>
        <v>Colorado Rockies</v>
      </c>
      <c r="G9" s="1">
        <f>IFERROR(__xludf.DUMMYFUNCTION("""COMPUTED_VALUE"""),1995.0)</f>
        <v>1995</v>
      </c>
      <c r="H9" s="1" t="str">
        <f>IFERROR(__xludf.DUMMYFUNCTION("""COMPUTED_VALUE"""),"415 feet (126 m)")</f>
        <v>415 feet (126 m)</v>
      </c>
      <c r="I9" s="1" t="str">
        <f>IFERROR(__xludf.DUMMYFUNCTION("""COMPUTED_VALUE"""),"Retro-classic")</f>
        <v>Retro-classic</v>
      </c>
      <c r="J9" s="1" t="str">
        <f>IFERROR(__xludf.DUMMYFUNCTION("""COMPUTED_VALUE"""),"Open")</f>
        <v>Open</v>
      </c>
      <c r="K9" s="1" t="s">
        <v>10</v>
      </c>
      <c r="L9" s="2">
        <v>39.7558823</v>
      </c>
      <c r="M9" s="2">
        <v>-104.9941781</v>
      </c>
    </row>
    <row r="10">
      <c r="A10" s="1"/>
      <c r="B10" s="1" t="str">
        <f>IFERROR(__xludf.DUMMYFUNCTION("""COMPUTED_VALUE"""),"Dodger Stadium")</f>
        <v>Dodger Stadium</v>
      </c>
      <c r="C10" s="1" t="str">
        <f>IFERROR(__xludf.DUMMYFUNCTION("""COMPUTED_VALUE"""),"56,000[9]")</f>
        <v>56,000[9]</v>
      </c>
      <c r="D10" s="1" t="str">
        <f>IFERROR(__xludf.DUMMYFUNCTION("""COMPUTED_VALUE"""),"Los Angeles, California")</f>
        <v>Los Angeles, California</v>
      </c>
      <c r="E10" s="1" t="str">
        <f>IFERROR(__xludf.DUMMYFUNCTION("""COMPUTED_VALUE"""),"Grass")</f>
        <v>Grass</v>
      </c>
      <c r="F10" s="1" t="str">
        <f>IFERROR(__xludf.DUMMYFUNCTION("""COMPUTED_VALUE"""),"Los Angeles Dodgers[nb 2]")</f>
        <v>Los Angeles Dodgers[nb 2]</v>
      </c>
      <c r="G10" s="1">
        <f>IFERROR(__xludf.DUMMYFUNCTION("""COMPUTED_VALUE"""),1962.0)</f>
        <v>1962</v>
      </c>
      <c r="H10" s="1" t="str">
        <f>IFERROR(__xludf.DUMMYFUNCTION("""COMPUTED_VALUE"""),"395 feet (120 m)")</f>
        <v>395 feet (120 m)</v>
      </c>
      <c r="I10" s="1" t="str">
        <f>IFERROR(__xludf.DUMMYFUNCTION("""COMPUTED_VALUE"""),"Modern")</f>
        <v>Modern</v>
      </c>
      <c r="J10" s="1" t="str">
        <f>IFERROR(__xludf.DUMMYFUNCTION("""COMPUTED_VALUE"""),"Open")</f>
        <v>Open</v>
      </c>
      <c r="K10" s="1" t="s">
        <v>11</v>
      </c>
      <c r="L10" s="2">
        <v>34.073851</v>
      </c>
      <c r="M10" s="2">
        <v>-118.2399583</v>
      </c>
    </row>
    <row r="11">
      <c r="A11" s="1"/>
      <c r="B11" s="1" t="str">
        <f>IFERROR(__xludf.DUMMYFUNCTION("""COMPUTED_VALUE"""),"Fenway Park")</f>
        <v>Fenway Park</v>
      </c>
      <c r="C11" s="1" t="str">
        <f>IFERROR(__xludf.DUMMYFUNCTION("""COMPUTED_VALUE"""),"37,755[10]")</f>
        <v>37,755[10]</v>
      </c>
      <c r="D11" s="1" t="str">
        <f>IFERROR(__xludf.DUMMYFUNCTION("""COMPUTED_VALUE"""),"Boston, Massachusetts")</f>
        <v>Boston, Massachusetts</v>
      </c>
      <c r="E11" s="1" t="str">
        <f>IFERROR(__xludf.DUMMYFUNCTION("""COMPUTED_VALUE"""),"Grass")</f>
        <v>Grass</v>
      </c>
      <c r="F11" s="1" t="str">
        <f>IFERROR(__xludf.DUMMYFUNCTION("""COMPUTED_VALUE"""),"Boston Red Sox[nb 3]")</f>
        <v>Boston Red Sox[nb 3]</v>
      </c>
      <c r="G11" s="1">
        <f>IFERROR(__xludf.DUMMYFUNCTION("""COMPUTED_VALUE"""),1912.0)</f>
        <v>1912</v>
      </c>
      <c r="H11" s="1" t="str">
        <f>IFERROR(__xludf.DUMMYFUNCTION("""COMPUTED_VALUE"""),"390 feet (119 m)")</f>
        <v>390 feet (119 m)</v>
      </c>
      <c r="I11" s="1" t="str">
        <f>IFERROR(__xludf.DUMMYFUNCTION("""COMPUTED_VALUE"""),"Jewel box")</f>
        <v>Jewel box</v>
      </c>
      <c r="J11" s="1" t="str">
        <f>IFERROR(__xludf.DUMMYFUNCTION("""COMPUTED_VALUE"""),"Open")</f>
        <v>Open</v>
      </c>
      <c r="K11" s="1" t="s">
        <v>12</v>
      </c>
      <c r="L11" s="2">
        <v>42.3466764</v>
      </c>
      <c r="M11" s="2">
        <v>-71.0972178</v>
      </c>
    </row>
    <row r="12">
      <c r="A12" s="1"/>
      <c r="B12" s="1" t="str">
        <f>IFERROR(__xludf.DUMMYFUNCTION("""COMPUTED_VALUE"""),"Globe Life Field‡")</f>
        <v>Globe Life Field‡</v>
      </c>
      <c r="C12" s="1" t="str">
        <f>IFERROR(__xludf.DUMMYFUNCTION("""COMPUTED_VALUE"""),"40,300[11]")</f>
        <v>40,300[11]</v>
      </c>
      <c r="D12" s="1" t="str">
        <f>IFERROR(__xludf.DUMMYFUNCTION("""COMPUTED_VALUE"""),"Arlington, Texas")</f>
        <v>Arlington, Texas</v>
      </c>
      <c r="E12" s="1" t="str">
        <f>IFERROR(__xludf.DUMMYFUNCTION("""COMPUTED_VALUE"""),"Artificial turf")</f>
        <v>Artificial turf</v>
      </c>
      <c r="F12" s="1" t="str">
        <f>IFERROR(__xludf.DUMMYFUNCTION("""COMPUTED_VALUE"""),"Texas Rangers")</f>
        <v>Texas Rangers</v>
      </c>
      <c r="G12" s="1">
        <f>IFERROR(__xludf.DUMMYFUNCTION("""COMPUTED_VALUE"""),2020.0)</f>
        <v>2020</v>
      </c>
      <c r="H12" s="1" t="str">
        <f>IFERROR(__xludf.DUMMYFUNCTION("""COMPUTED_VALUE"""),"407 feet (124 m)")</f>
        <v>407 feet (124 m)</v>
      </c>
      <c r="I12" s="1" t="str">
        <f>IFERROR(__xludf.DUMMYFUNCTION("""COMPUTED_VALUE"""),"Retro-modern")</f>
        <v>Retro-modern</v>
      </c>
      <c r="J12" s="1" t="str">
        <f>IFERROR(__xludf.DUMMYFUNCTION("""COMPUTED_VALUE"""),"Retractable")</f>
        <v>Retractable</v>
      </c>
      <c r="K12" s="1" t="s">
        <v>13</v>
      </c>
      <c r="L12" s="2">
        <v>32.7474588</v>
      </c>
      <c r="M12" s="2">
        <v>-97.0838060999999</v>
      </c>
    </row>
    <row r="13">
      <c r="A13" s="1"/>
      <c r="B13" s="1" t="str">
        <f>IFERROR(__xludf.DUMMYFUNCTION("""COMPUTED_VALUE"""),"Great American Ball Park")</f>
        <v>Great American Ball Park</v>
      </c>
      <c r="C13" s="3">
        <f>IFERROR(__xludf.DUMMYFUNCTION("""COMPUTED_VALUE"""),42319.0)</f>
        <v>42319</v>
      </c>
      <c r="D13" s="1" t="str">
        <f>IFERROR(__xludf.DUMMYFUNCTION("""COMPUTED_VALUE"""),"Cincinnati, Ohio")</f>
        <v>Cincinnati, Ohio</v>
      </c>
      <c r="E13" s="1" t="str">
        <f>IFERROR(__xludf.DUMMYFUNCTION("""COMPUTED_VALUE"""),"Grass")</f>
        <v>Grass</v>
      </c>
      <c r="F13" s="1" t="str">
        <f>IFERROR(__xludf.DUMMYFUNCTION("""COMPUTED_VALUE"""),"Cincinnati Reds")</f>
        <v>Cincinnati Reds</v>
      </c>
      <c r="G13" s="1">
        <f>IFERROR(__xludf.DUMMYFUNCTION("""COMPUTED_VALUE"""),2003.0)</f>
        <v>2003</v>
      </c>
      <c r="H13" s="1" t="str">
        <f>IFERROR(__xludf.DUMMYFUNCTION("""COMPUTED_VALUE"""),"404 feet (123 m)")</f>
        <v>404 feet (123 m)</v>
      </c>
      <c r="I13" s="1" t="str">
        <f>IFERROR(__xludf.DUMMYFUNCTION("""COMPUTED_VALUE"""),"Retro-modern")</f>
        <v>Retro-modern</v>
      </c>
      <c r="J13" s="1" t="str">
        <f>IFERROR(__xludf.DUMMYFUNCTION("""COMPUTED_VALUE"""),"Open")</f>
        <v>Open</v>
      </c>
      <c r="K13" s="1" t="s">
        <v>14</v>
      </c>
      <c r="L13" s="2">
        <v>39.0973808</v>
      </c>
      <c r="M13" s="2">
        <v>-84.5070671</v>
      </c>
    </row>
    <row r="14">
      <c r="A14" s="1"/>
      <c r="B14" s="1" t="str">
        <f>IFERROR(__xludf.DUMMYFUNCTION("""COMPUTED_VALUE"""),"Guaranteed Rate Field")</f>
        <v>Guaranteed Rate Field</v>
      </c>
      <c r="C14" s="3">
        <f>IFERROR(__xludf.DUMMYFUNCTION("""COMPUTED_VALUE"""),40615.0)</f>
        <v>40615</v>
      </c>
      <c r="D14" s="1" t="str">
        <f>IFERROR(__xludf.DUMMYFUNCTION("""COMPUTED_VALUE"""),"Chicago, Illinois")</f>
        <v>Chicago, Illinois</v>
      </c>
      <c r="E14" s="1" t="str">
        <f>IFERROR(__xludf.DUMMYFUNCTION("""COMPUTED_VALUE"""),"Grass")</f>
        <v>Grass</v>
      </c>
      <c r="F14" s="1" t="str">
        <f>IFERROR(__xludf.DUMMYFUNCTION("""COMPUTED_VALUE"""),"Chicago White Sox")</f>
        <v>Chicago White Sox</v>
      </c>
      <c r="G14" s="1">
        <f>IFERROR(__xludf.DUMMYFUNCTION("""COMPUTED_VALUE"""),1991.0)</f>
        <v>1991</v>
      </c>
      <c r="H14" s="1" t="str">
        <f>IFERROR(__xludf.DUMMYFUNCTION("""COMPUTED_VALUE"""),"400 feet (122 m)")</f>
        <v>400 feet (122 m)</v>
      </c>
      <c r="I14" s="1" t="str">
        <f>IFERROR(__xludf.DUMMYFUNCTION("""COMPUTED_VALUE"""),"Modern
Retro-classic")</f>
        <v>Modern
Retro-classic</v>
      </c>
      <c r="J14" s="1" t="str">
        <f>IFERROR(__xludf.DUMMYFUNCTION("""COMPUTED_VALUE"""),"Open")</f>
        <v>Open</v>
      </c>
      <c r="K14" s="1" t="s">
        <v>15</v>
      </c>
      <c r="L14" s="2">
        <v>41.8299748</v>
      </c>
      <c r="M14" s="2">
        <v>-87.6338652</v>
      </c>
    </row>
    <row r="15">
      <c r="A15" s="1"/>
      <c r="B15" s="1" t="str">
        <f>IFERROR(__xludf.DUMMYFUNCTION("""COMPUTED_VALUE"""),"Kauffman Stadium")</f>
        <v>Kauffman Stadium</v>
      </c>
      <c r="C15" s="1" t="str">
        <f>IFERROR(__xludf.DUMMYFUNCTION("""COMPUTED_VALUE"""),"37,903[12]")</f>
        <v>37,903[12]</v>
      </c>
      <c r="D15" s="1" t="str">
        <f>IFERROR(__xludf.DUMMYFUNCTION("""COMPUTED_VALUE"""),"Kansas City, Missouri")</f>
        <v>Kansas City, Missouri</v>
      </c>
      <c r="E15" s="1" t="str">
        <f>IFERROR(__xludf.DUMMYFUNCTION("""COMPUTED_VALUE"""),"Grass")</f>
        <v>Grass</v>
      </c>
      <c r="F15" s="1" t="str">
        <f>IFERROR(__xludf.DUMMYFUNCTION("""COMPUTED_VALUE"""),"Kansas City Royals")</f>
        <v>Kansas City Royals</v>
      </c>
      <c r="G15" s="1">
        <f>IFERROR(__xludf.DUMMYFUNCTION("""COMPUTED_VALUE"""),1973.0)</f>
        <v>1973</v>
      </c>
      <c r="H15" s="1" t="str">
        <f>IFERROR(__xludf.DUMMYFUNCTION("""COMPUTED_VALUE"""),"410 feet (125 m)")</f>
        <v>410 feet (125 m)</v>
      </c>
      <c r="I15" s="1" t="str">
        <f>IFERROR(__xludf.DUMMYFUNCTION("""COMPUTED_VALUE"""),"Modern
Retro-modern")</f>
        <v>Modern
Retro-modern</v>
      </c>
      <c r="J15" s="1" t="str">
        <f>IFERROR(__xludf.DUMMYFUNCTION("""COMPUTED_VALUE"""),"Open")</f>
        <v>Open</v>
      </c>
      <c r="K15" s="1" t="s">
        <v>16</v>
      </c>
      <c r="L15" s="2">
        <v>39.0516719</v>
      </c>
      <c r="M15" s="2">
        <v>-94.4803142</v>
      </c>
    </row>
    <row r="16">
      <c r="A16" s="1"/>
      <c r="B16" s="1" t="str">
        <f>IFERROR(__xludf.DUMMYFUNCTION("""COMPUTED_VALUE"""),"LoanDepot Park‡")</f>
        <v>LoanDepot Park‡</v>
      </c>
      <c r="C16" s="3">
        <f>IFERROR(__xludf.DUMMYFUNCTION("""COMPUTED_VALUE"""),36742.0)</f>
        <v>36742</v>
      </c>
      <c r="D16" s="1" t="str">
        <f>IFERROR(__xludf.DUMMYFUNCTION("""COMPUTED_VALUE"""),"Miami, Florida")</f>
        <v>Miami, Florida</v>
      </c>
      <c r="E16" s="1" t="str">
        <f>IFERROR(__xludf.DUMMYFUNCTION("""COMPUTED_VALUE"""),"Artificial turf")</f>
        <v>Artificial turf</v>
      </c>
      <c r="F16" s="1" t="str">
        <f>IFERROR(__xludf.DUMMYFUNCTION("""COMPUTED_VALUE"""),"Miami Marlins")</f>
        <v>Miami Marlins</v>
      </c>
      <c r="G16" s="1">
        <f>IFERROR(__xludf.DUMMYFUNCTION("""COMPUTED_VALUE"""),2012.0)</f>
        <v>2012</v>
      </c>
      <c r="H16" s="1" t="str">
        <f>IFERROR(__xludf.DUMMYFUNCTION("""COMPUTED_VALUE"""),"407 feet (124 m)")</f>
        <v>407 feet (124 m)</v>
      </c>
      <c r="I16" s="1" t="str">
        <f>IFERROR(__xludf.DUMMYFUNCTION("""COMPUTED_VALUE"""),"Contemporary[13]")</f>
        <v>Contemporary[13]</v>
      </c>
      <c r="J16" s="1" t="str">
        <f>IFERROR(__xludf.DUMMYFUNCTION("""COMPUTED_VALUE"""),"Retractable")</f>
        <v>Retractable</v>
      </c>
      <c r="K16" s="1" t="s">
        <v>17</v>
      </c>
      <c r="L16" s="2">
        <v>25.7781487</v>
      </c>
      <c r="M16" s="2">
        <v>-80.2195998</v>
      </c>
    </row>
    <row r="17">
      <c r="A17" s="1"/>
      <c r="B17" s="1" t="str">
        <f>IFERROR(__xludf.DUMMYFUNCTION("""COMPUTED_VALUE"""),"Minute Maid Park‡")</f>
        <v>Minute Maid Park‡</v>
      </c>
      <c r="C17" s="1" t="str">
        <f>IFERROR(__xludf.DUMMYFUNCTION("""COMPUTED_VALUE"""),"41,168[14]")</f>
        <v>41,168[14]</v>
      </c>
      <c r="D17" s="1" t="str">
        <f>IFERROR(__xludf.DUMMYFUNCTION("""COMPUTED_VALUE"""),"Houston, Texas")</f>
        <v>Houston, Texas</v>
      </c>
      <c r="E17" s="1" t="str">
        <f>IFERROR(__xludf.DUMMYFUNCTION("""COMPUTED_VALUE"""),"Grass")</f>
        <v>Grass</v>
      </c>
      <c r="F17" s="1" t="str">
        <f>IFERROR(__xludf.DUMMYFUNCTION("""COMPUTED_VALUE"""),"Houston Astros")</f>
        <v>Houston Astros</v>
      </c>
      <c r="G17" s="1">
        <f>IFERROR(__xludf.DUMMYFUNCTION("""COMPUTED_VALUE"""),2000.0)</f>
        <v>2000</v>
      </c>
      <c r="H17" s="1" t="str">
        <f>IFERROR(__xludf.DUMMYFUNCTION("""COMPUTED_VALUE"""),"409 feet (125 m)[15]")</f>
        <v>409 feet (125 m)[15]</v>
      </c>
      <c r="I17" s="1" t="str">
        <f>IFERROR(__xludf.DUMMYFUNCTION("""COMPUTED_VALUE"""),"Retro-modern")</f>
        <v>Retro-modern</v>
      </c>
      <c r="J17" s="1" t="str">
        <f>IFERROR(__xludf.DUMMYFUNCTION("""COMPUTED_VALUE"""),"Retractable")</f>
        <v>Retractable</v>
      </c>
      <c r="K17" s="1" t="s">
        <v>18</v>
      </c>
      <c r="L17" s="2">
        <v>29.7572048</v>
      </c>
      <c r="M17" s="2">
        <v>-95.3552464999999</v>
      </c>
    </row>
    <row r="18">
      <c r="A18" s="1"/>
      <c r="B18" s="1" t="str">
        <f>IFERROR(__xludf.DUMMYFUNCTION("""COMPUTED_VALUE"""),"Nationals Park")</f>
        <v>Nationals Park</v>
      </c>
      <c r="C18" s="1" t="str">
        <f>IFERROR(__xludf.DUMMYFUNCTION("""COMPUTED_VALUE"""),"41,339[16]")</f>
        <v>41,339[16]</v>
      </c>
      <c r="D18" s="1" t="str">
        <f>IFERROR(__xludf.DUMMYFUNCTION("""COMPUTED_VALUE"""),"Washington, D.C.")</f>
        <v>Washington, D.C.</v>
      </c>
      <c r="E18" s="1" t="str">
        <f>IFERROR(__xludf.DUMMYFUNCTION("""COMPUTED_VALUE"""),"Grass")</f>
        <v>Grass</v>
      </c>
      <c r="F18" s="1" t="str">
        <f>IFERROR(__xludf.DUMMYFUNCTION("""COMPUTED_VALUE"""),"Washington Nationals")</f>
        <v>Washington Nationals</v>
      </c>
      <c r="G18" s="1">
        <f>IFERROR(__xludf.DUMMYFUNCTION("""COMPUTED_VALUE"""),2008.0)</f>
        <v>2008</v>
      </c>
      <c r="H18" s="1" t="str">
        <f>IFERROR(__xludf.DUMMYFUNCTION("""COMPUTED_VALUE"""),"402 feet (123 m)")</f>
        <v>402 feet (123 m)</v>
      </c>
      <c r="I18" s="1" t="str">
        <f>IFERROR(__xludf.DUMMYFUNCTION("""COMPUTED_VALUE"""),"Retro-modern")</f>
        <v>Retro-modern</v>
      </c>
      <c r="J18" s="1" t="str">
        <f>IFERROR(__xludf.DUMMYFUNCTION("""COMPUTED_VALUE"""),"Open")</f>
        <v>Open</v>
      </c>
      <c r="K18" s="1" t="s">
        <v>19</v>
      </c>
      <c r="L18" s="2">
        <v>38.8730102</v>
      </c>
      <c r="M18" s="2">
        <v>-77.0074329</v>
      </c>
    </row>
    <row r="19">
      <c r="A19" s="1"/>
      <c r="B19" s="1" t="str">
        <f>IFERROR(__xludf.DUMMYFUNCTION("""COMPUTED_VALUE"""),"Oakland-Alameda County Coliseum")</f>
        <v>Oakland-Alameda County Coliseum</v>
      </c>
      <c r="C19" s="1" t="str">
        <f>IFERROR(__xludf.DUMMYFUNCTION("""COMPUTED_VALUE"""),"46,847[17]")</f>
        <v>46,847[17]</v>
      </c>
      <c r="D19" s="1" t="str">
        <f>IFERROR(__xludf.DUMMYFUNCTION("""COMPUTED_VALUE"""),"Oakland, California")</f>
        <v>Oakland, California</v>
      </c>
      <c r="E19" s="1" t="str">
        <f>IFERROR(__xludf.DUMMYFUNCTION("""COMPUTED_VALUE"""),"Grass")</f>
        <v>Grass</v>
      </c>
      <c r="F19" s="1" t="str">
        <f>IFERROR(__xludf.DUMMYFUNCTION("""COMPUTED_VALUE"""),"Oakland Athletics")</f>
        <v>Oakland Athletics</v>
      </c>
      <c r="G19" s="1" t="str">
        <f>IFERROR(__xludf.DUMMYFUNCTION("""COMPUTED_VALUE"""),"1966[nb 4]")</f>
        <v>1966[nb 4]</v>
      </c>
      <c r="H19" s="1" t="str">
        <f>IFERROR(__xludf.DUMMYFUNCTION("""COMPUTED_VALUE"""),"400 feet (122 m)")</f>
        <v>400 feet (122 m)</v>
      </c>
      <c r="I19" s="1" t="str">
        <f>IFERROR(__xludf.DUMMYFUNCTION("""COMPUTED_VALUE"""),"Multipurpose")</f>
        <v>Multipurpose</v>
      </c>
      <c r="J19" s="1" t="str">
        <f>IFERROR(__xludf.DUMMYFUNCTION("""COMPUTED_VALUE"""),"Open")</f>
        <v>Open</v>
      </c>
      <c r="K19" s="1" t="s">
        <v>20</v>
      </c>
      <c r="L19" s="2">
        <v>37.751611</v>
      </c>
      <c r="M19" s="2">
        <v>-122.2005148</v>
      </c>
    </row>
    <row r="20">
      <c r="A20" s="1"/>
      <c r="B20" s="1" t="str">
        <f>IFERROR(__xludf.DUMMYFUNCTION("""COMPUTED_VALUE"""),"Oracle Park")</f>
        <v>Oracle Park</v>
      </c>
      <c r="C20" s="1" t="str">
        <f>IFERROR(__xludf.DUMMYFUNCTION("""COMPUTED_VALUE"""),"41,265[18]")</f>
        <v>41,265[18]</v>
      </c>
      <c r="D20" s="1" t="str">
        <f>IFERROR(__xludf.DUMMYFUNCTION("""COMPUTED_VALUE"""),"San Francisco, California")</f>
        <v>San Francisco, California</v>
      </c>
      <c r="E20" s="1" t="str">
        <f>IFERROR(__xludf.DUMMYFUNCTION("""COMPUTED_VALUE"""),"Grass")</f>
        <v>Grass</v>
      </c>
      <c r="F20" s="1" t="str">
        <f>IFERROR(__xludf.DUMMYFUNCTION("""COMPUTED_VALUE"""),"San Francisco Giants")</f>
        <v>San Francisco Giants</v>
      </c>
      <c r="G20" s="1">
        <f>IFERROR(__xludf.DUMMYFUNCTION("""COMPUTED_VALUE"""),2000.0)</f>
        <v>2000</v>
      </c>
      <c r="H20" s="1" t="str">
        <f>IFERROR(__xludf.DUMMYFUNCTION("""COMPUTED_VALUE"""),"391 feet (119 m)")</f>
        <v>391 feet (119 m)</v>
      </c>
      <c r="I20" s="1" t="str">
        <f>IFERROR(__xludf.DUMMYFUNCTION("""COMPUTED_VALUE"""),"Retro-classic")</f>
        <v>Retro-classic</v>
      </c>
      <c r="J20" s="1" t="str">
        <f>IFERROR(__xludf.DUMMYFUNCTION("""COMPUTED_VALUE"""),"Open")</f>
        <v>Open</v>
      </c>
      <c r="K20" s="1" t="s">
        <v>21</v>
      </c>
      <c r="L20" s="2">
        <v>37.7785951</v>
      </c>
      <c r="M20" s="2">
        <v>-122.3892698</v>
      </c>
    </row>
    <row r="21">
      <c r="A21" s="1"/>
      <c r="B21" s="1" t="str">
        <f>IFERROR(__xludf.DUMMYFUNCTION("""COMPUTED_VALUE"""),"Oriole Park at Camden Yards")</f>
        <v>Oriole Park at Camden Yards</v>
      </c>
      <c r="C21" s="3">
        <f>IFERROR(__xludf.DUMMYFUNCTION("""COMPUTED_VALUE"""),45971.0)</f>
        <v>45971</v>
      </c>
      <c r="D21" s="1" t="str">
        <f>IFERROR(__xludf.DUMMYFUNCTION("""COMPUTED_VALUE"""),"Baltimore, Maryland")</f>
        <v>Baltimore, Maryland</v>
      </c>
      <c r="E21" s="1" t="str">
        <f>IFERROR(__xludf.DUMMYFUNCTION("""COMPUTED_VALUE"""),"Grass")</f>
        <v>Grass</v>
      </c>
      <c r="F21" s="1" t="str">
        <f>IFERROR(__xludf.DUMMYFUNCTION("""COMPUTED_VALUE"""),"Baltimore Orioles")</f>
        <v>Baltimore Orioles</v>
      </c>
      <c r="G21" s="1">
        <f>IFERROR(__xludf.DUMMYFUNCTION("""COMPUTED_VALUE"""),1992.0)</f>
        <v>1992</v>
      </c>
      <c r="H21" s="1" t="str">
        <f>IFERROR(__xludf.DUMMYFUNCTION("""COMPUTED_VALUE"""),"410 feet (125 m)")</f>
        <v>410 feet (125 m)</v>
      </c>
      <c r="I21" s="1" t="str">
        <f>IFERROR(__xludf.DUMMYFUNCTION("""COMPUTED_VALUE"""),"Retro-classic")</f>
        <v>Retro-classic</v>
      </c>
      <c r="J21" s="1" t="str">
        <f>IFERROR(__xludf.DUMMYFUNCTION("""COMPUTED_VALUE"""),"Open")</f>
        <v>Open</v>
      </c>
      <c r="K21" s="1" t="s">
        <v>22</v>
      </c>
      <c r="L21" s="2">
        <v>39.2838194</v>
      </c>
      <c r="M21" s="2">
        <v>-76.6216781999999</v>
      </c>
    </row>
    <row r="22">
      <c r="A22" s="1"/>
      <c r="B22" s="1" t="str">
        <f>IFERROR(__xludf.DUMMYFUNCTION("""COMPUTED_VALUE"""),"Petco Park")</f>
        <v>Petco Park</v>
      </c>
      <c r="C22" s="1" t="str">
        <f>IFERROR(__xludf.DUMMYFUNCTION("""COMPUTED_VALUE"""),"40,209[19]")</f>
        <v>40,209[19]</v>
      </c>
      <c r="D22" s="1" t="str">
        <f>IFERROR(__xludf.DUMMYFUNCTION("""COMPUTED_VALUE"""),"San Diego, California")</f>
        <v>San Diego, California</v>
      </c>
      <c r="E22" s="1" t="str">
        <f>IFERROR(__xludf.DUMMYFUNCTION("""COMPUTED_VALUE"""),"Grass")</f>
        <v>Grass</v>
      </c>
      <c r="F22" s="1" t="str">
        <f>IFERROR(__xludf.DUMMYFUNCTION("""COMPUTED_VALUE"""),"San Diego Padres")</f>
        <v>San Diego Padres</v>
      </c>
      <c r="G22" s="1">
        <f>IFERROR(__xludf.DUMMYFUNCTION("""COMPUTED_VALUE"""),2004.0)</f>
        <v>2004</v>
      </c>
      <c r="H22" s="1" t="str">
        <f>IFERROR(__xludf.DUMMYFUNCTION("""COMPUTED_VALUE"""),"396 feet (121 m)")</f>
        <v>396 feet (121 m)</v>
      </c>
      <c r="I22" s="1" t="str">
        <f>IFERROR(__xludf.DUMMYFUNCTION("""COMPUTED_VALUE"""),"Retro-modern")</f>
        <v>Retro-modern</v>
      </c>
      <c r="J22" s="1" t="str">
        <f>IFERROR(__xludf.DUMMYFUNCTION("""COMPUTED_VALUE"""),"Open")</f>
        <v>Open</v>
      </c>
      <c r="K22" s="1" t="s">
        <v>23</v>
      </c>
      <c r="L22" s="2">
        <v>32.7075941</v>
      </c>
      <c r="M22" s="2">
        <v>-117.1570422</v>
      </c>
    </row>
    <row r="23">
      <c r="A23" s="1"/>
      <c r="B23" s="1" t="str">
        <f>IFERROR(__xludf.DUMMYFUNCTION("""COMPUTED_VALUE"""),"PNC Park")</f>
        <v>PNC Park</v>
      </c>
      <c r="C23" s="1" t="str">
        <f>IFERROR(__xludf.DUMMYFUNCTION("""COMPUTED_VALUE"""),"38,747[20]")</f>
        <v>38,747[20]</v>
      </c>
      <c r="D23" s="1" t="str">
        <f>IFERROR(__xludf.DUMMYFUNCTION("""COMPUTED_VALUE"""),"Pittsburgh, Pennsylvania")</f>
        <v>Pittsburgh, Pennsylvania</v>
      </c>
      <c r="E23" s="1" t="str">
        <f>IFERROR(__xludf.DUMMYFUNCTION("""COMPUTED_VALUE"""),"Grass")</f>
        <v>Grass</v>
      </c>
      <c r="F23" s="1" t="str">
        <f>IFERROR(__xludf.DUMMYFUNCTION("""COMPUTED_VALUE"""),"Pittsburgh Pirates")</f>
        <v>Pittsburgh Pirates</v>
      </c>
      <c r="G23" s="1">
        <f>IFERROR(__xludf.DUMMYFUNCTION("""COMPUTED_VALUE"""),2001.0)</f>
        <v>2001</v>
      </c>
      <c r="H23" s="1" t="str">
        <f>IFERROR(__xludf.DUMMYFUNCTION("""COMPUTED_VALUE"""),"399 feet (122 m)")</f>
        <v>399 feet (122 m)</v>
      </c>
      <c r="I23" s="1" t="str">
        <f>IFERROR(__xludf.DUMMYFUNCTION("""COMPUTED_VALUE"""),"Retro-classic")</f>
        <v>Retro-classic</v>
      </c>
      <c r="J23" s="1" t="str">
        <f>IFERROR(__xludf.DUMMYFUNCTION("""COMPUTED_VALUE"""),"Open")</f>
        <v>Open</v>
      </c>
      <c r="K23" s="1" t="s">
        <v>24</v>
      </c>
      <c r="L23" s="2">
        <v>40.4474692</v>
      </c>
      <c r="M23" s="2">
        <v>-80.0071603</v>
      </c>
    </row>
    <row r="24">
      <c r="A24" s="1"/>
      <c r="B24" s="1" t="str">
        <f>IFERROR(__xludf.DUMMYFUNCTION("""COMPUTED_VALUE"""),"Progressive Field")</f>
        <v>Progressive Field</v>
      </c>
      <c r="C24" s="1" t="str">
        <f>IFERROR(__xludf.DUMMYFUNCTION("""COMPUTED_VALUE"""),"34,830[21]")</f>
        <v>34,830[21]</v>
      </c>
      <c r="D24" s="1" t="str">
        <f>IFERROR(__xludf.DUMMYFUNCTION("""COMPUTED_VALUE"""),"Cleveland, Ohio")</f>
        <v>Cleveland, Ohio</v>
      </c>
      <c r="E24" s="1" t="str">
        <f>IFERROR(__xludf.DUMMYFUNCTION("""COMPUTED_VALUE"""),"Grass")</f>
        <v>Grass</v>
      </c>
      <c r="F24" s="1" t="str">
        <f>IFERROR(__xludf.DUMMYFUNCTION("""COMPUTED_VALUE"""),"Cleveland Guardians")</f>
        <v>Cleveland Guardians</v>
      </c>
      <c r="G24" s="1">
        <f>IFERROR(__xludf.DUMMYFUNCTION("""COMPUTED_VALUE"""),1994.0)</f>
        <v>1994</v>
      </c>
      <c r="H24" s="1" t="str">
        <f>IFERROR(__xludf.DUMMYFUNCTION("""COMPUTED_VALUE"""),"410 feet (125 m)")</f>
        <v>410 feet (125 m)</v>
      </c>
      <c r="I24" s="1" t="str">
        <f>IFERROR(__xludf.DUMMYFUNCTION("""COMPUTED_VALUE"""),"Retro-modern")</f>
        <v>Retro-modern</v>
      </c>
      <c r="J24" s="1" t="str">
        <f>IFERROR(__xludf.DUMMYFUNCTION("""COMPUTED_VALUE"""),"Open")</f>
        <v>Open</v>
      </c>
      <c r="K24" s="1" t="s">
        <v>25</v>
      </c>
      <c r="L24" s="2">
        <v>41.496211</v>
      </c>
      <c r="M24" s="2">
        <v>-81.6852289999999</v>
      </c>
    </row>
    <row r="25">
      <c r="A25" s="1"/>
      <c r="B25" s="1" t="str">
        <f>IFERROR(__xludf.DUMMYFUNCTION("""COMPUTED_VALUE"""),"Rogers Centre‡")</f>
        <v>Rogers Centre‡</v>
      </c>
      <c r="C25" s="1" t="str">
        <f>IFERROR(__xludf.DUMMYFUNCTION("""COMPUTED_VALUE"""),"41,500[22]")</f>
        <v>41,500[22]</v>
      </c>
      <c r="D25" s="1" t="str">
        <f>IFERROR(__xludf.DUMMYFUNCTION("""COMPUTED_VALUE"""),"Toronto, Ontario")</f>
        <v>Toronto, Ontario</v>
      </c>
      <c r="E25" s="1" t="str">
        <f>IFERROR(__xludf.DUMMYFUNCTION("""COMPUTED_VALUE"""),"Artificial turf")</f>
        <v>Artificial turf</v>
      </c>
      <c r="F25" s="1" t="str">
        <f>IFERROR(__xludf.DUMMYFUNCTION("""COMPUTED_VALUE"""),"Toronto Blue Jays")</f>
        <v>Toronto Blue Jays</v>
      </c>
      <c r="G25" s="1">
        <f>IFERROR(__xludf.DUMMYFUNCTION("""COMPUTED_VALUE"""),1989.0)</f>
        <v>1989</v>
      </c>
      <c r="H25" s="1" t="str">
        <f>IFERROR(__xludf.DUMMYFUNCTION("""COMPUTED_VALUE"""),"400 feet (122 m)")</f>
        <v>400 feet (122 m)</v>
      </c>
      <c r="I25" s="1" t="str">
        <f>IFERROR(__xludf.DUMMYFUNCTION("""COMPUTED_VALUE"""),"Modern")</f>
        <v>Modern</v>
      </c>
      <c r="J25" s="1" t="str">
        <f>IFERROR(__xludf.DUMMYFUNCTION("""COMPUTED_VALUE"""),"Retractable")</f>
        <v>Retractable</v>
      </c>
      <c r="K25" s="1" t="s">
        <v>26</v>
      </c>
      <c r="L25" s="4"/>
      <c r="M25" s="4"/>
    </row>
    <row r="26">
      <c r="A26" s="1"/>
      <c r="B26" s="1" t="str">
        <f>IFERROR(__xludf.DUMMYFUNCTION("""COMPUTED_VALUE"""),"T-Mobile Park‡")</f>
        <v>T-Mobile Park‡</v>
      </c>
      <c r="C26" s="1" t="str">
        <f>IFERROR(__xludf.DUMMYFUNCTION("""COMPUTED_VALUE"""),"47,929[23]")</f>
        <v>47,929[23]</v>
      </c>
      <c r="D26" s="1" t="str">
        <f>IFERROR(__xludf.DUMMYFUNCTION("""COMPUTED_VALUE"""),"Seattle, Washington")</f>
        <v>Seattle, Washington</v>
      </c>
      <c r="E26" s="1" t="str">
        <f>IFERROR(__xludf.DUMMYFUNCTION("""COMPUTED_VALUE"""),"Grass")</f>
        <v>Grass</v>
      </c>
      <c r="F26" s="1" t="str">
        <f>IFERROR(__xludf.DUMMYFUNCTION("""COMPUTED_VALUE"""),"Seattle Mariners")</f>
        <v>Seattle Mariners</v>
      </c>
      <c r="G26" s="1">
        <f>IFERROR(__xludf.DUMMYFUNCTION("""COMPUTED_VALUE"""),1999.0)</f>
        <v>1999</v>
      </c>
      <c r="H26" s="1" t="str">
        <f>IFERROR(__xludf.DUMMYFUNCTION("""COMPUTED_VALUE"""),"401 feet (122 m)")</f>
        <v>401 feet (122 m)</v>
      </c>
      <c r="I26" s="1" t="str">
        <f>IFERROR(__xludf.DUMMYFUNCTION("""COMPUTED_VALUE"""),"Retro-modern")</f>
        <v>Retro-modern</v>
      </c>
      <c r="J26" s="1" t="str">
        <f>IFERROR(__xludf.DUMMYFUNCTION("""COMPUTED_VALUE"""),"Retractable")</f>
        <v>Retractable</v>
      </c>
      <c r="K26" s="1" t="s">
        <v>27</v>
      </c>
      <c r="L26" s="2">
        <v>47.591349</v>
      </c>
      <c r="M26" s="2">
        <v>-122.3325172</v>
      </c>
    </row>
    <row r="27">
      <c r="A27" s="1"/>
      <c r="B27" s="1" t="str">
        <f>IFERROR(__xludf.DUMMYFUNCTION("""COMPUTED_VALUE"""),"Target Field")</f>
        <v>Target Field</v>
      </c>
      <c r="C27" s="1" t="str">
        <f>IFERROR(__xludf.DUMMYFUNCTION("""COMPUTED_VALUE"""),"38,544[24]")</f>
        <v>38,544[24]</v>
      </c>
      <c r="D27" s="1" t="str">
        <f>IFERROR(__xludf.DUMMYFUNCTION("""COMPUTED_VALUE"""),"Minneapolis, Minnesota")</f>
        <v>Minneapolis, Minnesota</v>
      </c>
      <c r="E27" s="1" t="str">
        <f>IFERROR(__xludf.DUMMYFUNCTION("""COMPUTED_VALUE"""),"Grass")</f>
        <v>Grass</v>
      </c>
      <c r="F27" s="1" t="str">
        <f>IFERROR(__xludf.DUMMYFUNCTION("""COMPUTED_VALUE"""),"Minnesota Twins")</f>
        <v>Minnesota Twins</v>
      </c>
      <c r="G27" s="1">
        <f>IFERROR(__xludf.DUMMYFUNCTION("""COMPUTED_VALUE"""),2010.0)</f>
        <v>2010</v>
      </c>
      <c r="H27" s="1" t="str">
        <f>IFERROR(__xludf.DUMMYFUNCTION("""COMPUTED_VALUE"""),"404 feet (123 m)")</f>
        <v>404 feet (123 m)</v>
      </c>
      <c r="I27" s="1" t="str">
        <f>IFERROR(__xludf.DUMMYFUNCTION("""COMPUTED_VALUE"""),"Retro-modern")</f>
        <v>Retro-modern</v>
      </c>
      <c r="J27" s="1" t="str">
        <f>IFERROR(__xludf.DUMMYFUNCTION("""COMPUTED_VALUE"""),"Open")</f>
        <v>Open</v>
      </c>
      <c r="K27" s="1" t="s">
        <v>28</v>
      </c>
      <c r="L27" s="2">
        <v>44.9817429999999</v>
      </c>
      <c r="M27" s="2">
        <v>-93.2776291999999</v>
      </c>
    </row>
    <row r="28">
      <c r="A28" s="1"/>
      <c r="B28" s="1" t="str">
        <f>IFERROR(__xludf.DUMMYFUNCTION("""COMPUTED_VALUE"""),"Tropicana Field†")</f>
        <v>Tropicana Field†</v>
      </c>
      <c r="C28" s="1" t="str">
        <f>IFERROR(__xludf.DUMMYFUNCTION("""COMPUTED_VALUE"""),"25,000[25]")</f>
        <v>25,000[25]</v>
      </c>
      <c r="D28" s="1" t="str">
        <f>IFERROR(__xludf.DUMMYFUNCTION("""COMPUTED_VALUE"""),"St. Petersburg, Florida")</f>
        <v>St. Petersburg, Florida</v>
      </c>
      <c r="E28" s="1" t="str">
        <f>IFERROR(__xludf.DUMMYFUNCTION("""COMPUTED_VALUE"""),"Artificial turf")</f>
        <v>Artificial turf</v>
      </c>
      <c r="F28" s="1" t="str">
        <f>IFERROR(__xludf.DUMMYFUNCTION("""COMPUTED_VALUE"""),"Tampa Bay Rays")</f>
        <v>Tampa Bay Rays</v>
      </c>
      <c r="G28" s="1" t="str">
        <f>IFERROR(__xludf.DUMMYFUNCTION("""COMPUTED_VALUE"""),"1990[nb 5]")</f>
        <v>1990[nb 5]</v>
      </c>
      <c r="H28" s="1" t="str">
        <f>IFERROR(__xludf.DUMMYFUNCTION("""COMPUTED_VALUE"""),"404 feet (123 m)")</f>
        <v>404 feet (123 m)</v>
      </c>
      <c r="I28" s="1" t="str">
        <f>IFERROR(__xludf.DUMMYFUNCTION("""COMPUTED_VALUE"""),"Modern")</f>
        <v>Modern</v>
      </c>
      <c r="J28" s="1" t="str">
        <f>IFERROR(__xludf.DUMMYFUNCTION("""COMPUTED_VALUE"""),"Fixed")</f>
        <v>Fixed</v>
      </c>
      <c r="K28" s="1" t="s">
        <v>29</v>
      </c>
      <c r="L28" s="2">
        <v>27.7682246</v>
      </c>
      <c r="M28" s="2">
        <v>-82.6533920999999</v>
      </c>
    </row>
    <row r="29">
      <c r="A29" s="1"/>
      <c r="B29" s="1" t="str">
        <f>IFERROR(__xludf.DUMMYFUNCTION("""COMPUTED_VALUE"""),"Truist Park")</f>
        <v>Truist Park</v>
      </c>
      <c r="C29" s="1" t="str">
        <f>IFERROR(__xludf.DUMMYFUNCTION("""COMPUTED_VALUE"""),"41,084[26]")</f>
        <v>41,084[26]</v>
      </c>
      <c r="D29" s="1" t="str">
        <f>IFERROR(__xludf.DUMMYFUNCTION("""COMPUTED_VALUE"""),"Cumberland, Georgia")</f>
        <v>Cumberland, Georgia</v>
      </c>
      <c r="E29" s="1" t="str">
        <f>IFERROR(__xludf.DUMMYFUNCTION("""COMPUTED_VALUE"""),"Grass")</f>
        <v>Grass</v>
      </c>
      <c r="F29" s="1" t="str">
        <f>IFERROR(__xludf.DUMMYFUNCTION("""COMPUTED_VALUE"""),"Atlanta Braves")</f>
        <v>Atlanta Braves</v>
      </c>
      <c r="G29" s="1">
        <f>IFERROR(__xludf.DUMMYFUNCTION("""COMPUTED_VALUE"""),2017.0)</f>
        <v>2017</v>
      </c>
      <c r="H29" s="1" t="str">
        <f>IFERROR(__xludf.DUMMYFUNCTION("""COMPUTED_VALUE"""),"400 feet (122 m)")</f>
        <v>400 feet (122 m)</v>
      </c>
      <c r="I29" s="1" t="str">
        <f>IFERROR(__xludf.DUMMYFUNCTION("""COMPUTED_VALUE"""),"Retro-modern")</f>
        <v>Retro-modern</v>
      </c>
      <c r="J29" s="1" t="str">
        <f>IFERROR(__xludf.DUMMYFUNCTION("""COMPUTED_VALUE"""),"Open")</f>
        <v>Open</v>
      </c>
      <c r="K29" s="1" t="s">
        <v>30</v>
      </c>
      <c r="L29" s="2">
        <v>33.8910646</v>
      </c>
      <c r="M29" s="2">
        <v>-84.4684498</v>
      </c>
    </row>
    <row r="30">
      <c r="A30" s="1"/>
      <c r="B30" s="1" t="str">
        <f>IFERROR(__xludf.DUMMYFUNCTION("""COMPUTED_VALUE"""),"Wrigley Field")</f>
        <v>Wrigley Field</v>
      </c>
      <c r="C30" s="1" t="str">
        <f>IFERROR(__xludf.DUMMYFUNCTION("""COMPUTED_VALUE"""),"41,649[27]")</f>
        <v>41,649[27]</v>
      </c>
      <c r="D30" s="1" t="str">
        <f>IFERROR(__xludf.DUMMYFUNCTION("""COMPUTED_VALUE"""),"Chicago, Illinois")</f>
        <v>Chicago, Illinois</v>
      </c>
      <c r="E30" s="1" t="str">
        <f>IFERROR(__xludf.DUMMYFUNCTION("""COMPUTED_VALUE"""),"Grass")</f>
        <v>Grass</v>
      </c>
      <c r="F30" s="1" t="str">
        <f>IFERROR(__xludf.DUMMYFUNCTION("""COMPUTED_VALUE"""),"Chicago Cubs")</f>
        <v>Chicago Cubs</v>
      </c>
      <c r="G30" s="1" t="str">
        <f>IFERROR(__xludf.DUMMYFUNCTION("""COMPUTED_VALUE"""),"1914[nb 6]")</f>
        <v>1914[nb 6]</v>
      </c>
      <c r="H30" s="1" t="str">
        <f>IFERROR(__xludf.DUMMYFUNCTION("""COMPUTED_VALUE"""),"400 feet (122 m)")</f>
        <v>400 feet (122 m)</v>
      </c>
      <c r="I30" s="1" t="str">
        <f>IFERROR(__xludf.DUMMYFUNCTION("""COMPUTED_VALUE"""),"Jewel box")</f>
        <v>Jewel box</v>
      </c>
      <c r="J30" s="1" t="str">
        <f>IFERROR(__xludf.DUMMYFUNCTION("""COMPUTED_VALUE"""),"Open")</f>
        <v>Open</v>
      </c>
      <c r="K30" s="1" t="s">
        <v>31</v>
      </c>
      <c r="L30" s="2">
        <v>41.9484384</v>
      </c>
      <c r="M30" s="2">
        <v>-87.6553327</v>
      </c>
    </row>
    <row r="31">
      <c r="A31" s="1"/>
      <c r="B31" s="1" t="str">
        <f>IFERROR(__xludf.DUMMYFUNCTION("""COMPUTED_VALUE"""),"Yankee Stadium")</f>
        <v>Yankee Stadium</v>
      </c>
      <c r="C31" s="1" t="str">
        <f>IFERROR(__xludf.DUMMYFUNCTION("""COMPUTED_VALUE"""),"46,537[28]")</f>
        <v>46,537[28]</v>
      </c>
      <c r="D31" s="1" t="str">
        <f>IFERROR(__xludf.DUMMYFUNCTION("""COMPUTED_VALUE"""),"Bronx, New York")</f>
        <v>Bronx, New York</v>
      </c>
      <c r="E31" s="1" t="str">
        <f>IFERROR(__xludf.DUMMYFUNCTION("""COMPUTED_VALUE"""),"Grass")</f>
        <v>Grass</v>
      </c>
      <c r="F31" s="1" t="str">
        <f>IFERROR(__xludf.DUMMYFUNCTION("""COMPUTED_VALUE"""),"New York Yankees")</f>
        <v>New York Yankees</v>
      </c>
      <c r="G31" s="1">
        <f>IFERROR(__xludf.DUMMYFUNCTION("""COMPUTED_VALUE"""),2009.0)</f>
        <v>2009</v>
      </c>
      <c r="H31" s="1" t="str">
        <f>IFERROR(__xludf.DUMMYFUNCTION("""COMPUTED_VALUE"""),"408 feet (124 m)")</f>
        <v>408 feet (124 m)</v>
      </c>
      <c r="I31" s="1" t="str">
        <f>IFERROR(__xludf.DUMMYFUNCTION("""COMPUTED_VALUE"""),"Retro-classic")</f>
        <v>Retro-classic</v>
      </c>
      <c r="J31" s="1" t="str">
        <f>IFERROR(__xludf.DUMMYFUNCTION("""COMPUTED_VALUE"""),"Open")</f>
        <v>Open</v>
      </c>
      <c r="K31" s="1" t="s">
        <v>32</v>
      </c>
      <c r="L31" s="2">
        <v>40.8296426</v>
      </c>
      <c r="M31" s="2">
        <v>-73.9261745</v>
      </c>
    </row>
  </sheetData>
  <drawing r:id="rId2"/>
  <legacyDrawing r:id="rId3"/>
</worksheet>
</file>