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defaultThemeVersion="124226"/>
  <mc:AlternateContent xmlns:mc="http://schemas.openxmlformats.org/markup-compatibility/2006">
    <mc:Choice Requires="x15">
      <x15ac:absPath xmlns:x15ac="http://schemas.microsoft.com/office/spreadsheetml/2010/11/ac" url="/Users/davidshadoff/Documents/media/MyFiles/Personal/other/"/>
    </mc:Choice>
  </mc:AlternateContent>
  <xr:revisionPtr revIDLastSave="0" documentId="13_ncr:1_{80AF0E71-6FFB-4149-902F-03D3B22B93A6}" xr6:coauthVersionLast="38" xr6:coauthVersionMax="38" xr10:uidLastSave="{00000000-0000-0000-0000-000000000000}"/>
  <bookViews>
    <workbookView xWindow="1000" yWindow="460" windowWidth="31180" windowHeight="18200" xr2:uid="{00000000-000D-0000-FFFF-FFFF00000000}"/>
  </bookViews>
  <sheets>
    <sheet name="Seek Requirements" sheetId="5" r:id="rId1"/>
    <sheet name="Tables of values" sheetId="6" r:id="rId2"/>
  </sheets>
  <calcPr calcId="179021"/>
</workbook>
</file>

<file path=xl/calcChain.xml><?xml version="1.0" encoding="utf-8"?>
<calcChain xmlns="http://schemas.openxmlformats.org/spreadsheetml/2006/main">
  <c r="B36" i="6" l="1"/>
  <c r="B37" i="6" s="1"/>
  <c r="B38" i="6" s="1"/>
  <c r="B39" i="6" s="1"/>
  <c r="B40" i="6" s="1"/>
  <c r="B41" i="6" s="1"/>
  <c r="B42" i="6" s="1"/>
  <c r="B43" i="6" s="1"/>
  <c r="B44" i="6" s="1"/>
  <c r="B45" i="6" s="1"/>
  <c r="B46" i="6" s="1"/>
  <c r="B47" i="6" s="1"/>
  <c r="B48" i="6" s="1"/>
  <c r="G35" i="6"/>
  <c r="B15" i="6"/>
  <c r="B16" i="6" s="1"/>
  <c r="B18" i="6"/>
  <c r="I10" i="6"/>
  <c r="N17" i="6"/>
  <c r="I12" i="6"/>
  <c r="I20" i="6" s="1"/>
  <c r="N20" i="6" s="1"/>
  <c r="B14" i="6"/>
  <c r="I11" i="6"/>
  <c r="I19" i="6" s="1"/>
  <c r="N19" i="6" s="1"/>
  <c r="F48" i="6" l="1"/>
  <c r="E35" i="6"/>
  <c r="C35" i="6"/>
  <c r="L35" i="6" s="1"/>
  <c r="M35" i="6" s="1"/>
  <c r="K12" i="6"/>
  <c r="F35" i="6" l="1"/>
  <c r="C36" i="6"/>
  <c r="L36" i="6" s="1"/>
  <c r="M36" i="6" s="1"/>
  <c r="H35" i="6" l="1"/>
  <c r="E36" i="6"/>
  <c r="C37" i="6"/>
  <c r="L37" i="6" s="1"/>
  <c r="M37" i="6" s="1"/>
  <c r="F36" i="6"/>
  <c r="E37" i="6" l="1"/>
  <c r="H36" i="6"/>
  <c r="G36" i="6"/>
  <c r="I35" i="6"/>
  <c r="J35" i="6"/>
  <c r="C38" i="6"/>
  <c r="L38" i="6" s="1"/>
  <c r="M38" i="6" s="1"/>
  <c r="F37" i="6"/>
  <c r="E38" i="6" l="1"/>
  <c r="H37" i="6"/>
  <c r="K35" i="6"/>
  <c r="D36" i="6"/>
  <c r="J36" i="6"/>
  <c r="K36" i="6" s="1"/>
  <c r="G37" i="6"/>
  <c r="I36" i="6"/>
  <c r="F38" i="6"/>
  <c r="C39" i="6"/>
  <c r="L39" i="6" s="1"/>
  <c r="M39" i="6" s="1"/>
  <c r="H38" i="6" l="1"/>
  <c r="E39" i="6"/>
  <c r="D37" i="6"/>
  <c r="G38" i="6"/>
  <c r="J37" i="6"/>
  <c r="K37" i="6" s="1"/>
  <c r="I37" i="6"/>
  <c r="C40" i="6"/>
  <c r="L40" i="6" s="1"/>
  <c r="M40" i="6" s="1"/>
  <c r="F39" i="6"/>
  <c r="E40" i="6" l="1"/>
  <c r="H39" i="6"/>
  <c r="I38" i="6"/>
  <c r="G39" i="6"/>
  <c r="D38" i="6"/>
  <c r="J38" i="6" s="1"/>
  <c r="K38" i="6" s="1"/>
  <c r="F40" i="6"/>
  <c r="C41" i="6"/>
  <c r="L41" i="6" s="1"/>
  <c r="M41" i="6" s="1"/>
  <c r="E41" i="6" l="1"/>
  <c r="H40" i="6"/>
  <c r="G40" i="6"/>
  <c r="I39" i="6"/>
  <c r="D39" i="6"/>
  <c r="J39" i="6" s="1"/>
  <c r="K39" i="6" s="1"/>
  <c r="F41" i="6"/>
  <c r="C42" i="6"/>
  <c r="L42" i="6" s="1"/>
  <c r="M42" i="6" s="1"/>
  <c r="E42" i="6" l="1"/>
  <c r="H41" i="6"/>
  <c r="G41" i="6"/>
  <c r="I40" i="6"/>
  <c r="D40" i="6"/>
  <c r="J40" i="6" s="1"/>
  <c r="K40" i="6" s="1"/>
  <c r="C43" i="6"/>
  <c r="L43" i="6" s="1"/>
  <c r="M43" i="6" s="1"/>
  <c r="F42" i="6"/>
  <c r="E43" i="6" l="1"/>
  <c r="H42" i="6"/>
  <c r="G42" i="6"/>
  <c r="I41" i="6"/>
  <c r="D41" i="6"/>
  <c r="J41" i="6" s="1"/>
  <c r="K41" i="6" s="1"/>
  <c r="C44" i="6"/>
  <c r="L44" i="6" s="1"/>
  <c r="M44" i="6" s="1"/>
  <c r="F43" i="6"/>
  <c r="H43" i="6" l="1"/>
  <c r="E44" i="6"/>
  <c r="I42" i="6"/>
  <c r="G43" i="6"/>
  <c r="D42" i="6"/>
  <c r="J42" i="6" s="1"/>
  <c r="K42" i="6" s="1"/>
  <c r="C45" i="6"/>
  <c r="L45" i="6" s="1"/>
  <c r="M45" i="6" s="1"/>
  <c r="F44" i="6"/>
  <c r="E45" i="6" l="1"/>
  <c r="H44" i="6"/>
  <c r="G44" i="6"/>
  <c r="I43" i="6"/>
  <c r="D43" i="6"/>
  <c r="J43" i="6" s="1"/>
  <c r="K43" i="6" s="1"/>
  <c r="C46" i="6"/>
  <c r="L46" i="6" s="1"/>
  <c r="M46" i="6" s="1"/>
  <c r="F45" i="6"/>
  <c r="H45" i="6" l="1"/>
  <c r="E46" i="6"/>
  <c r="I44" i="6"/>
  <c r="G45" i="6"/>
  <c r="D44" i="6"/>
  <c r="J44" i="6" s="1"/>
  <c r="K44" i="6" s="1"/>
  <c r="C47" i="6"/>
  <c r="L47" i="6" s="1"/>
  <c r="M47" i="6" s="1"/>
  <c r="F46" i="6"/>
  <c r="H46" i="6" l="1"/>
  <c r="E47" i="6"/>
  <c r="I45" i="6"/>
  <c r="G46" i="6"/>
  <c r="D45" i="6"/>
  <c r="J45" i="6" s="1"/>
  <c r="K45" i="6" s="1"/>
  <c r="F47" i="6"/>
  <c r="C48" i="6"/>
  <c r="H48" i="6" l="1"/>
  <c r="L48" i="6"/>
  <c r="M48" i="6" s="1"/>
  <c r="E48" i="6"/>
  <c r="H47" i="6"/>
  <c r="I46" i="6"/>
  <c r="G47" i="6"/>
  <c r="D46" i="6"/>
  <c r="J46" i="6" s="1"/>
  <c r="K46" i="6" s="1"/>
  <c r="I47" i="6" l="1"/>
  <c r="G48" i="6"/>
  <c r="D47" i="6"/>
  <c r="J47" i="6" s="1"/>
  <c r="K47" i="6" s="1"/>
  <c r="I48" i="6" l="1"/>
  <c r="D48" i="6"/>
  <c r="J48" i="6" s="1"/>
  <c r="K48" i="6" s="1"/>
</calcChain>
</file>

<file path=xl/sharedStrings.xml><?xml version="1.0" encoding="utf-8"?>
<sst xmlns="http://schemas.openxmlformats.org/spreadsheetml/2006/main" count="187" uniqueCount="154">
  <si>
    <t>Seek Requirements</t>
  </si>
  <si>
    <t>Game</t>
  </si>
  <si>
    <t>Seek from</t>
  </si>
  <si>
    <t>Seek to</t>
  </si>
  <si>
    <t>Minimum required time (Technical problem)</t>
  </si>
  <si>
    <t>Appropriate Time (synchronization only)</t>
  </si>
  <si>
    <t>Real System
Measured time</t>
  </si>
  <si>
    <t>Comment</t>
  </si>
  <si>
    <t>De Ja (freeze) (issue 88)</t>
  </si>
  <si>
    <t>Gulliver Boy noise (issue 4)</t>
  </si>
  <si>
    <t>Travellers Densetsu delays (issue 90)</t>
  </si>
  <si>
    <t>Super Daisenryaku bad sprite &amp; ADPCM data(issue 92)</t>
  </si>
  <si>
    <t>Yami no Ketsuzoku video noise (issue 93)</t>
  </si>
  <si>
    <t>Category 2 (non-zero minimum delay)</t>
  </si>
  <si>
    <t>Category 3 (short seek needed; 1 rotation not enough)</t>
  </si>
  <si>
    <t>Category 4 (all other seek times)</t>
  </si>
  <si>
    <t>Downtown Nekketsu Monogatari ADPCM doesn't stop (issue 73)</t>
  </si>
  <si>
    <t>Double Dragon II ADPCM stops early</t>
  </si>
  <si>
    <t>F1 Team Simulation ADPCM doesn't stop (issue 89)</t>
  </si>
  <si>
    <t>Brandish noise ADPCM plays noise (issue 60) (either category 3 or 4)</t>
  </si>
  <si>
    <t>Mugen Senshi Valis desyncrhronization (issue 18)</t>
  </si>
  <si>
    <t>Could not replicate on Mednanfen, even with minimal delay</t>
  </si>
  <si>
    <t>Offset amount</t>
  </si>
  <si>
    <t>7 VSYNC
(117 milliseconds)</t>
  </si>
  <si>
    <t>18 VSYNCs
(300 milliseconds)</t>
  </si>
  <si>
    <t>0x0B8E</t>
  </si>
  <si>
    <t>Somewhere between
0x9329 and
0xBA6D</t>
  </si>
  <si>
    <t>at least
0x879B</t>
  </si>
  <si>
    <t>51-52 VSYNC
(850 milliseconds)</t>
  </si>
  <si>
    <t>0x223A</t>
  </si>
  <si>
    <t>0x2150</t>
  </si>
  <si>
    <t>16-24 VSYNC, avg 19
(266-400, avg 316ms)</t>
  </si>
  <si>
    <t>Actually I found that the original head position was incorrect because I didn't see the CD read to ADPCM memory.
I also adjusted sector numbers; these are LBA, not offset from track start.</t>
  </si>
  <si>
    <t>8 VSYNC
(133 milliseconds)</t>
  </si>
  <si>
    <t>0x0E31</t>
  </si>
  <si>
    <t>0x0E41</t>
  </si>
  <si>
    <t>0x0010</t>
  </si>
  <si>
    <t>0x00EA</t>
  </si>
  <si>
    <t>10-20 VSYNC, avg 16
(166-333, avg 267 ms)</t>
  </si>
  <si>
    <t>Four CD reads take place while ADPCM is playing.  The last one reads to ADPCM.  The problem is not the individual seek time, but the total time of all seek + read operations before the ADPCM read.  All reads are near each other on disc, so seek time would be similar.</t>
  </si>
  <si>
    <t>0x229F</t>
  </si>
  <si>
    <t>0x2287</t>
  </si>
  <si>
    <t>0x0018</t>
  </si>
  <si>
    <t>16-20 VSYNCs, avg 19
(316 milliseconds)</t>
  </si>
  <si>
    <t>19.2 VSYNCs
(320 milliseconds)
(Issue happened with 306 millisecond delay)</t>
  </si>
  <si>
    <t>0x1608</t>
  </si>
  <si>
    <t>0x2E3E2</t>
  </si>
  <si>
    <t>0x0E92</t>
  </si>
  <si>
    <t>0x2A40</t>
  </si>
  <si>
    <t>0x1BAE</t>
  </si>
  <si>
    <t>30-39 VSYNC, avg 35
(500-650, avg 583 ms)</t>
  </si>
  <si>
    <t>30 VSYNCs
(500 milliseconds)</t>
  </si>
  <si>
    <t>0x2CDDA</t>
  </si>
  <si>
    <t>83-100 VSYNC, avg 93
1,383-1,666, avg 1,550 ms)</t>
  </si>
  <si>
    <t>Actually, this is not related to head seek time; it is a CD-DA playback issue (like Valis II).</t>
  </si>
  <si>
    <t>Values between 93 and 104 VSYNC seem to be good
(1,550-1,733 ms)</t>
  </si>
  <si>
    <t>Calculated Tables:</t>
  </si>
  <si>
    <t>Super Darius CD-DA plays before ADPCM completes</t>
  </si>
  <si>
    <t>Cosmic Fantasy Visual Collection ADPCM stops early (issue 82)</t>
  </si>
  <si>
    <t>Could not replicate sprite issue on Mednafen, even with minimal delay.  Also, although I could induce ADPCM noise, it was not at the same point in the visual scene.</t>
  </si>
  <si>
    <t>Actually I found that the problem head movement starts from audio playback (track 9, between 08:24:23 and 10:38:25) to a data read at sector 0x0B8E</t>
  </si>
  <si>
    <t>Ther are 6 reads in a block; two of them are to ADPCM memory.  This also seems to be the same as F1 Team Simulation; after starting to play ADPCM, multiple CDROM reads occur: the final one loads into ADPCM.  The total time is the problem.  In this case, all of the reads are near each other on the disc, so seek time should be similar (and average seek time is used).
**NOTE: This timing is so tight that I thought a real may be able to see this problem... so I tested on a real machine, and saw the problem there too.</t>
  </si>
  <si>
    <t>Assumptions:</t>
  </si>
  <si>
    <t>Innermost usable radius</t>
  </si>
  <si>
    <t>Outermost usable radius</t>
  </si>
  <si>
    <t>(I have seen figures between 495 and 530)</t>
  </si>
  <si>
    <t>rpm</t>
  </si>
  <si>
    <t>micrometers</t>
  </si>
  <si>
    <t>millimeters</t>
  </si>
  <si>
    <t>meters per second</t>
  </si>
  <si>
    <t>(I have seen numbers between 1.2 and 1.4)</t>
  </si>
  <si>
    <t>(I have seen figures between 200 and 212)</t>
  </si>
  <si>
    <t>PI constant</t>
  </si>
  <si>
    <t>Circumference:</t>
  </si>
  <si>
    <t>mm</t>
  </si>
  <si>
    <t>linear speed per second:</t>
  </si>
  <si>
    <t>mm/s</t>
  </si>
  <si>
    <t>➔</t>
  </si>
  <si>
    <t>minutes</t>
  </si>
  <si>
    <t>length of 1 sector:</t>
  </si>
  <si>
    <t>meters</t>
  </si>
  <si>
    <t>seconds/minute</t>
  </si>
  <si>
    <t>sectors/second</t>
  </si>
  <si>
    <t>Legend:</t>
  </si>
  <si>
    <t>Length of CD</t>
  </si>
  <si>
    <t>Seconds per minute</t>
  </si>
  <si>
    <t>Sectors per second</t>
  </si>
  <si>
    <t>Inter-track pitch</t>
  </si>
  <si>
    <t>Number of tracks in spiral</t>
  </si>
  <si>
    <t>Total length of spiral (based on area)</t>
  </si>
  <si>
    <t>Sector length (linear)</t>
  </si>
  <si>
    <t>Constant linear velocity</t>
  </si>
  <si>
    <t>Length of spiral based on linear velocity</t>
  </si>
  <si>
    <t>Rotational speed (inner)</t>
  </si>
  <si>
    <t>Rotational speed (outer)</t>
  </si>
  <si>
    <t>Constants</t>
  </si>
  <si>
    <t>No background color:</t>
  </si>
  <si>
    <t>Orange backgroud:</t>
  </si>
  <si>
    <t>Green Background:</t>
  </si>
  <si>
    <t>Calculated values</t>
  </si>
  <si>
    <t>Hand-adjusted values</t>
  </si>
  <si>
    <t>Start Sector #</t>
  </si>
  <si>
    <t># Tracks in Range</t>
  </si>
  <si>
    <t>End of range
(sectors per track)</t>
  </si>
  <si>
    <t># Sectors in Range</t>
  </si>
  <si>
    <t>Total sectors per disc:</t>
  </si>
  <si>
    <t>Start of range (sectors per track)</t>
  </si>
  <si>
    <t>-- Intermediate Calculations --</t>
  </si>
  <si>
    <t>** I adjusted to be within 0.1% or so</t>
  </si>
  <si>
    <t>Track size/distance table:</t>
  </si>
  <si>
    <t>Radius from center - Start (mm)</t>
  </si>
  <si>
    <t>Radius from center - End (mm)</t>
  </si>
  <si>
    <t>Head speed table:</t>
  </si>
  <si>
    <t>Array Index</t>
  </si>
  <si>
    <t>End
Sector #</t>
  </si>
  <si>
    <t>Sectors per revolution</t>
  </si>
  <si>
    <t>Rotation period (ms)</t>
  </si>
  <si>
    <t>Rotation period (VSYNC)</t>
  </si>
  <si>
    <t>Phase</t>
  </si>
  <si>
    <t>Top Speed</t>
  </si>
  <si>
    <t>use 9 VSYNCs</t>
  </si>
  <si>
    <t>plus</t>
  </si>
  <si>
    <t>use 16 VSYNCs</t>
  </si>
  <si>
    <t>0.5 rotation</t>
  </si>
  <si>
    <t>Seek distance
Lower Limit</t>
  </si>
  <si>
    <t>Seek Distance
Upper Limit</t>
  </si>
  <si>
    <t>5 sectors</t>
  </si>
  <si>
    <t>end</t>
  </si>
  <si>
    <t>644 tracks</t>
  </si>
  <si>
    <t>use 22 VSYNCs</t>
  </si>
  <si>
    <t>80 tracks</t>
  </si>
  <si>
    <t>160 tracks</t>
  </si>
  <si>
    <t>81 tracks</t>
  </si>
  <si>
    <t>161 tracks</t>
  </si>
  <si>
    <t>After this point, rotation period is less important</t>
  </si>
  <si>
    <t>use 22 VSYNCS</t>
  </si>
  <si>
    <t>Low speed</t>
  </si>
  <si>
    <t>Fine-Tune 1</t>
  </si>
  <si>
    <t>Fine-Tune 2</t>
  </si>
  <si>
    <t>Focus</t>
  </si>
  <si>
    <t>Apply how much time</t>
  </si>
  <si>
    <t>plus 1 VSYNC per 80 tracks (beyond 161)</t>
  </si>
  <si>
    <t>plus 1 VSYNC per 214 tracks (beyond 644)</t>
  </si>
  <si>
    <t>use 36 VSYNCs</t>
  </si>
  <si>
    <t>Calculated Time (using algorithm)</t>
  </si>
  <si>
    <t>93.8 VSYNC
(1563.1 ms)</t>
  </si>
  <si>
    <t>36.3 VSYNC
(605 ms)</t>
  </si>
  <si>
    <t>20 VSYNC
(332.7 ms)</t>
  </si>
  <si>
    <t>47.9 VSYNC
(798 ms)</t>
  </si>
  <si>
    <t>use 3 VSYNCs</t>
  </si>
  <si>
    <t>HuVideo</t>
  </si>
  <si>
    <t>6 sectors</t>
  </si>
  <si>
    <t>1 sector</t>
  </si>
  <si>
    <t>2 sectors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</si>
</sst>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4"/>
      <color theme="1"/>
      <name val="Calibri"/>
      <family val="2"/>
      <scheme val="minor"/>
    </font>
    <font>
      <u/>
      <sz val="16"/>
      <color theme="1"/>
      <name val="Calibri"/>
      <family val="2"/>
      <scheme val="minor"/>
    </font>
    <font>
      <u/>
      <sz val="11"/>
      <color theme="1"/>
      <name val="Calibri"/>
      <family val="2"/>
      <scheme val="minor"/>
    </font>
    <font>
      <b/>
      <u/>
      <sz val="14"/>
      <color theme="1"/>
      <name val="Calibri"/>
      <family val="2"/>
      <scheme val="minor"/>
    </font>
    <font>
      <sz val="11"/>
      <color theme="1"/>
      <name val="Arial"/>
      <family val="2"/>
    </font>
    <font>
      <b/>
      <u/>
      <sz val="18"/>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0" xfId="0" applyAlignment="1">
      <alignment wrapText="1"/>
    </xf>
    <xf numFmtId="0" fontId="2" fillId="0" borderId="0" xfId="0" applyFont="1"/>
    <xf numFmtId="0" fontId="3" fillId="0" borderId="0" xfId="0" applyFont="1"/>
    <xf numFmtId="0" fontId="1" fillId="0" borderId="0" xfId="0" applyFont="1"/>
    <xf numFmtId="0" fontId="0" fillId="0" borderId="2" xfId="0" applyBorder="1"/>
    <xf numFmtId="0" fontId="0" fillId="0" borderId="0" xfId="0" applyAlignment="1">
      <alignment horizontal="left" indent="1"/>
    </xf>
    <xf numFmtId="0" fontId="1" fillId="2" borderId="0" xfId="0" applyFont="1" applyFill="1"/>
    <xf numFmtId="0" fontId="1" fillId="2" borderId="0" xfId="0" applyFont="1" applyFill="1" applyAlignment="1">
      <alignment wrapText="1"/>
    </xf>
    <xf numFmtId="0" fontId="4" fillId="0" borderId="0" xfId="0" applyFont="1" applyAlignment="1">
      <alignment horizontal="left"/>
    </xf>
    <xf numFmtId="0" fontId="4" fillId="0" borderId="0" xfId="0" applyFont="1"/>
    <xf numFmtId="0" fontId="0" fillId="3" borderId="0" xfId="0" applyFill="1"/>
    <xf numFmtId="0" fontId="0" fillId="0" borderId="0" xfId="0" applyFill="1"/>
    <xf numFmtId="0" fontId="0" fillId="3" borderId="1" xfId="0" applyFill="1" applyBorder="1" applyAlignment="1">
      <alignment wrapText="1"/>
    </xf>
    <xf numFmtId="0" fontId="5" fillId="0" borderId="0" xfId="0" quotePrefix="1" applyFont="1" applyAlignment="1">
      <alignment horizontal="center" wrapText="1"/>
    </xf>
    <xf numFmtId="0" fontId="0" fillId="4" borderId="0" xfId="0" applyFill="1"/>
    <xf numFmtId="0" fontId="0" fillId="0" borderId="0" xfId="0" applyAlignment="1">
      <alignment horizontal="left" indent="2"/>
    </xf>
    <xf numFmtId="0" fontId="0" fillId="4" borderId="0" xfId="0" applyFill="1" applyAlignment="1">
      <alignment horizontal="left" indent="2"/>
    </xf>
    <xf numFmtId="0" fontId="0" fillId="3" borderId="0" xfId="0" applyFill="1" applyAlignment="1">
      <alignment horizontal="left" indent="2"/>
    </xf>
    <xf numFmtId="0" fontId="6" fillId="0" borderId="0" xfId="0" applyFont="1"/>
    <xf numFmtId="0" fontId="0" fillId="0" borderId="3" xfId="0" applyBorder="1"/>
    <xf numFmtId="0" fontId="0" fillId="0" borderId="4" xfId="0" applyBorder="1"/>
    <xf numFmtId="0" fontId="0" fillId="0" borderId="5" xfId="0" applyBorder="1"/>
    <xf numFmtId="0" fontId="0" fillId="0" borderId="8" xfId="0" applyBorder="1"/>
    <xf numFmtId="0" fontId="1" fillId="0" borderId="9" xfId="0" applyFont="1" applyBorder="1"/>
    <xf numFmtId="0" fontId="0" fillId="2" borderId="1" xfId="0" applyFill="1" applyBorder="1" applyAlignment="1">
      <alignment wrapText="1"/>
    </xf>
    <xf numFmtId="0" fontId="0" fillId="2" borderId="10" xfId="0" applyFill="1" applyBorder="1" applyAlignment="1">
      <alignment wrapText="1"/>
    </xf>
    <xf numFmtId="0" fontId="1" fillId="0" borderId="9" xfId="0" applyFont="1" applyBorder="1" applyAlignment="1">
      <alignment wrapText="1"/>
    </xf>
    <xf numFmtId="0" fontId="0" fillId="0" borderId="11" xfId="0" applyBorder="1"/>
    <xf numFmtId="0" fontId="0" fillId="0" borderId="0" xfId="0" applyBorder="1"/>
    <xf numFmtId="0" fontId="0" fillId="0" borderId="12" xfId="0" applyBorder="1"/>
    <xf numFmtId="0" fontId="0" fillId="0" borderId="6" xfId="0" applyBorder="1"/>
    <xf numFmtId="0" fontId="0" fillId="0" borderId="7" xfId="0" applyBorder="1"/>
    <xf numFmtId="0" fontId="0" fillId="0" borderId="13" xfId="0" applyBorder="1"/>
    <xf numFmtId="0" fontId="0" fillId="0" borderId="9" xfId="0" applyBorder="1"/>
    <xf numFmtId="164" fontId="0" fillId="2" borderId="8" xfId="0" applyNumberFormat="1" applyFill="1" applyBorder="1"/>
    <xf numFmtId="0" fontId="0" fillId="2" borderId="13" xfId="0" applyFill="1" applyBorder="1"/>
    <xf numFmtId="0" fontId="0" fillId="2" borderId="9" xfId="0" applyFill="1" applyBorder="1"/>
    <xf numFmtId="0" fontId="0" fillId="2" borderId="8" xfId="0" applyFill="1" applyBorder="1"/>
    <xf numFmtId="164" fontId="0" fillId="2" borderId="9" xfId="0" applyNumberFormat="1" applyFill="1" applyBorder="1" applyAlignment="1"/>
    <xf numFmtId="0" fontId="1" fillId="0" borderId="1" xfId="0" applyFont="1" applyBorder="1" applyAlignment="1">
      <alignment wrapText="1"/>
    </xf>
    <xf numFmtId="0" fontId="0" fillId="2" borderId="10" xfId="0" quotePrefix="1" applyFill="1" applyBorder="1" applyAlignment="1">
      <alignment horizontal="center"/>
    </xf>
    <xf numFmtId="0" fontId="0" fillId="2" borderId="14" xfId="0" quotePrefix="1" applyFill="1" applyBorder="1" applyAlignment="1">
      <alignment horizontal="center"/>
    </xf>
    <xf numFmtId="0" fontId="0" fillId="2" borderId="15" xfId="0" quotePrefix="1" applyFill="1" applyBorder="1" applyAlignment="1">
      <alignment horizontal="center"/>
    </xf>
    <xf numFmtId="0" fontId="1" fillId="0" borderId="10" xfId="0" applyFont="1" applyBorder="1" applyAlignment="1">
      <alignment horizontal="center" wrapText="1"/>
    </xf>
    <xf numFmtId="0" fontId="1" fillId="0" borderId="14" xfId="0" applyFont="1" applyBorder="1" applyAlignment="1">
      <alignment horizontal="center" wrapText="1"/>
    </xf>
    <xf numFmtId="0" fontId="1" fillId="0" borderId="15" xfId="0" applyFont="1" applyBorder="1" applyAlignment="1">
      <alignment horizontal="center" wrapText="1"/>
    </xf>
    <xf numFmtId="0" fontId="1" fillId="0" borderId="10"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F3E28-67D0-4B4C-8568-41982F168341}">
  <dimension ref="A3:I27"/>
  <sheetViews>
    <sheetView tabSelected="1" workbookViewId="0">
      <pane ySplit="5" topLeftCell="A6" activePane="bottomLeft" state="frozen"/>
      <selection pane="bottomLeft" activeCell="I19" sqref="I19"/>
    </sheetView>
  </sheetViews>
  <sheetFormatPr baseColWidth="10" defaultRowHeight="15" x14ac:dyDescent="0.2"/>
  <cols>
    <col min="1" max="1" width="67.5" customWidth="1"/>
    <col min="2" max="2" width="52.5" customWidth="1"/>
    <col min="5" max="5" width="15.1640625" customWidth="1"/>
    <col min="6" max="6" width="23.1640625" customWidth="1"/>
    <col min="7" max="7" width="22.5" customWidth="1"/>
    <col min="8" max="8" width="22.83203125" customWidth="1"/>
    <col min="9" max="9" width="17.33203125" customWidth="1"/>
  </cols>
  <sheetData>
    <row r="3" spans="1:9" ht="21" x14ac:dyDescent="0.25">
      <c r="F3" s="2" t="s">
        <v>0</v>
      </c>
      <c r="G3" s="3"/>
    </row>
    <row r="5" spans="1:9" ht="60" x14ac:dyDescent="0.25">
      <c r="A5" s="7" t="s">
        <v>1</v>
      </c>
      <c r="B5" s="7" t="s">
        <v>7</v>
      </c>
      <c r="C5" s="7" t="s">
        <v>2</v>
      </c>
      <c r="D5" s="7" t="s">
        <v>3</v>
      </c>
      <c r="E5" s="7" t="s">
        <v>22</v>
      </c>
      <c r="F5" s="8" t="s">
        <v>4</v>
      </c>
      <c r="G5" s="8" t="s">
        <v>5</v>
      </c>
      <c r="H5" s="8" t="s">
        <v>6</v>
      </c>
      <c r="I5" s="8" t="s">
        <v>144</v>
      </c>
    </row>
    <row r="6" spans="1:9" x14ac:dyDescent="0.2">
      <c r="F6" s="1"/>
      <c r="G6" s="1"/>
      <c r="H6" s="1"/>
    </row>
    <row r="7" spans="1:9" ht="19" x14ac:dyDescent="0.25">
      <c r="A7" s="10" t="s">
        <v>13</v>
      </c>
      <c r="B7" s="1"/>
      <c r="F7" s="1"/>
      <c r="G7" s="1"/>
      <c r="H7" s="1"/>
    </row>
    <row r="8" spans="1:9" ht="16" x14ac:dyDescent="0.2">
      <c r="A8" s="6" t="s">
        <v>8</v>
      </c>
      <c r="B8" s="1" t="s">
        <v>21</v>
      </c>
    </row>
    <row r="9" spans="1:9" ht="16" x14ac:dyDescent="0.2">
      <c r="A9" s="6" t="s">
        <v>9</v>
      </c>
      <c r="B9" s="1" t="s">
        <v>21</v>
      </c>
    </row>
    <row r="10" spans="1:9" ht="16" x14ac:dyDescent="0.2">
      <c r="A10" s="6" t="s">
        <v>10</v>
      </c>
      <c r="B10" s="1" t="s">
        <v>21</v>
      </c>
    </row>
    <row r="11" spans="1:9" ht="48" x14ac:dyDescent="0.2">
      <c r="A11" s="6" t="s">
        <v>11</v>
      </c>
      <c r="B11" s="1" t="s">
        <v>59</v>
      </c>
    </row>
    <row r="12" spans="1:9" ht="16" x14ac:dyDescent="0.2">
      <c r="A12" s="6" t="s">
        <v>12</v>
      </c>
      <c r="B12" s="1" t="s">
        <v>21</v>
      </c>
    </row>
    <row r="13" spans="1:9" x14ac:dyDescent="0.2">
      <c r="A13" s="6"/>
      <c r="B13" s="1"/>
    </row>
    <row r="14" spans="1:9" x14ac:dyDescent="0.2">
      <c r="B14" s="1"/>
    </row>
    <row r="15" spans="1:9" ht="19" x14ac:dyDescent="0.25">
      <c r="A15" s="9" t="s">
        <v>14</v>
      </c>
      <c r="B15" s="1"/>
    </row>
    <row r="16" spans="1:9" ht="64" x14ac:dyDescent="0.2">
      <c r="A16" s="6" t="s">
        <v>16</v>
      </c>
      <c r="B16" s="1" t="s">
        <v>60</v>
      </c>
      <c r="C16" s="1" t="s">
        <v>26</v>
      </c>
      <c r="D16" t="s">
        <v>25</v>
      </c>
      <c r="E16" s="1" t="s">
        <v>27</v>
      </c>
      <c r="F16" s="13" t="s">
        <v>23</v>
      </c>
      <c r="H16" s="13" t="s">
        <v>28</v>
      </c>
      <c r="I16" s="1" t="s">
        <v>148</v>
      </c>
    </row>
    <row r="17" spans="1:9" ht="64" x14ac:dyDescent="0.2">
      <c r="A17" s="6" t="s">
        <v>17</v>
      </c>
      <c r="B17" s="1" t="s">
        <v>32</v>
      </c>
      <c r="C17" t="s">
        <v>29</v>
      </c>
      <c r="D17" t="s">
        <v>30</v>
      </c>
      <c r="E17" t="s">
        <v>37</v>
      </c>
      <c r="F17" s="13" t="s">
        <v>24</v>
      </c>
      <c r="H17" s="13" t="s">
        <v>31</v>
      </c>
      <c r="I17" s="1" t="s">
        <v>147</v>
      </c>
    </row>
    <row r="18" spans="1:9" ht="64" x14ac:dyDescent="0.2">
      <c r="A18" s="6" t="s">
        <v>18</v>
      </c>
      <c r="B18" s="1" t="s">
        <v>39</v>
      </c>
      <c r="C18" t="s">
        <v>34</v>
      </c>
      <c r="D18" t="s">
        <v>35</v>
      </c>
      <c r="E18" t="s">
        <v>36</v>
      </c>
      <c r="F18" s="13" t="s">
        <v>33</v>
      </c>
      <c r="H18" s="13" t="s">
        <v>38</v>
      </c>
      <c r="I18" s="1" t="s">
        <v>147</v>
      </c>
    </row>
    <row r="19" spans="1:9" ht="160" x14ac:dyDescent="0.2">
      <c r="A19" s="6" t="s">
        <v>19</v>
      </c>
      <c r="B19" s="1" t="s">
        <v>61</v>
      </c>
      <c r="C19" t="s">
        <v>40</v>
      </c>
      <c r="D19" t="s">
        <v>41</v>
      </c>
      <c r="E19" t="s">
        <v>42</v>
      </c>
      <c r="F19" s="13" t="s">
        <v>44</v>
      </c>
      <c r="H19" s="13" t="s">
        <v>43</v>
      </c>
      <c r="I19" s="1" t="s">
        <v>147</v>
      </c>
    </row>
    <row r="20" spans="1:9" x14ac:dyDescent="0.2">
      <c r="A20" s="6"/>
      <c r="B20" s="1"/>
      <c r="F20" s="12"/>
    </row>
    <row r="21" spans="1:9" x14ac:dyDescent="0.2">
      <c r="B21" s="1"/>
    </row>
    <row r="22" spans="1:9" ht="19" x14ac:dyDescent="0.25">
      <c r="A22" s="9" t="s">
        <v>15</v>
      </c>
      <c r="B22" s="1"/>
    </row>
    <row r="23" spans="1:9" ht="48" x14ac:dyDescent="0.2">
      <c r="A23" s="6" t="s">
        <v>20</v>
      </c>
      <c r="B23" s="1"/>
      <c r="C23" t="s">
        <v>45</v>
      </c>
      <c r="D23" t="s">
        <v>46</v>
      </c>
      <c r="E23" t="s">
        <v>52</v>
      </c>
      <c r="G23" s="13" t="s">
        <v>55</v>
      </c>
      <c r="H23" s="13" t="s">
        <v>53</v>
      </c>
      <c r="I23" s="1" t="s">
        <v>145</v>
      </c>
    </row>
    <row r="24" spans="1:9" ht="32" x14ac:dyDescent="0.2">
      <c r="A24" s="6" t="s">
        <v>57</v>
      </c>
      <c r="B24" s="1"/>
      <c r="C24" t="s">
        <v>47</v>
      </c>
      <c r="D24" t="s">
        <v>48</v>
      </c>
      <c r="E24" t="s">
        <v>49</v>
      </c>
      <c r="G24" s="13" t="s">
        <v>51</v>
      </c>
      <c r="H24" s="13" t="s">
        <v>50</v>
      </c>
      <c r="I24" s="1" t="s">
        <v>146</v>
      </c>
    </row>
    <row r="25" spans="1:9" ht="32" x14ac:dyDescent="0.2">
      <c r="A25" s="6" t="s">
        <v>58</v>
      </c>
      <c r="B25" s="1" t="s">
        <v>54</v>
      </c>
    </row>
    <row r="26" spans="1:9" x14ac:dyDescent="0.2">
      <c r="B26" s="1"/>
    </row>
    <row r="27" spans="1:9" x14ac:dyDescent="0.2">
      <c r="B27" s="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7BBB8-959B-2E42-99FB-0BE4BF9AFE04}">
  <dimension ref="A5:O62"/>
  <sheetViews>
    <sheetView topLeftCell="A32" workbookViewId="0">
      <selection activeCell="G58" sqref="G58"/>
    </sheetView>
  </sheetViews>
  <sheetFormatPr baseColWidth="10" defaultRowHeight="15" x14ac:dyDescent="0.2"/>
  <cols>
    <col min="1" max="1" width="30.5" customWidth="1"/>
    <col min="2" max="2" width="16.83203125" customWidth="1"/>
    <col min="3" max="3" width="15.33203125" customWidth="1"/>
    <col min="4" max="4" width="14.33203125" customWidth="1"/>
    <col min="5" max="5" width="16.83203125" customWidth="1"/>
    <col min="6" max="6" width="14.33203125" customWidth="1"/>
    <col min="7" max="7" width="13.5" customWidth="1"/>
    <col min="8" max="8" width="12.5" customWidth="1"/>
    <col min="9" max="9" width="13.1640625" customWidth="1"/>
    <col min="10" max="10" width="11.33203125" customWidth="1"/>
  </cols>
  <sheetData>
    <row r="5" spans="1:11" ht="24" x14ac:dyDescent="0.3">
      <c r="A5" s="19" t="s">
        <v>62</v>
      </c>
    </row>
    <row r="7" spans="1:11" x14ac:dyDescent="0.2">
      <c r="A7" t="s">
        <v>72</v>
      </c>
      <c r="B7">
        <v>3.1415899999999999</v>
      </c>
    </row>
    <row r="8" spans="1:11" x14ac:dyDescent="0.2">
      <c r="A8" t="s">
        <v>84</v>
      </c>
      <c r="B8">
        <v>74</v>
      </c>
      <c r="C8" t="s">
        <v>78</v>
      </c>
    </row>
    <row r="9" spans="1:11" x14ac:dyDescent="0.2">
      <c r="A9" t="s">
        <v>85</v>
      </c>
      <c r="B9">
        <v>60</v>
      </c>
      <c r="C9" t="s">
        <v>81</v>
      </c>
    </row>
    <row r="10" spans="1:11" x14ac:dyDescent="0.2">
      <c r="A10" t="s">
        <v>86</v>
      </c>
      <c r="B10">
        <v>75</v>
      </c>
      <c r="C10" t="s">
        <v>82</v>
      </c>
      <c r="G10" t="s">
        <v>105</v>
      </c>
      <c r="I10">
        <f>B10*B9*B8</f>
        <v>333000</v>
      </c>
    </row>
    <row r="11" spans="1:11" ht="16" x14ac:dyDescent="0.2">
      <c r="A11" t="s">
        <v>63</v>
      </c>
      <c r="B11">
        <v>25</v>
      </c>
      <c r="C11" t="s">
        <v>68</v>
      </c>
      <c r="F11" s="14" t="s">
        <v>77</v>
      </c>
      <c r="G11" t="s">
        <v>73</v>
      </c>
      <c r="I11" s="11">
        <f>B11*2*B7</f>
        <v>157.0795</v>
      </c>
      <c r="J11" t="s">
        <v>74</v>
      </c>
    </row>
    <row r="12" spans="1:11" ht="16" x14ac:dyDescent="0.2">
      <c r="A12" t="s">
        <v>64</v>
      </c>
      <c r="B12">
        <v>58</v>
      </c>
      <c r="C12" t="s">
        <v>68</v>
      </c>
      <c r="F12" s="14" t="s">
        <v>77</v>
      </c>
      <c r="G12" t="s">
        <v>73</v>
      </c>
      <c r="I12" s="11">
        <f>B12*2*B7</f>
        <v>364.42444</v>
      </c>
      <c r="J12" t="s">
        <v>74</v>
      </c>
      <c r="K12">
        <f>I12/B16</f>
        <v>22.564731653888281</v>
      </c>
    </row>
    <row r="13" spans="1:11" x14ac:dyDescent="0.2">
      <c r="A13" t="s">
        <v>87</v>
      </c>
      <c r="B13">
        <v>1.6</v>
      </c>
      <c r="C13" t="s">
        <v>67</v>
      </c>
    </row>
    <row r="14" spans="1:11" x14ac:dyDescent="0.2">
      <c r="A14" t="s">
        <v>88</v>
      </c>
      <c r="B14" s="15">
        <f>(B12-B11)*1000/B13</f>
        <v>20625</v>
      </c>
    </row>
    <row r="15" spans="1:11" x14ac:dyDescent="0.2">
      <c r="A15" t="s">
        <v>89</v>
      </c>
      <c r="B15" s="15">
        <f>((((B12^2)*B7)-((B11^2)*B7))/B13)</f>
        <v>5378.0093812499999</v>
      </c>
      <c r="C15" t="s">
        <v>80</v>
      </c>
    </row>
    <row r="16" spans="1:11" x14ac:dyDescent="0.2">
      <c r="A16" t="s">
        <v>90</v>
      </c>
      <c r="B16" s="15">
        <f>B15/(B8*B9*B10)*1000</f>
        <v>16.150178322072072</v>
      </c>
      <c r="C16" t="s">
        <v>74</v>
      </c>
    </row>
    <row r="17" spans="1:15" ht="16" x14ac:dyDescent="0.2">
      <c r="A17" t="s">
        <v>91</v>
      </c>
      <c r="B17" s="11">
        <v>1.21</v>
      </c>
      <c r="C17" t="s">
        <v>69</v>
      </c>
      <c r="D17" t="s">
        <v>70</v>
      </c>
      <c r="K17" s="14" t="s">
        <v>77</v>
      </c>
      <c r="L17" t="s">
        <v>79</v>
      </c>
      <c r="N17" s="15">
        <f>B17/B10*1000</f>
        <v>16.133333333333333</v>
      </c>
      <c r="O17" t="s">
        <v>74</v>
      </c>
    </row>
    <row r="18" spans="1:15" x14ac:dyDescent="0.2">
      <c r="A18" t="s">
        <v>92</v>
      </c>
      <c r="B18" s="15">
        <f>B17*B9*B8</f>
        <v>5372.4</v>
      </c>
      <c r="C18" t="s">
        <v>80</v>
      </c>
    </row>
    <row r="19" spans="1:15" ht="16" x14ac:dyDescent="0.2">
      <c r="A19" t="s">
        <v>93</v>
      </c>
      <c r="B19" s="11">
        <v>463</v>
      </c>
      <c r="C19" t="s">
        <v>66</v>
      </c>
      <c r="D19" t="s">
        <v>65</v>
      </c>
      <c r="F19" s="14" t="s">
        <v>77</v>
      </c>
      <c r="G19" t="s">
        <v>75</v>
      </c>
      <c r="I19" s="15">
        <f>B19/60*I11</f>
        <v>1212.1301416666668</v>
      </c>
      <c r="J19" t="s">
        <v>76</v>
      </c>
      <c r="K19" s="14" t="s">
        <v>77</v>
      </c>
      <c r="L19" t="s">
        <v>79</v>
      </c>
      <c r="N19" s="15">
        <f>I19/B10</f>
        <v>16.161735222222223</v>
      </c>
      <c r="O19" t="s">
        <v>74</v>
      </c>
    </row>
    <row r="20" spans="1:15" ht="16" x14ac:dyDescent="0.2">
      <c r="A20" t="s">
        <v>94</v>
      </c>
      <c r="B20" s="11">
        <v>200</v>
      </c>
      <c r="C20" t="s">
        <v>66</v>
      </c>
      <c r="D20" t="s">
        <v>71</v>
      </c>
      <c r="F20" s="14" t="s">
        <v>77</v>
      </c>
      <c r="G20" t="s">
        <v>75</v>
      </c>
      <c r="I20" s="15">
        <f>B20/60*I12</f>
        <v>1214.7481333333335</v>
      </c>
      <c r="J20" t="s">
        <v>76</v>
      </c>
      <c r="K20" s="14" t="s">
        <v>77</v>
      </c>
      <c r="L20" t="s">
        <v>79</v>
      </c>
      <c r="N20" s="15">
        <f>I20/B10</f>
        <v>16.196641777777781</v>
      </c>
      <c r="O20" t="s">
        <v>74</v>
      </c>
    </row>
    <row r="22" spans="1:15" x14ac:dyDescent="0.2">
      <c r="A22" t="s">
        <v>83</v>
      </c>
    </row>
    <row r="23" spans="1:15" x14ac:dyDescent="0.2">
      <c r="A23" s="16" t="s">
        <v>96</v>
      </c>
      <c r="B23" t="s">
        <v>95</v>
      </c>
    </row>
    <row r="24" spans="1:15" x14ac:dyDescent="0.2">
      <c r="A24" s="17" t="s">
        <v>97</v>
      </c>
      <c r="B24" s="15" t="s">
        <v>99</v>
      </c>
    </row>
    <row r="25" spans="1:15" x14ac:dyDescent="0.2">
      <c r="A25" s="18" t="s">
        <v>98</v>
      </c>
      <c r="B25" s="11" t="s">
        <v>100</v>
      </c>
      <c r="C25" t="s">
        <v>108</v>
      </c>
    </row>
    <row r="29" spans="1:15" ht="24" x14ac:dyDescent="0.3">
      <c r="A29" s="19" t="s">
        <v>56</v>
      </c>
    </row>
    <row r="31" spans="1:15" ht="19" x14ac:dyDescent="0.25">
      <c r="A31" s="4" t="s">
        <v>109</v>
      </c>
    </row>
    <row r="33" spans="1:13" x14ac:dyDescent="0.2">
      <c r="B33" s="23"/>
      <c r="C33" s="23"/>
      <c r="D33" s="23"/>
      <c r="E33" s="41" t="s">
        <v>107</v>
      </c>
      <c r="F33" s="42"/>
      <c r="G33" s="42"/>
      <c r="H33" s="43"/>
      <c r="I33" s="23"/>
      <c r="J33" s="23"/>
      <c r="K33" s="23"/>
      <c r="L33" s="23"/>
      <c r="M33" s="23"/>
    </row>
    <row r="34" spans="1:13" ht="60" x14ac:dyDescent="0.25">
      <c r="A34" s="4"/>
      <c r="B34" s="24" t="s">
        <v>113</v>
      </c>
      <c r="C34" s="27" t="s">
        <v>115</v>
      </c>
      <c r="D34" s="27" t="s">
        <v>101</v>
      </c>
      <c r="E34" s="25" t="s">
        <v>106</v>
      </c>
      <c r="F34" s="25" t="s">
        <v>103</v>
      </c>
      <c r="G34" s="26" t="s">
        <v>110</v>
      </c>
      <c r="H34" s="26" t="s">
        <v>111</v>
      </c>
      <c r="I34" s="27" t="s">
        <v>102</v>
      </c>
      <c r="J34" s="27" t="s">
        <v>114</v>
      </c>
      <c r="K34" s="27" t="s">
        <v>104</v>
      </c>
      <c r="L34" s="27" t="s">
        <v>116</v>
      </c>
      <c r="M34" s="27" t="s">
        <v>117</v>
      </c>
    </row>
    <row r="35" spans="1:13" x14ac:dyDescent="0.2">
      <c r="B35" s="23">
        <v>0</v>
      </c>
      <c r="C35" s="23">
        <f>ROUND((I11/B16),0)</f>
        <v>10</v>
      </c>
      <c r="D35" s="23">
        <v>0</v>
      </c>
      <c r="E35" s="35">
        <f>(I11/B16)</f>
        <v>9.7261774370208105</v>
      </c>
      <c r="F35" s="38">
        <f t="shared" ref="F35:F47" si="0">C35+0.5</f>
        <v>10.5</v>
      </c>
      <c r="G35" s="38">
        <f>B11</f>
        <v>25</v>
      </c>
      <c r="H35" s="38">
        <f t="shared" ref="H35:H47" si="1">(F35*$B$16)/(2*$B$7)</f>
        <v>26.989020270270274</v>
      </c>
      <c r="I35" s="23">
        <f>(H35-G35)*1000/$B$13</f>
        <v>1243.137668918921</v>
      </c>
      <c r="J35" s="23">
        <f>ROUND((((H35^2)*$B$7-(G35^2)*$B$7)/$B$13)*1000/$B$16,0)+D35</f>
        <v>12572</v>
      </c>
      <c r="K35" s="23">
        <f t="shared" ref="K35:K48" si="2">J35-D35+1</f>
        <v>12573</v>
      </c>
      <c r="L35" s="23">
        <f>C35*$B$16/$B$17</f>
        <v>133.4725481162981</v>
      </c>
      <c r="M35" s="23">
        <f>L35*60/1000</f>
        <v>8.0083528869778853</v>
      </c>
    </row>
    <row r="36" spans="1:13" x14ac:dyDescent="0.2">
      <c r="B36" s="33">
        <f>B35+1</f>
        <v>1</v>
      </c>
      <c r="C36" s="33">
        <f>C35+1</f>
        <v>11</v>
      </c>
      <c r="D36" s="33">
        <f t="shared" ref="D36:D48" si="3">J35+1</f>
        <v>12573</v>
      </c>
      <c r="E36" s="36">
        <f>F35</f>
        <v>10.5</v>
      </c>
      <c r="F36" s="36">
        <f t="shared" si="0"/>
        <v>11.5</v>
      </c>
      <c r="G36" s="36">
        <f>H35</f>
        <v>26.989020270270274</v>
      </c>
      <c r="H36" s="36">
        <f t="shared" si="1"/>
        <v>29.559403153153156</v>
      </c>
      <c r="I36" s="33">
        <f>(H36-G36)*1000/$B$13</f>
        <v>1606.489301801801</v>
      </c>
      <c r="J36" s="33">
        <f>ROUND((((H36^2)*$B$7-(G36^2)*$B$7)/$B$13)*1000/$B$16,0)+D36</f>
        <v>30244</v>
      </c>
      <c r="K36" s="33">
        <f t="shared" si="2"/>
        <v>17672</v>
      </c>
      <c r="L36" s="33">
        <f>C36*$B$16/$B$17</f>
        <v>146.81980292792795</v>
      </c>
      <c r="M36" s="33">
        <f>L36*60/1000</f>
        <v>8.8091881756756774</v>
      </c>
    </row>
    <row r="37" spans="1:13" x14ac:dyDescent="0.2">
      <c r="B37" s="33">
        <f t="shared" ref="B37:B48" si="4">B36+1</f>
        <v>2</v>
      </c>
      <c r="C37" s="33">
        <f t="shared" ref="C37:C48" si="5">C36+1</f>
        <v>12</v>
      </c>
      <c r="D37" s="33">
        <f t="shared" si="3"/>
        <v>30245</v>
      </c>
      <c r="E37" s="36">
        <f t="shared" ref="E37:E48" si="6">F36</f>
        <v>11.5</v>
      </c>
      <c r="F37" s="36">
        <f t="shared" si="0"/>
        <v>12.5</v>
      </c>
      <c r="G37" s="36">
        <f t="shared" ref="G37:G48" si="7">H36</f>
        <v>29.559403153153156</v>
      </c>
      <c r="H37" s="36">
        <f t="shared" si="1"/>
        <v>32.129786036036037</v>
      </c>
      <c r="I37" s="33">
        <f t="shared" ref="I37:I47" si="8">(H37-G37)*1000/$B$13</f>
        <v>1606.489301801801</v>
      </c>
      <c r="J37" s="33">
        <f t="shared" ref="J37:J47" si="9">ROUND((((H37^2)*$B$7-(G37^2)*$B$7)/$B$13)*1000/$B$16,0)+D37</f>
        <v>49523</v>
      </c>
      <c r="K37" s="33">
        <f t="shared" si="2"/>
        <v>19279</v>
      </c>
      <c r="L37" s="33">
        <f t="shared" ref="L37:L47" si="10">C37*$B$16/$B$17</f>
        <v>160.16705773955775</v>
      </c>
      <c r="M37" s="33">
        <f t="shared" ref="M37:M47" si="11">L37*60/1000</f>
        <v>9.6100234643734659</v>
      </c>
    </row>
    <row r="38" spans="1:13" x14ac:dyDescent="0.2">
      <c r="B38" s="33">
        <f t="shared" si="4"/>
        <v>3</v>
      </c>
      <c r="C38" s="33">
        <f t="shared" si="5"/>
        <v>13</v>
      </c>
      <c r="D38" s="33">
        <f t="shared" si="3"/>
        <v>49524</v>
      </c>
      <c r="E38" s="36">
        <f t="shared" si="6"/>
        <v>12.5</v>
      </c>
      <c r="F38" s="36">
        <f t="shared" si="0"/>
        <v>13.5</v>
      </c>
      <c r="G38" s="36">
        <f t="shared" si="7"/>
        <v>32.129786036036037</v>
      </c>
      <c r="H38" s="36">
        <f t="shared" si="1"/>
        <v>34.700168918918919</v>
      </c>
      <c r="I38" s="33">
        <f t="shared" si="8"/>
        <v>1606.489301801801</v>
      </c>
      <c r="J38" s="33">
        <f t="shared" si="9"/>
        <v>70408</v>
      </c>
      <c r="K38" s="33">
        <f t="shared" si="2"/>
        <v>20885</v>
      </c>
      <c r="L38" s="33">
        <f t="shared" si="10"/>
        <v>173.51431255118754</v>
      </c>
      <c r="M38" s="33">
        <f t="shared" si="11"/>
        <v>10.410858753071253</v>
      </c>
    </row>
    <row r="39" spans="1:13" x14ac:dyDescent="0.2">
      <c r="B39" s="33">
        <f t="shared" si="4"/>
        <v>4</v>
      </c>
      <c r="C39" s="33">
        <f t="shared" si="5"/>
        <v>14</v>
      </c>
      <c r="D39" s="33">
        <f t="shared" si="3"/>
        <v>70409</v>
      </c>
      <c r="E39" s="36">
        <f t="shared" si="6"/>
        <v>13.5</v>
      </c>
      <c r="F39" s="36">
        <f t="shared" si="0"/>
        <v>14.5</v>
      </c>
      <c r="G39" s="36">
        <f t="shared" si="7"/>
        <v>34.700168918918919</v>
      </c>
      <c r="H39" s="36">
        <f t="shared" si="1"/>
        <v>37.270551801801808</v>
      </c>
      <c r="I39" s="33">
        <f t="shared" si="8"/>
        <v>1606.4893018018056</v>
      </c>
      <c r="J39" s="33">
        <f t="shared" si="9"/>
        <v>92900</v>
      </c>
      <c r="K39" s="33">
        <f t="shared" si="2"/>
        <v>22492</v>
      </c>
      <c r="L39" s="33">
        <f t="shared" si="10"/>
        <v>186.8615673628174</v>
      </c>
      <c r="M39" s="33">
        <f t="shared" si="11"/>
        <v>11.211694041769045</v>
      </c>
    </row>
    <row r="40" spans="1:13" x14ac:dyDescent="0.2">
      <c r="B40" s="33">
        <f t="shared" si="4"/>
        <v>5</v>
      </c>
      <c r="C40" s="33">
        <f t="shared" si="5"/>
        <v>15</v>
      </c>
      <c r="D40" s="33">
        <f t="shared" si="3"/>
        <v>92901</v>
      </c>
      <c r="E40" s="36">
        <f t="shared" si="6"/>
        <v>14.5</v>
      </c>
      <c r="F40" s="36">
        <f t="shared" si="0"/>
        <v>15.5</v>
      </c>
      <c r="G40" s="36">
        <f t="shared" si="7"/>
        <v>37.270551801801808</v>
      </c>
      <c r="H40" s="36">
        <f t="shared" si="1"/>
        <v>39.84093468468469</v>
      </c>
      <c r="I40" s="33">
        <f t="shared" si="8"/>
        <v>1606.489301801801</v>
      </c>
      <c r="J40" s="33">
        <f t="shared" si="9"/>
        <v>116998</v>
      </c>
      <c r="K40" s="33">
        <f t="shared" si="2"/>
        <v>24098</v>
      </c>
      <c r="L40" s="33">
        <f t="shared" si="10"/>
        <v>200.20882217444719</v>
      </c>
      <c r="M40" s="33">
        <f t="shared" si="11"/>
        <v>12.012529330466831</v>
      </c>
    </row>
    <row r="41" spans="1:13" x14ac:dyDescent="0.2">
      <c r="B41" s="33">
        <f t="shared" si="4"/>
        <v>6</v>
      </c>
      <c r="C41" s="33">
        <f t="shared" si="5"/>
        <v>16</v>
      </c>
      <c r="D41" s="33">
        <f t="shared" si="3"/>
        <v>116999</v>
      </c>
      <c r="E41" s="36">
        <f t="shared" si="6"/>
        <v>15.5</v>
      </c>
      <c r="F41" s="36">
        <f t="shared" si="0"/>
        <v>16.5</v>
      </c>
      <c r="G41" s="36">
        <f t="shared" si="7"/>
        <v>39.84093468468469</v>
      </c>
      <c r="H41" s="36">
        <f t="shared" si="1"/>
        <v>42.411317567567572</v>
      </c>
      <c r="I41" s="33">
        <f t="shared" si="8"/>
        <v>1606.489301801801</v>
      </c>
      <c r="J41" s="33">
        <f t="shared" si="9"/>
        <v>142703</v>
      </c>
      <c r="K41" s="33">
        <f t="shared" si="2"/>
        <v>25705</v>
      </c>
      <c r="L41" s="33">
        <f t="shared" si="10"/>
        <v>213.55607698607699</v>
      </c>
      <c r="M41" s="33">
        <f t="shared" si="11"/>
        <v>12.813364619164618</v>
      </c>
    </row>
    <row r="42" spans="1:13" x14ac:dyDescent="0.2">
      <c r="B42" s="33">
        <f t="shared" si="4"/>
        <v>7</v>
      </c>
      <c r="C42" s="33">
        <f t="shared" si="5"/>
        <v>17</v>
      </c>
      <c r="D42" s="33">
        <f t="shared" si="3"/>
        <v>142704</v>
      </c>
      <c r="E42" s="36">
        <f t="shared" si="6"/>
        <v>16.5</v>
      </c>
      <c r="F42" s="36">
        <f t="shared" si="0"/>
        <v>17.5</v>
      </c>
      <c r="G42" s="36">
        <f t="shared" si="7"/>
        <v>42.411317567567572</v>
      </c>
      <c r="H42" s="36">
        <f t="shared" si="1"/>
        <v>44.981700450450454</v>
      </c>
      <c r="I42" s="33">
        <f t="shared" si="8"/>
        <v>1606.489301801801</v>
      </c>
      <c r="J42" s="33">
        <f t="shared" si="9"/>
        <v>170014</v>
      </c>
      <c r="K42" s="33">
        <f t="shared" si="2"/>
        <v>27311</v>
      </c>
      <c r="L42" s="33">
        <f t="shared" si="10"/>
        <v>226.90333179770681</v>
      </c>
      <c r="M42" s="33">
        <f t="shared" si="11"/>
        <v>13.614199907862409</v>
      </c>
    </row>
    <row r="43" spans="1:13" x14ac:dyDescent="0.2">
      <c r="B43" s="33">
        <f t="shared" si="4"/>
        <v>8</v>
      </c>
      <c r="C43" s="33">
        <f t="shared" si="5"/>
        <v>18</v>
      </c>
      <c r="D43" s="33">
        <f t="shared" si="3"/>
        <v>170015</v>
      </c>
      <c r="E43" s="36">
        <f t="shared" si="6"/>
        <v>17.5</v>
      </c>
      <c r="F43" s="36">
        <f t="shared" si="0"/>
        <v>18.5</v>
      </c>
      <c r="G43" s="36">
        <f t="shared" si="7"/>
        <v>44.981700450450454</v>
      </c>
      <c r="H43" s="36">
        <f t="shared" si="1"/>
        <v>47.552083333333336</v>
      </c>
      <c r="I43" s="33">
        <f t="shared" si="8"/>
        <v>1606.489301801801</v>
      </c>
      <c r="J43" s="33">
        <f t="shared" si="9"/>
        <v>198932</v>
      </c>
      <c r="K43" s="33">
        <f t="shared" si="2"/>
        <v>28918</v>
      </c>
      <c r="L43" s="33">
        <f t="shared" si="10"/>
        <v>240.25058660933661</v>
      </c>
      <c r="M43" s="33">
        <f t="shared" si="11"/>
        <v>14.415035196560197</v>
      </c>
    </row>
    <row r="44" spans="1:13" x14ac:dyDescent="0.2">
      <c r="B44" s="33">
        <f t="shared" si="4"/>
        <v>9</v>
      </c>
      <c r="C44" s="33">
        <f t="shared" si="5"/>
        <v>19</v>
      </c>
      <c r="D44" s="33">
        <f t="shared" si="3"/>
        <v>198933</v>
      </c>
      <c r="E44" s="36">
        <f t="shared" si="6"/>
        <v>18.5</v>
      </c>
      <c r="F44" s="36">
        <f t="shared" si="0"/>
        <v>19.5</v>
      </c>
      <c r="G44" s="36">
        <f t="shared" si="7"/>
        <v>47.552083333333336</v>
      </c>
      <c r="H44" s="36">
        <f t="shared" si="1"/>
        <v>50.122466216216218</v>
      </c>
      <c r="I44" s="33">
        <f t="shared" si="8"/>
        <v>1606.489301801801</v>
      </c>
      <c r="J44" s="33">
        <f t="shared" si="9"/>
        <v>229456</v>
      </c>
      <c r="K44" s="33">
        <f t="shared" si="2"/>
        <v>30524</v>
      </c>
      <c r="L44" s="33">
        <f t="shared" si="10"/>
        <v>253.5978414209664</v>
      </c>
      <c r="M44" s="33">
        <f t="shared" si="11"/>
        <v>15.215870485257986</v>
      </c>
    </row>
    <row r="45" spans="1:13" x14ac:dyDescent="0.2">
      <c r="B45" s="33">
        <f t="shared" si="4"/>
        <v>10</v>
      </c>
      <c r="C45" s="33">
        <f t="shared" si="5"/>
        <v>20</v>
      </c>
      <c r="D45" s="33">
        <f t="shared" si="3"/>
        <v>229457</v>
      </c>
      <c r="E45" s="36">
        <f t="shared" si="6"/>
        <v>19.5</v>
      </c>
      <c r="F45" s="36">
        <f t="shared" si="0"/>
        <v>20.5</v>
      </c>
      <c r="G45" s="36">
        <f t="shared" si="7"/>
        <v>50.122466216216218</v>
      </c>
      <c r="H45" s="36">
        <f t="shared" si="1"/>
        <v>52.692849099099107</v>
      </c>
      <c r="I45" s="33">
        <f t="shared" si="8"/>
        <v>1606.4893018018056</v>
      </c>
      <c r="J45" s="33">
        <f t="shared" si="9"/>
        <v>261587</v>
      </c>
      <c r="K45" s="33">
        <f t="shared" si="2"/>
        <v>32131</v>
      </c>
      <c r="L45" s="33">
        <f t="shared" si="10"/>
        <v>266.9450962325962</v>
      </c>
      <c r="M45" s="33">
        <f t="shared" si="11"/>
        <v>16.016705773955771</v>
      </c>
    </row>
    <row r="46" spans="1:13" x14ac:dyDescent="0.2">
      <c r="B46" s="33">
        <f t="shared" si="4"/>
        <v>11</v>
      </c>
      <c r="C46" s="33">
        <f t="shared" si="5"/>
        <v>21</v>
      </c>
      <c r="D46" s="33">
        <f t="shared" si="3"/>
        <v>261588</v>
      </c>
      <c r="E46" s="36">
        <f t="shared" si="6"/>
        <v>20.5</v>
      </c>
      <c r="F46" s="36">
        <f t="shared" si="0"/>
        <v>21.5</v>
      </c>
      <c r="G46" s="36">
        <f t="shared" si="7"/>
        <v>52.692849099099107</v>
      </c>
      <c r="H46" s="36">
        <f t="shared" si="1"/>
        <v>55.263231981981988</v>
      </c>
      <c r="I46" s="33">
        <f t="shared" si="8"/>
        <v>1606.489301801801</v>
      </c>
      <c r="J46" s="33">
        <f t="shared" si="9"/>
        <v>295324</v>
      </c>
      <c r="K46" s="33">
        <f t="shared" si="2"/>
        <v>33737</v>
      </c>
      <c r="L46" s="33">
        <f t="shared" si="10"/>
        <v>280.29235104422605</v>
      </c>
      <c r="M46" s="33">
        <f t="shared" si="11"/>
        <v>16.817541062653564</v>
      </c>
    </row>
    <row r="47" spans="1:13" x14ac:dyDescent="0.2">
      <c r="B47" s="33">
        <f t="shared" si="4"/>
        <v>12</v>
      </c>
      <c r="C47" s="33">
        <f t="shared" si="5"/>
        <v>22</v>
      </c>
      <c r="D47" s="33">
        <f t="shared" si="3"/>
        <v>295325</v>
      </c>
      <c r="E47" s="36">
        <f t="shared" si="6"/>
        <v>21.5</v>
      </c>
      <c r="F47" s="36">
        <f t="shared" si="0"/>
        <v>22.5</v>
      </c>
      <c r="G47" s="36">
        <f t="shared" si="7"/>
        <v>55.263231981981988</v>
      </c>
      <c r="H47" s="36">
        <f t="shared" si="1"/>
        <v>57.83361486486487</v>
      </c>
      <c r="I47" s="33">
        <f t="shared" si="8"/>
        <v>1606.489301801801</v>
      </c>
      <c r="J47" s="33">
        <f t="shared" si="9"/>
        <v>330668</v>
      </c>
      <c r="K47" s="33">
        <f t="shared" si="2"/>
        <v>35344</v>
      </c>
      <c r="L47" s="33">
        <f t="shared" si="10"/>
        <v>293.6396058558559</v>
      </c>
      <c r="M47" s="33">
        <f t="shared" si="11"/>
        <v>17.618376351351355</v>
      </c>
    </row>
    <row r="48" spans="1:13" x14ac:dyDescent="0.2">
      <c r="B48" s="34">
        <f t="shared" si="4"/>
        <v>13</v>
      </c>
      <c r="C48" s="34">
        <f t="shared" si="5"/>
        <v>23</v>
      </c>
      <c r="D48" s="34">
        <f t="shared" si="3"/>
        <v>330669</v>
      </c>
      <c r="E48" s="37">
        <f t="shared" si="6"/>
        <v>22.5</v>
      </c>
      <c r="F48" s="39">
        <f>(I12/B16)</f>
        <v>22.564731653888281</v>
      </c>
      <c r="G48" s="37">
        <f t="shared" si="7"/>
        <v>57.83361486486487</v>
      </c>
      <c r="H48" s="37">
        <f>MIN((F48*$B$16)/(2*$B$7), B12)</f>
        <v>58</v>
      </c>
      <c r="I48" s="34">
        <f>(H48-G48)*1000/$B$13</f>
        <v>103.9907094594561</v>
      </c>
      <c r="J48" s="34">
        <f>ROUND((((H48^2)*$B$7-(G48^2)*$B$7)/$B$13)*1000/$B$16,0)+D48</f>
        <v>333012</v>
      </c>
      <c r="K48" s="34">
        <f t="shared" si="2"/>
        <v>2344</v>
      </c>
      <c r="L48" s="34">
        <f>C48*$B$16/$B$17</f>
        <v>306.9868606674857</v>
      </c>
      <c r="M48" s="34">
        <f>L48*60/1000</f>
        <v>18.419211640049141</v>
      </c>
    </row>
    <row r="53" spans="1:14" ht="19" x14ac:dyDescent="0.25">
      <c r="A53" s="4" t="s">
        <v>112</v>
      </c>
    </row>
    <row r="56" spans="1:14" ht="40" x14ac:dyDescent="0.25">
      <c r="B56" s="40" t="s">
        <v>118</v>
      </c>
      <c r="C56" s="40" t="s">
        <v>124</v>
      </c>
      <c r="D56" s="40" t="s">
        <v>125</v>
      </c>
      <c r="E56" s="47" t="s">
        <v>140</v>
      </c>
      <c r="F56" s="48"/>
      <c r="G56" s="48"/>
      <c r="H56" s="48"/>
      <c r="I56" s="48"/>
      <c r="J56" s="49"/>
      <c r="K56" s="44" t="s">
        <v>7</v>
      </c>
      <c r="L56" s="45"/>
      <c r="M56" s="45"/>
      <c r="N56" s="46"/>
    </row>
    <row r="57" spans="1:14" x14ac:dyDescent="0.2">
      <c r="B57" s="23" t="s">
        <v>150</v>
      </c>
      <c r="C57" s="23">
        <v>0</v>
      </c>
      <c r="D57" s="33" t="s">
        <v>152</v>
      </c>
      <c r="E57" s="20" t="s">
        <v>149</v>
      </c>
      <c r="F57" s="21"/>
      <c r="G57" s="21"/>
      <c r="H57" s="21"/>
      <c r="I57" s="21"/>
      <c r="J57" s="22"/>
      <c r="K57" s="21"/>
      <c r="L57" s="21"/>
      <c r="M57" s="21"/>
      <c r="N57" s="22"/>
    </row>
    <row r="58" spans="1:14" x14ac:dyDescent="0.2">
      <c r="B58" s="33" t="s">
        <v>139</v>
      </c>
      <c r="C58" s="33" t="s">
        <v>153</v>
      </c>
      <c r="D58" s="33" t="s">
        <v>126</v>
      </c>
      <c r="E58" s="28" t="s">
        <v>120</v>
      </c>
      <c r="F58" s="29" t="s">
        <v>121</v>
      </c>
      <c r="G58" s="29" t="s">
        <v>123</v>
      </c>
      <c r="H58" s="29"/>
      <c r="I58" s="29"/>
      <c r="J58" s="30"/>
      <c r="K58" s="29"/>
      <c r="L58" s="29"/>
      <c r="M58" s="29"/>
      <c r="N58" s="30"/>
    </row>
    <row r="59" spans="1:14" x14ac:dyDescent="0.2">
      <c r="B59" s="33" t="s">
        <v>137</v>
      </c>
      <c r="C59" s="33" t="s">
        <v>151</v>
      </c>
      <c r="D59" s="33" t="s">
        <v>130</v>
      </c>
      <c r="E59" s="28" t="s">
        <v>122</v>
      </c>
      <c r="F59" s="29" t="s">
        <v>121</v>
      </c>
      <c r="G59" s="29" t="s">
        <v>123</v>
      </c>
      <c r="H59" s="29"/>
      <c r="I59" s="29"/>
      <c r="J59" s="30"/>
      <c r="K59" s="29"/>
      <c r="L59" s="29"/>
      <c r="M59" s="29"/>
      <c r="N59" s="30"/>
    </row>
    <row r="60" spans="1:14" x14ac:dyDescent="0.2">
      <c r="B60" s="33" t="s">
        <v>138</v>
      </c>
      <c r="C60" s="33" t="s">
        <v>132</v>
      </c>
      <c r="D60" s="33" t="s">
        <v>131</v>
      </c>
      <c r="E60" s="28" t="s">
        <v>129</v>
      </c>
      <c r="F60" s="29" t="s">
        <v>121</v>
      </c>
      <c r="G60" s="29" t="s">
        <v>123</v>
      </c>
      <c r="H60" s="29"/>
      <c r="I60" s="29"/>
      <c r="J60" s="30"/>
      <c r="K60" s="29"/>
      <c r="L60" s="29"/>
      <c r="M60" s="29"/>
      <c r="N60" s="30"/>
    </row>
    <row r="61" spans="1:14" x14ac:dyDescent="0.2">
      <c r="B61" s="33" t="s">
        <v>136</v>
      </c>
      <c r="C61" s="33" t="s">
        <v>133</v>
      </c>
      <c r="D61" s="33" t="s">
        <v>128</v>
      </c>
      <c r="E61" s="28" t="s">
        <v>135</v>
      </c>
      <c r="F61" s="29" t="s">
        <v>121</v>
      </c>
      <c r="G61" s="29" t="s">
        <v>123</v>
      </c>
      <c r="H61" s="29" t="s">
        <v>141</v>
      </c>
      <c r="I61" s="29"/>
      <c r="J61" s="30"/>
      <c r="K61" s="29" t="s">
        <v>134</v>
      </c>
      <c r="L61" s="29"/>
      <c r="M61" s="29"/>
      <c r="N61" s="30"/>
    </row>
    <row r="62" spans="1:14" x14ac:dyDescent="0.2">
      <c r="B62" s="34" t="s">
        <v>119</v>
      </c>
      <c r="C62" s="34" t="s">
        <v>128</v>
      </c>
      <c r="D62" s="34" t="s">
        <v>127</v>
      </c>
      <c r="E62" s="31" t="s">
        <v>143</v>
      </c>
      <c r="F62" s="5" t="s">
        <v>121</v>
      </c>
      <c r="G62" s="5" t="s">
        <v>142</v>
      </c>
      <c r="H62" s="5"/>
      <c r="I62" s="5"/>
      <c r="J62" s="32"/>
      <c r="K62" s="5"/>
      <c r="L62" s="5"/>
      <c r="M62" s="5"/>
      <c r="N62" s="32"/>
    </row>
  </sheetData>
  <mergeCells count="3">
    <mergeCell ref="E33:H33"/>
    <mergeCell ref="K56:N56"/>
    <mergeCell ref="E56:J56"/>
  </mergeCells>
  <pageMargins left="0.7" right="0.7" top="0.75" bottom="0.75" header="0.3" footer="0.3"/>
  <pageSetup orientation="portrait" horizontalDpi="0" verticalDpi="0"/>
  <ignoredErrors>
    <ignoredError sqref="F36:F4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Seek Requirements</vt:lpstr>
      <vt:lpstr>Tables of 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dshadoff</dc:creator>
  <cp:lastModifiedBy>Microsoft Office User</cp:lastModifiedBy>
  <dcterms:created xsi:type="dcterms:W3CDTF">2018-10-20T01:14:09Z</dcterms:created>
  <dcterms:modified xsi:type="dcterms:W3CDTF">2018-12-13T07:32:57Z</dcterms:modified>
</cp:coreProperties>
</file>