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7f37a816f788e32/Desktop/MSBA/Classes/BSAN 6010/Projects/Finanical Analysis/"/>
    </mc:Choice>
  </mc:AlternateContent>
  <xr:revisionPtr revIDLastSave="753" documentId="13_ncr:1_{81A9F18F-CDA9-484D-9061-787EC406ABB1}" xr6:coauthVersionLast="47" xr6:coauthVersionMax="47" xr10:uidLastSave="{84FE38DE-6ECA-4904-8EA5-039C8278CBC8}"/>
  <bookViews>
    <workbookView xWindow="-120" yWindow="-120" windowWidth="29040" windowHeight="15720" activeTab="5" xr2:uid="{F893118B-9867-4C6D-AABE-9EFA6E202DE8}"/>
  </bookViews>
  <sheets>
    <sheet name="Balance Sheet" sheetId="1" r:id="rId1"/>
    <sheet name="Income Statement" sheetId="3" r:id="rId2"/>
    <sheet name="Cash Flow" sheetId="2" r:id="rId3"/>
    <sheet name="Shareholders' Equ" sheetId="4" r:id="rId4"/>
    <sheet name="Ratios" sheetId="5" r:id="rId5"/>
    <sheet name="ProForma Statements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8" l="1"/>
  <c r="C80" i="8"/>
  <c r="D80" i="8"/>
  <c r="E80" i="8"/>
  <c r="F80" i="8"/>
  <c r="F19" i="5"/>
  <c r="R19" i="5" s="1"/>
  <c r="E19" i="5"/>
  <c r="Q19" i="5" s="1"/>
  <c r="D19" i="5"/>
  <c r="P19" i="5" s="1"/>
  <c r="C19" i="5"/>
  <c r="O19" i="5" s="1"/>
  <c r="G85" i="8" l="1"/>
  <c r="C85" i="8"/>
  <c r="D85" i="8"/>
  <c r="E85" i="8"/>
  <c r="F85" i="8"/>
  <c r="C84" i="8"/>
  <c r="D84" i="8"/>
  <c r="E84" i="8"/>
  <c r="F84" i="8"/>
  <c r="C79" i="8"/>
  <c r="D79" i="8"/>
  <c r="E79" i="8"/>
  <c r="F79" i="8"/>
  <c r="C78" i="8"/>
  <c r="D78" i="8"/>
  <c r="E78" i="8"/>
  <c r="F78" i="8"/>
  <c r="C77" i="8"/>
  <c r="D77" i="8"/>
  <c r="E77" i="8"/>
  <c r="F77" i="8"/>
  <c r="C73" i="8"/>
  <c r="D73" i="8"/>
  <c r="E73" i="8"/>
  <c r="F73" i="8"/>
  <c r="C72" i="8"/>
  <c r="D72" i="8"/>
  <c r="E72" i="8"/>
  <c r="F72" i="8"/>
  <c r="C71" i="8"/>
  <c r="D71" i="8"/>
  <c r="E71" i="8"/>
  <c r="F71" i="8"/>
  <c r="C68" i="8"/>
  <c r="D68" i="8"/>
  <c r="E68" i="8"/>
  <c r="F68" i="8"/>
  <c r="C67" i="8"/>
  <c r="D67" i="8"/>
  <c r="E67" i="8"/>
  <c r="F67" i="8"/>
  <c r="F12" i="5"/>
  <c r="G64" i="1" s="1"/>
  <c r="G65" i="1" s="1"/>
  <c r="F11" i="5"/>
  <c r="G62" i="1" s="1"/>
  <c r="F10" i="5"/>
  <c r="G63" i="1" s="1"/>
  <c r="E12" i="5"/>
  <c r="F64" i="1" s="1"/>
  <c r="F65" i="1" s="1"/>
  <c r="E11" i="5"/>
  <c r="F62" i="1" s="1"/>
  <c r="E10" i="5"/>
  <c r="F63" i="1" s="1"/>
  <c r="D12" i="5"/>
  <c r="E64" i="1" s="1"/>
  <c r="E65" i="1" s="1"/>
  <c r="D11" i="5"/>
  <c r="E62" i="1" s="1"/>
  <c r="D10" i="5"/>
  <c r="E63" i="1" s="1"/>
  <c r="C12" i="5"/>
  <c r="D64" i="1" s="1"/>
  <c r="C11" i="5"/>
  <c r="D62" i="1" s="1"/>
  <c r="C62" i="1" s="1"/>
  <c r="C10" i="5"/>
  <c r="D63" i="1" s="1"/>
  <c r="C63" i="1" s="1"/>
  <c r="F24" i="5"/>
  <c r="E24" i="5"/>
  <c r="D24" i="5"/>
  <c r="C24" i="5"/>
  <c r="F23" i="5"/>
  <c r="E23" i="5"/>
  <c r="D23" i="5"/>
  <c r="C23" i="5"/>
  <c r="F18" i="5"/>
  <c r="E18" i="5"/>
  <c r="D18" i="5"/>
  <c r="C18" i="5"/>
  <c r="F17" i="5"/>
  <c r="E17" i="5"/>
  <c r="D17" i="5"/>
  <c r="C17" i="5"/>
  <c r="F16" i="5"/>
  <c r="E16" i="5"/>
  <c r="D16" i="5"/>
  <c r="C16" i="5"/>
  <c r="F7" i="5"/>
  <c r="G61" i="1" s="1"/>
  <c r="E7" i="5"/>
  <c r="F61" i="1" s="1"/>
  <c r="D7" i="5"/>
  <c r="E61" i="1" s="1"/>
  <c r="C7" i="5"/>
  <c r="D61" i="1" s="1"/>
  <c r="F6" i="5"/>
  <c r="G60" i="1" s="1"/>
  <c r="E6" i="5"/>
  <c r="F60" i="1" s="1"/>
  <c r="D6" i="5"/>
  <c r="E60" i="1" s="1"/>
  <c r="C6" i="5"/>
  <c r="D60" i="1" s="1"/>
  <c r="C64" i="1" l="1"/>
  <c r="C65" i="1" s="1"/>
  <c r="D65" i="1"/>
  <c r="D13" i="5"/>
  <c r="E66" i="1" s="1"/>
  <c r="C74" i="8"/>
  <c r="F74" i="8"/>
  <c r="E74" i="8"/>
  <c r="D74" i="8"/>
  <c r="C13" i="5"/>
  <c r="D66" i="1" s="1"/>
  <c r="F13" i="5"/>
  <c r="G66" i="1" s="1"/>
  <c r="E13" i="5"/>
  <c r="F66" i="1" s="1"/>
  <c r="G26" i="8" l="1"/>
  <c r="G30" i="8"/>
  <c r="G33" i="8"/>
  <c r="G34" i="8"/>
  <c r="G35" i="8"/>
  <c r="G36" i="8"/>
  <c r="G37" i="8"/>
  <c r="G38" i="8"/>
  <c r="G43" i="8"/>
  <c r="G44" i="8"/>
  <c r="G47" i="8"/>
  <c r="G48" i="8"/>
  <c r="G49" i="8"/>
  <c r="G50" i="8"/>
  <c r="G54" i="8"/>
  <c r="G55" i="8"/>
  <c r="G56" i="8"/>
  <c r="G57" i="8"/>
  <c r="C35" i="1" l="1"/>
  <c r="C38" i="1"/>
  <c r="C37" i="1"/>
  <c r="C36" i="1"/>
  <c r="C27" i="1"/>
  <c r="C26" i="1"/>
  <c r="C25" i="1"/>
  <c r="C20" i="1"/>
  <c r="C53" i="8"/>
  <c r="D53" i="8"/>
  <c r="E53" i="8"/>
  <c r="F53" i="8"/>
  <c r="C58" i="8"/>
  <c r="D58" i="8"/>
  <c r="E58" i="8"/>
  <c r="F58" i="8"/>
  <c r="C54" i="8"/>
  <c r="C55" i="8"/>
  <c r="C56" i="8"/>
  <c r="C57" i="8"/>
  <c r="D54" i="8"/>
  <c r="D55" i="8"/>
  <c r="D56" i="8"/>
  <c r="D57" i="8"/>
  <c r="E54" i="8"/>
  <c r="E55" i="8"/>
  <c r="E56" i="8"/>
  <c r="E57" i="8"/>
  <c r="F54" i="8"/>
  <c r="F55" i="8"/>
  <c r="F56" i="8"/>
  <c r="F57" i="8"/>
  <c r="C26" i="8"/>
  <c r="C27" i="8"/>
  <c r="C28" i="8"/>
  <c r="C29" i="8"/>
  <c r="C30" i="8"/>
  <c r="C33" i="8"/>
  <c r="C34" i="8"/>
  <c r="C35" i="8"/>
  <c r="C36" i="8"/>
  <c r="C37" i="8"/>
  <c r="C38" i="8"/>
  <c r="C42" i="8"/>
  <c r="C43" i="8"/>
  <c r="C44" i="8"/>
  <c r="C47" i="8"/>
  <c r="C48" i="8"/>
  <c r="C49" i="8"/>
  <c r="D26" i="8"/>
  <c r="D27" i="8"/>
  <c r="D28" i="8"/>
  <c r="D29" i="8"/>
  <c r="D30" i="8"/>
  <c r="D33" i="8"/>
  <c r="D34" i="8"/>
  <c r="D35" i="8"/>
  <c r="D36" i="8"/>
  <c r="D37" i="8"/>
  <c r="D38" i="8"/>
  <c r="D42" i="8"/>
  <c r="D43" i="8"/>
  <c r="D44" i="8"/>
  <c r="D47" i="8"/>
  <c r="D48" i="8"/>
  <c r="D49" i="8"/>
  <c r="E47" i="8"/>
  <c r="E48" i="8"/>
  <c r="E49" i="8"/>
  <c r="F47" i="8"/>
  <c r="F48" i="8"/>
  <c r="F49" i="8"/>
  <c r="E26" i="8"/>
  <c r="E27" i="8"/>
  <c r="E28" i="8"/>
  <c r="E29" i="8"/>
  <c r="E30" i="8"/>
  <c r="E33" i="8"/>
  <c r="E34" i="8"/>
  <c r="E35" i="8"/>
  <c r="E36" i="8"/>
  <c r="E37" i="8"/>
  <c r="E38" i="8"/>
  <c r="E42" i="8"/>
  <c r="E43" i="8"/>
  <c r="E44" i="8"/>
  <c r="F26" i="8"/>
  <c r="F27" i="8"/>
  <c r="F28" i="8"/>
  <c r="F29" i="8"/>
  <c r="F30" i="8"/>
  <c r="F33" i="8"/>
  <c r="F34" i="8"/>
  <c r="F35" i="8"/>
  <c r="F36" i="8"/>
  <c r="F37" i="8"/>
  <c r="F38" i="8"/>
  <c r="F42" i="8"/>
  <c r="F43" i="8"/>
  <c r="F44" i="8"/>
  <c r="F3" i="3" l="1"/>
  <c r="F18" i="8"/>
  <c r="E18" i="8"/>
  <c r="D18" i="8"/>
  <c r="C18" i="8"/>
  <c r="F17" i="8"/>
  <c r="E17" i="8"/>
  <c r="D17" i="8"/>
  <c r="C17" i="8"/>
  <c r="F20" i="8"/>
  <c r="E20" i="8"/>
  <c r="D20" i="8"/>
  <c r="C20" i="8"/>
  <c r="F16" i="8" l="1"/>
  <c r="E16" i="8"/>
  <c r="D16" i="8"/>
  <c r="C16" i="8"/>
  <c r="E15" i="8"/>
  <c r="D15" i="8"/>
  <c r="C15" i="8"/>
  <c r="F15" i="8"/>
  <c r="D11" i="8"/>
  <c r="E11" i="8"/>
  <c r="F11" i="8"/>
  <c r="G11" i="8"/>
  <c r="C11" i="8"/>
  <c r="F10" i="8"/>
  <c r="E10" i="8"/>
  <c r="D10" i="8"/>
  <c r="C10" i="8"/>
  <c r="F9" i="8"/>
  <c r="E9" i="8"/>
  <c r="D9" i="8"/>
  <c r="C9" i="8"/>
  <c r="F6" i="8"/>
  <c r="E6" i="8"/>
  <c r="D6" i="8"/>
  <c r="C6" i="8"/>
  <c r="F5" i="8"/>
  <c r="K17" i="8" s="1"/>
  <c r="E5" i="8"/>
  <c r="J17" i="8" s="1"/>
  <c r="D5" i="8"/>
  <c r="I20" i="8" s="1"/>
  <c r="C5" i="8"/>
  <c r="H15" i="8" l="1"/>
  <c r="H16" i="8"/>
  <c r="I10" i="8"/>
  <c r="I6" i="8"/>
  <c r="J15" i="8"/>
  <c r="J10" i="8"/>
  <c r="I16" i="8"/>
  <c r="J16" i="8"/>
  <c r="J6" i="8"/>
  <c r="I15" i="8"/>
  <c r="I17" i="8"/>
  <c r="J20" i="8"/>
  <c r="K9" i="8"/>
  <c r="H6" i="8"/>
  <c r="H10" i="8"/>
  <c r="J18" i="8"/>
  <c r="H20" i="8"/>
  <c r="H18" i="8"/>
  <c r="K15" i="8"/>
  <c r="K20" i="8"/>
  <c r="K18" i="8"/>
  <c r="K6" i="8"/>
  <c r="K10" i="8"/>
  <c r="K5" i="8"/>
  <c r="K16" i="8"/>
  <c r="I5" i="8"/>
  <c r="I18" i="8"/>
  <c r="I9" i="8"/>
  <c r="H5" i="8"/>
  <c r="H17" i="8"/>
  <c r="H9" i="8"/>
  <c r="J5" i="8"/>
  <c r="J9" i="8"/>
  <c r="E7" i="3"/>
  <c r="F4" i="3"/>
  <c r="F5" i="3"/>
  <c r="F6" i="3"/>
  <c r="F7" i="3"/>
  <c r="F8" i="3"/>
  <c r="F9" i="3"/>
  <c r="F10" i="3"/>
  <c r="E10" i="3"/>
  <c r="E9" i="3"/>
  <c r="E8" i="3"/>
  <c r="E6" i="3"/>
  <c r="E5" i="3"/>
  <c r="E4" i="3"/>
  <c r="E3" i="3"/>
  <c r="D10" i="3"/>
  <c r="D9" i="3"/>
  <c r="D8" i="3"/>
  <c r="D7" i="3"/>
  <c r="D6" i="3"/>
  <c r="D5" i="3"/>
  <c r="D4" i="3"/>
  <c r="D3" i="3"/>
  <c r="C16" i="1"/>
  <c r="C25" i="3" s="1"/>
  <c r="G15" i="8" s="1"/>
  <c r="C32" i="1"/>
  <c r="H33" i="4"/>
  <c r="D23" i="3"/>
  <c r="F12" i="8" s="1"/>
  <c r="K12" i="8" s="1"/>
  <c r="D38" i="1"/>
  <c r="C33" i="1"/>
  <c r="C24" i="1"/>
  <c r="C23" i="1"/>
  <c r="C22" i="1"/>
  <c r="C28" i="3"/>
  <c r="G18" i="8" s="1"/>
  <c r="C16" i="3"/>
  <c r="C17" i="3" l="1"/>
  <c r="C26" i="3"/>
  <c r="G16" i="8" s="1"/>
  <c r="C18" i="1"/>
  <c r="G5" i="8"/>
  <c r="F50" i="8"/>
  <c r="C20" i="3"/>
  <c r="G9" i="8" s="1"/>
  <c r="L9" i="8" s="1"/>
  <c r="C21" i="3"/>
  <c r="G10" i="8" s="1"/>
  <c r="L10" i="8" s="1"/>
  <c r="C27" i="3"/>
  <c r="G17" i="8" s="1"/>
  <c r="L17" i="8" s="1"/>
  <c r="C42" i="1"/>
  <c r="G53" i="8" s="1"/>
  <c r="C45" i="1"/>
  <c r="C43" i="1"/>
  <c r="H31" i="4"/>
  <c r="C31" i="4"/>
  <c r="C46" i="1"/>
  <c r="C44" i="1"/>
  <c r="I26" i="3"/>
  <c r="L5" i="8" l="1"/>
  <c r="L18" i="8"/>
  <c r="G28" i="8"/>
  <c r="G72" i="8"/>
  <c r="C18" i="3"/>
  <c r="G7" i="8" s="1"/>
  <c r="C31" i="1"/>
  <c r="G6" i="8"/>
  <c r="L6" i="8" s="1"/>
  <c r="L16" i="8"/>
  <c r="L15" i="8"/>
  <c r="C23" i="3"/>
  <c r="G12" i="8" s="1"/>
  <c r="L12" i="8" s="1"/>
  <c r="G42" i="8" l="1"/>
  <c r="Q42" i="8" s="1"/>
  <c r="G73" i="8"/>
  <c r="C34" i="1"/>
  <c r="C24" i="3"/>
  <c r="Q48" i="8"/>
  <c r="Q30" i="8"/>
  <c r="L7" i="8"/>
  <c r="Q47" i="8"/>
  <c r="Q26" i="8"/>
  <c r="Q49" i="8"/>
  <c r="Q50" i="8"/>
  <c r="Q43" i="8"/>
  <c r="Q28" i="8"/>
  <c r="L34" i="5"/>
  <c r="K34" i="5"/>
  <c r="J34" i="5"/>
  <c r="I34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4" i="5"/>
  <c r="K24" i="5"/>
  <c r="J24" i="5"/>
  <c r="I24" i="5"/>
  <c r="L23" i="5"/>
  <c r="K23" i="5"/>
  <c r="J23" i="5"/>
  <c r="I23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L16" i="5"/>
  <c r="K16" i="5"/>
  <c r="J16" i="5"/>
  <c r="I16" i="5"/>
  <c r="L12" i="5"/>
  <c r="K12" i="5"/>
  <c r="J12" i="5"/>
  <c r="I12" i="5"/>
  <c r="O12" i="5" s="1"/>
  <c r="L11" i="5"/>
  <c r="K11" i="5"/>
  <c r="J11" i="5"/>
  <c r="I11" i="5"/>
  <c r="L10" i="5"/>
  <c r="K10" i="5"/>
  <c r="J10" i="5"/>
  <c r="I10" i="5"/>
  <c r="L7" i="5"/>
  <c r="K7" i="5"/>
  <c r="J7" i="5"/>
  <c r="I7" i="5"/>
  <c r="L6" i="5"/>
  <c r="K6" i="5"/>
  <c r="J6" i="5"/>
  <c r="I6" i="5"/>
  <c r="C29" i="3" l="1"/>
  <c r="G14" i="8"/>
  <c r="L14" i="8" s="1"/>
  <c r="G45" i="8"/>
  <c r="Q45" i="8" s="1"/>
  <c r="C39" i="1"/>
  <c r="L13" i="5"/>
  <c r="K13" i="5"/>
  <c r="I13" i="5"/>
  <c r="J13" i="5"/>
  <c r="G51" i="8" l="1"/>
  <c r="Q51" i="8" s="1"/>
  <c r="G19" i="8"/>
  <c r="L19" i="8" s="1"/>
  <c r="C30" i="3"/>
  <c r="R11" i="5"/>
  <c r="Q10" i="5"/>
  <c r="P11" i="5"/>
  <c r="C31" i="3" l="1"/>
  <c r="G20" i="8"/>
  <c r="L20" i="8" s="1"/>
  <c r="O23" i="5"/>
  <c r="Q11" i="5"/>
  <c r="O11" i="5"/>
  <c r="O10" i="5"/>
  <c r="P23" i="5"/>
  <c r="Q12" i="5"/>
  <c r="Q23" i="5"/>
  <c r="P10" i="5"/>
  <c r="P12" i="5"/>
  <c r="R10" i="5"/>
  <c r="R12" i="5"/>
  <c r="R23" i="5"/>
  <c r="J21" i="3"/>
  <c r="K21" i="3"/>
  <c r="L21" i="3"/>
  <c r="J27" i="3"/>
  <c r="K27" i="3"/>
  <c r="L27" i="3"/>
  <c r="J28" i="3"/>
  <c r="K28" i="3"/>
  <c r="L28" i="3"/>
  <c r="J29" i="3"/>
  <c r="K29" i="3"/>
  <c r="L29" i="3"/>
  <c r="J30" i="3"/>
  <c r="K30" i="3"/>
  <c r="L30" i="3"/>
  <c r="J26" i="3"/>
  <c r="K26" i="3"/>
  <c r="L26" i="3"/>
  <c r="J25" i="3"/>
  <c r="K25" i="3"/>
  <c r="L25" i="3"/>
  <c r="J24" i="3"/>
  <c r="K24" i="3"/>
  <c r="L24" i="3"/>
  <c r="J20" i="3"/>
  <c r="K20" i="3"/>
  <c r="L20" i="3"/>
  <c r="J17" i="3"/>
  <c r="K17" i="3"/>
  <c r="L17" i="3"/>
  <c r="J16" i="3"/>
  <c r="K16" i="3"/>
  <c r="L16" i="3"/>
  <c r="I30" i="3"/>
  <c r="I29" i="3"/>
  <c r="I25" i="3"/>
  <c r="I21" i="3"/>
  <c r="I17" i="3"/>
  <c r="I16" i="3"/>
  <c r="I28" i="3"/>
  <c r="I27" i="3"/>
  <c r="I24" i="3"/>
  <c r="I20" i="3"/>
  <c r="E48" i="1"/>
  <c r="E59" i="8" s="1"/>
  <c r="F48" i="1"/>
  <c r="D59" i="8" s="1"/>
  <c r="G48" i="1"/>
  <c r="C59" i="8" s="1"/>
  <c r="D48" i="1"/>
  <c r="F59" i="8" s="1"/>
  <c r="E38" i="1"/>
  <c r="E50" i="8" s="1"/>
  <c r="F38" i="1"/>
  <c r="D50" i="8" s="1"/>
  <c r="G38" i="1"/>
  <c r="C50" i="8" s="1"/>
  <c r="G95" i="8" l="1"/>
  <c r="G88" i="8"/>
  <c r="H32" i="4"/>
  <c r="H34" i="4" s="1"/>
  <c r="C47" i="1" s="1"/>
  <c r="G21" i="8"/>
  <c r="L21" i="8" s="1"/>
  <c r="I31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8" i="4"/>
  <c r="I9" i="4"/>
  <c r="I10" i="4"/>
  <c r="I11" i="4"/>
  <c r="I12" i="4"/>
  <c r="I13" i="4"/>
  <c r="I7" i="4"/>
  <c r="I6" i="4"/>
  <c r="F23" i="3"/>
  <c r="D12" i="8" s="1"/>
  <c r="I12" i="8" s="1"/>
  <c r="G23" i="3"/>
  <c r="E23" i="3"/>
  <c r="E12" i="8" s="1"/>
  <c r="J12" i="8" s="1"/>
  <c r="D18" i="3"/>
  <c r="F7" i="8" s="1"/>
  <c r="E18" i="3"/>
  <c r="E7" i="8" s="1"/>
  <c r="O50" i="8" s="1"/>
  <c r="F18" i="3"/>
  <c r="D7" i="8" s="1"/>
  <c r="G18" i="3"/>
  <c r="C7" i="8" s="1"/>
  <c r="F41" i="2"/>
  <c r="F38" i="2"/>
  <c r="E38" i="2"/>
  <c r="E41" i="2"/>
  <c r="F28" i="2"/>
  <c r="F20" i="2"/>
  <c r="G34" i="1"/>
  <c r="C45" i="8" s="1"/>
  <c r="M45" i="8" s="1"/>
  <c r="G21" i="1"/>
  <c r="C31" i="8" s="1"/>
  <c r="M31" i="8" s="1"/>
  <c r="I7" i="8" l="1"/>
  <c r="N30" i="8"/>
  <c r="N42" i="8"/>
  <c r="N26" i="8"/>
  <c r="N49" i="8"/>
  <c r="N48" i="8"/>
  <c r="N29" i="8"/>
  <c r="N28" i="8"/>
  <c r="N47" i="8"/>
  <c r="N58" i="8"/>
  <c r="N43" i="8"/>
  <c r="N27" i="8"/>
  <c r="M42" i="8"/>
  <c r="M29" i="8"/>
  <c r="M26" i="8"/>
  <c r="H7" i="8"/>
  <c r="M58" i="8"/>
  <c r="M30" i="8"/>
  <c r="M27" i="8"/>
  <c r="M28" i="8"/>
  <c r="M49" i="8"/>
  <c r="M48" i="8"/>
  <c r="M43" i="8"/>
  <c r="M47" i="8"/>
  <c r="P47" i="8"/>
  <c r="P28" i="8"/>
  <c r="P29" i="8"/>
  <c r="P49" i="8"/>
  <c r="P43" i="8"/>
  <c r="P42" i="8"/>
  <c r="P27" i="8"/>
  <c r="P26" i="8"/>
  <c r="P30" i="8"/>
  <c r="P48" i="8"/>
  <c r="P58" i="8"/>
  <c r="K7" i="8"/>
  <c r="P50" i="8"/>
  <c r="L23" i="3"/>
  <c r="C12" i="8"/>
  <c r="H12" i="8" s="1"/>
  <c r="O28" i="8"/>
  <c r="O58" i="8"/>
  <c r="O27" i="8"/>
  <c r="O43" i="8"/>
  <c r="O30" i="8"/>
  <c r="O47" i="8"/>
  <c r="O48" i="8"/>
  <c r="J7" i="8"/>
  <c r="O42" i="8"/>
  <c r="O29" i="8"/>
  <c r="O26" i="8"/>
  <c r="O49" i="8"/>
  <c r="M50" i="8"/>
  <c r="N50" i="8"/>
  <c r="C48" i="1"/>
  <c r="G58" i="8"/>
  <c r="Q58" i="8" s="1"/>
  <c r="F24" i="3"/>
  <c r="L18" i="3"/>
  <c r="G24" i="3"/>
  <c r="E24" i="3"/>
  <c r="D24" i="3"/>
  <c r="F14" i="8" s="1"/>
  <c r="K14" i="8" s="1"/>
  <c r="G39" i="1"/>
  <c r="C51" i="8" s="1"/>
  <c r="M51" i="8" s="1"/>
  <c r="G49" i="1"/>
  <c r="G28" i="1"/>
  <c r="C40" i="8" s="1"/>
  <c r="K23" i="3"/>
  <c r="K18" i="3"/>
  <c r="I18" i="3"/>
  <c r="I23" i="3"/>
  <c r="J18" i="3"/>
  <c r="J23" i="3"/>
  <c r="F34" i="1"/>
  <c r="D45" i="8" s="1"/>
  <c r="N45" i="8" s="1"/>
  <c r="F21" i="1"/>
  <c r="D31" i="8" s="1"/>
  <c r="N31" i="8" s="1"/>
  <c r="D28" i="2"/>
  <c r="C28" i="2"/>
  <c r="E28" i="2"/>
  <c r="E20" i="2"/>
  <c r="D20" i="2"/>
  <c r="C20" i="2"/>
  <c r="G29" i="3" l="1"/>
  <c r="C14" i="8"/>
  <c r="H14" i="8" s="1"/>
  <c r="F29" i="3"/>
  <c r="D14" i="8"/>
  <c r="I14" i="8" s="1"/>
  <c r="E29" i="3"/>
  <c r="E14" i="8"/>
  <c r="J14" i="8" s="1"/>
  <c r="G77" i="8"/>
  <c r="C49" i="1"/>
  <c r="C28" i="1" s="1"/>
  <c r="G59" i="8"/>
  <c r="G91" i="8"/>
  <c r="G89" i="8"/>
  <c r="R13" i="5"/>
  <c r="Q13" i="5"/>
  <c r="R7" i="5"/>
  <c r="R6" i="5"/>
  <c r="H40" i="8"/>
  <c r="H34" i="8"/>
  <c r="H30" i="8"/>
  <c r="H38" i="8"/>
  <c r="H29" i="8"/>
  <c r="H26" i="8"/>
  <c r="H28" i="8"/>
  <c r="H27" i="8"/>
  <c r="H33" i="8"/>
  <c r="H37" i="8"/>
  <c r="H36" i="8"/>
  <c r="H35" i="8"/>
  <c r="L34" i="1"/>
  <c r="C60" i="8"/>
  <c r="H51" i="8" s="1"/>
  <c r="H31" i="8"/>
  <c r="D29" i="3"/>
  <c r="L21" i="1"/>
  <c r="F49" i="1"/>
  <c r="D60" i="8" s="1"/>
  <c r="F28" i="1"/>
  <c r="L22" i="1"/>
  <c r="L20" i="1"/>
  <c r="L28" i="1"/>
  <c r="L17" i="1"/>
  <c r="L25" i="1"/>
  <c r="L23" i="1"/>
  <c r="L26" i="1"/>
  <c r="R18" i="5"/>
  <c r="L16" i="1"/>
  <c r="L24" i="1"/>
  <c r="L19" i="1"/>
  <c r="L27" i="1"/>
  <c r="L18" i="1"/>
  <c r="L35" i="1"/>
  <c r="L32" i="1"/>
  <c r="L37" i="1"/>
  <c r="L31" i="1"/>
  <c r="L46" i="1"/>
  <c r="L44" i="1"/>
  <c r="L36" i="1"/>
  <c r="L33" i="1"/>
  <c r="L47" i="1"/>
  <c r="L49" i="1"/>
  <c r="L45" i="1"/>
  <c r="L43" i="1"/>
  <c r="L48" i="1"/>
  <c r="R16" i="5"/>
  <c r="R17" i="5"/>
  <c r="L39" i="1"/>
  <c r="F39" i="1"/>
  <c r="D51" i="8" s="1"/>
  <c r="N51" i="8" s="1"/>
  <c r="E31" i="3" l="1"/>
  <c r="E19" i="8"/>
  <c r="J19" i="8" s="1"/>
  <c r="D31" i="3"/>
  <c r="F19" i="8"/>
  <c r="K19" i="8" s="1"/>
  <c r="F31" i="3"/>
  <c r="D19" i="8"/>
  <c r="I19" i="8" s="1"/>
  <c r="G31" i="3"/>
  <c r="C19" i="8"/>
  <c r="H19" i="8" s="1"/>
  <c r="G60" i="8"/>
  <c r="L59" i="8" s="1"/>
  <c r="Q7" i="5"/>
  <c r="Q6" i="5"/>
  <c r="I51" i="8"/>
  <c r="H60" i="8"/>
  <c r="H55" i="8"/>
  <c r="H57" i="8"/>
  <c r="H56" i="8"/>
  <c r="H43" i="8"/>
  <c r="H49" i="8"/>
  <c r="H47" i="8"/>
  <c r="H42" i="8"/>
  <c r="H54" i="8"/>
  <c r="H44" i="8"/>
  <c r="H48" i="8"/>
  <c r="H58" i="8"/>
  <c r="H50" i="8"/>
  <c r="H59" i="8"/>
  <c r="H45" i="8"/>
  <c r="K21" i="1"/>
  <c r="D40" i="8"/>
  <c r="I50" i="8"/>
  <c r="I55" i="8"/>
  <c r="I57" i="8"/>
  <c r="I58" i="8"/>
  <c r="I49" i="8"/>
  <c r="I60" i="8"/>
  <c r="I42" i="8"/>
  <c r="I43" i="8"/>
  <c r="I54" i="8"/>
  <c r="I47" i="8"/>
  <c r="I48" i="8"/>
  <c r="I59" i="8"/>
  <c r="I45" i="8"/>
  <c r="I31" i="3"/>
  <c r="Q17" i="5"/>
  <c r="Q16" i="5"/>
  <c r="K39" i="1"/>
  <c r="K17" i="1"/>
  <c r="K25" i="1"/>
  <c r="K23" i="1"/>
  <c r="K18" i="1"/>
  <c r="K26" i="1"/>
  <c r="Q18" i="5"/>
  <c r="K20" i="1"/>
  <c r="K28" i="1"/>
  <c r="K16" i="1"/>
  <c r="K24" i="1"/>
  <c r="K19" i="1"/>
  <c r="K27" i="1"/>
  <c r="K22" i="1"/>
  <c r="K46" i="1"/>
  <c r="K31" i="1"/>
  <c r="K44" i="1"/>
  <c r="K37" i="1"/>
  <c r="K47" i="1"/>
  <c r="K49" i="1"/>
  <c r="K43" i="1"/>
  <c r="K35" i="1"/>
  <c r="K32" i="1"/>
  <c r="K36" i="1"/>
  <c r="K48" i="1"/>
  <c r="K34" i="1"/>
  <c r="D34" i="1"/>
  <c r="D21" i="1"/>
  <c r="F31" i="8" s="1"/>
  <c r="P31" i="8" s="1"/>
  <c r="E21" i="1"/>
  <c r="E31" i="8" s="1"/>
  <c r="O31" i="8" s="1"/>
  <c r="E34" i="1"/>
  <c r="E45" i="8" s="1"/>
  <c r="O45" i="8" s="1"/>
  <c r="F27" i="5" l="1"/>
  <c r="R27" i="5" s="1"/>
  <c r="C89" i="8"/>
  <c r="F30" i="5"/>
  <c r="R30" i="5" s="1"/>
  <c r="C95" i="8"/>
  <c r="F29" i="5"/>
  <c r="R29" i="5" s="1"/>
  <c r="F28" i="5"/>
  <c r="R28" i="5" s="1"/>
  <c r="C88" i="8"/>
  <c r="C90" i="8"/>
  <c r="C91" i="8"/>
  <c r="F34" i="5"/>
  <c r="R34" i="5" s="1"/>
  <c r="C21" i="8"/>
  <c r="H21" i="8" s="1"/>
  <c r="L31" i="3"/>
  <c r="E29" i="5"/>
  <c r="Q29" i="5" s="1"/>
  <c r="D88" i="8"/>
  <c r="E33" i="5"/>
  <c r="E27" i="5"/>
  <c r="Q27" i="5" s="1"/>
  <c r="D89" i="8"/>
  <c r="D95" i="8"/>
  <c r="D90" i="8"/>
  <c r="E30" i="5"/>
  <c r="Q30" i="5" s="1"/>
  <c r="E34" i="5"/>
  <c r="Q34" i="5" s="1"/>
  <c r="D94" i="8"/>
  <c r="E28" i="5"/>
  <c r="Q28" i="5" s="1"/>
  <c r="D91" i="8"/>
  <c r="D21" i="8"/>
  <c r="I21" i="8" s="1"/>
  <c r="K31" i="3"/>
  <c r="C28" i="5"/>
  <c r="O28" i="5" s="1"/>
  <c r="C27" i="5"/>
  <c r="O27" i="5" s="1"/>
  <c r="G94" i="8"/>
  <c r="F90" i="8"/>
  <c r="C34" i="5"/>
  <c r="O34" i="5" s="1"/>
  <c r="C33" i="5"/>
  <c r="F89" i="8"/>
  <c r="F95" i="8"/>
  <c r="C29" i="5"/>
  <c r="C30" i="5"/>
  <c r="O30" i="5" s="1"/>
  <c r="F94" i="8"/>
  <c r="F88" i="8"/>
  <c r="F91" i="8"/>
  <c r="F21" i="8"/>
  <c r="K21" i="8" s="1"/>
  <c r="E90" i="8"/>
  <c r="D34" i="5"/>
  <c r="P34" i="5" s="1"/>
  <c r="D33" i="5"/>
  <c r="D28" i="5"/>
  <c r="P28" i="5" s="1"/>
  <c r="D27" i="5"/>
  <c r="P27" i="5" s="1"/>
  <c r="D29" i="5"/>
  <c r="E89" i="8"/>
  <c r="E95" i="8"/>
  <c r="D30" i="5"/>
  <c r="P30" i="5" s="1"/>
  <c r="E94" i="8"/>
  <c r="E88" i="8"/>
  <c r="E91" i="8"/>
  <c r="E21" i="8"/>
  <c r="J21" i="8" s="1"/>
  <c r="J31" i="3"/>
  <c r="G79" i="8"/>
  <c r="G90" i="8"/>
  <c r="G78" i="8"/>
  <c r="G40" i="8"/>
  <c r="L54" i="8"/>
  <c r="L58" i="8"/>
  <c r="L42" i="8"/>
  <c r="L51" i="8"/>
  <c r="L50" i="8"/>
  <c r="L45" i="8"/>
  <c r="L57" i="8"/>
  <c r="L47" i="8"/>
  <c r="L44" i="8"/>
  <c r="L60" i="8"/>
  <c r="L43" i="8"/>
  <c r="L55" i="8"/>
  <c r="L49" i="8"/>
  <c r="L48" i="8"/>
  <c r="P13" i="5"/>
  <c r="O13" i="5"/>
  <c r="D49" i="1"/>
  <c r="F60" i="8" s="1"/>
  <c r="F45" i="8"/>
  <c r="P45" i="8" s="1"/>
  <c r="I40" i="8"/>
  <c r="I38" i="8"/>
  <c r="I26" i="8"/>
  <c r="I36" i="8"/>
  <c r="I28" i="8"/>
  <c r="I33" i="8"/>
  <c r="I35" i="8"/>
  <c r="I30" i="8"/>
  <c r="I27" i="8"/>
  <c r="I37" i="8"/>
  <c r="I29" i="8"/>
  <c r="I34" i="8"/>
  <c r="I31" i="8"/>
  <c r="D39" i="1"/>
  <c r="F51" i="8" s="1"/>
  <c r="P51" i="8" s="1"/>
  <c r="E49" i="1"/>
  <c r="E28" i="1"/>
  <c r="E40" i="8" s="1"/>
  <c r="D28" i="1"/>
  <c r="E39" i="1"/>
  <c r="E51" i="8" s="1"/>
  <c r="O51" i="8" s="1"/>
  <c r="L30" i="8" l="1"/>
  <c r="L40" i="8"/>
  <c r="L36" i="8"/>
  <c r="L33" i="8"/>
  <c r="L35" i="8"/>
  <c r="L38" i="8"/>
  <c r="L28" i="8"/>
  <c r="L37" i="8"/>
  <c r="L26" i="8"/>
  <c r="L34" i="8"/>
  <c r="O7" i="5"/>
  <c r="P7" i="5"/>
  <c r="K51" i="8"/>
  <c r="K45" i="8"/>
  <c r="O6" i="5"/>
  <c r="P6" i="5"/>
  <c r="J40" i="8"/>
  <c r="J30" i="8"/>
  <c r="J29" i="8"/>
  <c r="J34" i="8"/>
  <c r="J35" i="8"/>
  <c r="J27" i="8"/>
  <c r="J37" i="8"/>
  <c r="J26" i="8"/>
  <c r="J28" i="8"/>
  <c r="J33" i="8"/>
  <c r="J36" i="8"/>
  <c r="J38" i="8"/>
  <c r="J31" i="8"/>
  <c r="K44" i="8"/>
  <c r="K60" i="8"/>
  <c r="K49" i="8"/>
  <c r="K47" i="8"/>
  <c r="K57" i="8"/>
  <c r="K43" i="8"/>
  <c r="K54" i="8"/>
  <c r="K48" i="8"/>
  <c r="K42" i="8"/>
  <c r="K55" i="8"/>
  <c r="K58" i="8"/>
  <c r="K50" i="8"/>
  <c r="K59" i="8"/>
  <c r="I21" i="1"/>
  <c r="F40" i="8"/>
  <c r="J34" i="1"/>
  <c r="E60" i="8"/>
  <c r="J20" i="1"/>
  <c r="J28" i="1"/>
  <c r="J18" i="1"/>
  <c r="J26" i="1"/>
  <c r="J23" i="1"/>
  <c r="J16" i="1"/>
  <c r="P18" i="5"/>
  <c r="J19" i="1"/>
  <c r="J27" i="1"/>
  <c r="J22" i="1"/>
  <c r="J17" i="1"/>
  <c r="J24" i="1"/>
  <c r="J25" i="1"/>
  <c r="P29" i="5"/>
  <c r="J37" i="1"/>
  <c r="J44" i="1"/>
  <c r="J36" i="1"/>
  <c r="J31" i="1"/>
  <c r="J49" i="1"/>
  <c r="J43" i="1"/>
  <c r="J35" i="1"/>
  <c r="J32" i="1"/>
  <c r="J46" i="1"/>
  <c r="J33" i="1"/>
  <c r="J47" i="1"/>
  <c r="J48" i="1"/>
  <c r="I49" i="1"/>
  <c r="I46" i="1"/>
  <c r="I47" i="1"/>
  <c r="I33" i="1"/>
  <c r="I32" i="1"/>
  <c r="I44" i="1"/>
  <c r="I31" i="1"/>
  <c r="I37" i="1"/>
  <c r="I36" i="1"/>
  <c r="I35" i="1"/>
  <c r="I43" i="1"/>
  <c r="I48" i="1"/>
  <c r="I34" i="1"/>
  <c r="J21" i="1"/>
  <c r="J39" i="1"/>
  <c r="P17" i="5"/>
  <c r="P16" i="5"/>
  <c r="I22" i="1"/>
  <c r="O24" i="5"/>
  <c r="I24" i="1"/>
  <c r="I25" i="1"/>
  <c r="O29" i="5"/>
  <c r="O18" i="5"/>
  <c r="I23" i="1"/>
  <c r="I17" i="1"/>
  <c r="I19" i="1"/>
  <c r="I27" i="1"/>
  <c r="I20" i="1"/>
  <c r="I28" i="1"/>
  <c r="I26" i="1"/>
  <c r="I16" i="1"/>
  <c r="I18" i="1"/>
  <c r="O16" i="5"/>
  <c r="O17" i="5"/>
  <c r="I39" i="1"/>
  <c r="C23" i="4"/>
  <c r="D41" i="2"/>
  <c r="C41" i="2"/>
  <c r="C38" i="2"/>
  <c r="D38" i="2"/>
  <c r="J50" i="8" l="1"/>
  <c r="J60" i="8"/>
  <c r="J47" i="8"/>
  <c r="J55" i="8"/>
  <c r="J58" i="8"/>
  <c r="J44" i="8"/>
  <c r="J48" i="8"/>
  <c r="J49" i="8"/>
  <c r="J42" i="8"/>
  <c r="J54" i="8"/>
  <c r="J57" i="8"/>
  <c r="J43" i="8"/>
  <c r="J59" i="8"/>
  <c r="J45" i="8"/>
  <c r="K40" i="8"/>
  <c r="K34" i="8"/>
  <c r="K35" i="8"/>
  <c r="K27" i="8"/>
  <c r="K33" i="8"/>
  <c r="K28" i="8"/>
  <c r="K37" i="8"/>
  <c r="K26" i="8"/>
  <c r="K29" i="8"/>
  <c r="K36" i="8"/>
  <c r="K38" i="8"/>
  <c r="K30" i="8"/>
  <c r="K31" i="8"/>
  <c r="J51" i="8"/>
  <c r="R24" i="5"/>
  <c r="Q24" i="5"/>
  <c r="P24" i="5"/>
  <c r="C66" i="1" l="1"/>
  <c r="G84" i="8"/>
  <c r="C19" i="1"/>
  <c r="G29" i="8" s="1"/>
  <c r="G71" i="8"/>
  <c r="G74" i="8" s="1"/>
  <c r="C17" i="1" l="1"/>
  <c r="C21" i="1" s="1"/>
  <c r="Q29" i="8"/>
  <c r="L29" i="8"/>
  <c r="C60" i="1"/>
  <c r="C61" i="1"/>
  <c r="G31" i="8"/>
  <c r="G68" i="8"/>
  <c r="G67" i="8"/>
  <c r="G27" i="8"/>
  <c r="Q27" i="8" l="1"/>
  <c r="L27" i="8"/>
  <c r="L31" i="8"/>
  <c r="Q3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tc={AC7F42FC-BB25-4B2C-A578-8A4A43164551}</author>
  </authors>
  <commentList>
    <comment ref="C65" authorId="0" shapeId="0" xr:uid="{AC7F42FC-BB25-4B2C-A578-8A4A43164551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had calculated % of COGS based on DPO over COGS as was not certain the specific ratio. Also, I did include a separate new row for cash conversion cycle for reference. - Wanqiu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tc={D752EBE1-29F5-4A95-AD1B-82EF37EF82D8}</author>
    <author>tc={B43D050F-0705-46D4-ADD0-A32E9C6254E3}</author>
    <author>tc={0E621D7D-953D-4410-97F9-C2F163E84230}</author>
    <author>tc={4CD48706-DDC4-41E7-AD0A-0F86BD19037D}</author>
    <author>tc={41D2F69A-C932-4C0D-94E5-E0068FB7A465}</author>
    <author>tc={6B1F1288-6281-4A3C-A9EF-8001B524BF12}</author>
    <author>tc={BF497121-8F7B-4613-916F-22A34E485DED}</author>
    <author>tc={3D5A0CFA-66CB-44E2-B226-B851D2D0396B}</author>
    <author>tc={3C5421E1-7EB1-487C-974B-7598F21E056E}</author>
    <author>tc={32CE43E6-D27D-49A0-8DEC-FB78EAE9574B}</author>
  </authors>
  <commentList>
    <comment ref="C3" authorId="0" shapeId="0" xr:uid="{D752EBE1-29F5-4A95-AD1B-82EF37EF82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Surging demand for AI and Machine Learning tech: Blackwell chips
Expanding Data centers and cloud computing partnerships
Expansion in the automotive sector
Growth in the gaming industry
Metaverse development: Omniverse
Health care platforms and partnerships: CLARA
Telecom partnerships: 5G deployment
Acquisitions and investments
</t>
      </text>
    </comment>
    <comment ref="C4" authorId="1" shapeId="0" xr:uid="{B43D050F-0705-46D4-ADD0-A32E9C6254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 export controls on chips to China
Investment into more advanced chips 5nm, 4nm, 3nm
Increased R&amp;D costs
Prepayments to secure chip supply
Increased material costs
Geopolitical tensions
Acquisitions and partnerships
</t>
      </text>
    </comment>
    <comment ref="C5" authorId="2" shapeId="0" xr:uid="{0E621D7D-953D-4410-97F9-C2F163E84230}">
      <text>
        <t>[Threaded comment]
Your version of Excel allows you to read this threaded comment; however, any edits to it will get removed if the file is opened in a newer version of Excel. Learn more: https://go.microsoft.com/fwlink/?linkid=870924
Comment:
    Investment in AI Tech: investment in high performance computing tech
Expansion of product line: broadening product portfolio: AI-solutions, automotive tech, Omniverse Platform, CLARA, Data centers, and chips</t>
      </text>
    </comment>
    <comment ref="C6" authorId="3" shapeId="0" xr:uid="{4CD48706-DDC4-41E7-AD0A-0F86BD19037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Workforce: hiring more qualified employees with higher wages
Global Expansion: Nvidia is continuing to expand to other regions increasing costs
Data Center: higher admin costs to support infrastructure</t>
      </text>
    </comment>
    <comment ref="C7" authorId="4" shapeId="0" xr:uid="{41D2F69A-C932-4C0D-94E5-E0068FB7A465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Strong Cash Reserves: Nvidia maintains significant cash and market securities which result in higher ROI
Growth: With record revenues and profits Nvidia has liquidity to invest in interest bearing financial assets</t>
      </text>
    </comment>
    <comment ref="C8" authorId="5" shapeId="0" xr:uid="{6B1F1288-6281-4A3C-A9EF-8001B524BF12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the from the common size income statement averages from 21-23</t>
      </text>
    </comment>
    <comment ref="C9" authorId="6" shapeId="0" xr:uid="{BF497121-8F7B-4613-916F-22A34E485DE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the same percentage from the common size income statement</t>
      </text>
    </comment>
    <comment ref="C10" authorId="7" shapeId="0" xr:uid="{3D5A0CFA-66CB-44E2-B226-B851D2D0396B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the tax rate from the previous year which was 12%
Effective tax rate = Income tax expense (benefit)/Income before income tax</t>
      </text>
    </comment>
    <comment ref="C11" authorId="8" shapeId="0" xr:uid="{3C5421E1-7EB1-487C-974B-7598F21E056E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Interest expense/total debt*100
257/9709*100</t>
      </text>
    </comment>
    <comment ref="C25" authorId="9" shapeId="0" xr:uid="{32CE43E6-D27D-49A0-8DEC-FB78EAE9574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noting that we are using 2024 interest income over 2023 cash balance (rather than 2024 cash balance) based on the legacy formula from OLDIncome Statement tab - Wanqiu</t>
      </text>
    </comment>
  </commentList>
</comments>
</file>

<file path=xl/sharedStrings.xml><?xml version="1.0" encoding="utf-8"?>
<sst xmlns="http://schemas.openxmlformats.org/spreadsheetml/2006/main" count="476" uniqueCount="177">
  <si>
    <t>Assets</t>
  </si>
  <si>
    <t>Current assets:</t>
  </si>
  <si>
    <t>Cash and cash equivalents</t>
  </si>
  <si>
    <t>Accounts receivable, net</t>
  </si>
  <si>
    <t>Inventories</t>
  </si>
  <si>
    <t>Prepaid expenses and other current assets</t>
  </si>
  <si>
    <t>Total current assets</t>
  </si>
  <si>
    <t>Property and equipment, net</t>
  </si>
  <si>
    <t>Operating lease assets</t>
  </si>
  <si>
    <t>Goodwill</t>
  </si>
  <si>
    <t>Intangible assets, net</t>
  </si>
  <si>
    <t>Deferred income tax assets</t>
  </si>
  <si>
    <t>Other assets</t>
  </si>
  <si>
    <t>Total assets</t>
  </si>
  <si>
    <t>Liabilities and Shareholders' Equity</t>
  </si>
  <si>
    <t>Current liabilities:</t>
  </si>
  <si>
    <t>Accounts payable</t>
  </si>
  <si>
    <t>Accrued and other current liabilities</t>
  </si>
  <si>
    <t>Short-term debt</t>
  </si>
  <si>
    <t>Total current liabilities</t>
  </si>
  <si>
    <t>Long-term debt</t>
  </si>
  <si>
    <t>Long-term operating lease liabilities</t>
  </si>
  <si>
    <t>Other long-term liabilities</t>
  </si>
  <si>
    <t>Total liabilities</t>
  </si>
  <si>
    <t>Commitments and contingencies - see Note 13</t>
  </si>
  <si>
    <t>Shareholders’ equity:</t>
  </si>
  <si>
    <t>Preferred stock, $0.001 par value; 2 shares authorized; none issued</t>
  </si>
  <si>
    <t>— </t>
  </si>
  <si>
    <t>Common stock, $0.001 par value; 8,000 shares authorized; 2,464 shares issued and outstanding as of January 28, 2024; 2,466 shares issued and outstanding as of January 29, 2023</t>
  </si>
  <si>
    <t>Additional paid-in capital</t>
  </si>
  <si>
    <t> Accumulated other comprehensive income (loss)</t>
  </si>
  <si>
    <t>Retained earnings</t>
  </si>
  <si>
    <t>Total shareholders' equity</t>
  </si>
  <si>
    <t>Total liabilities and shareholders' equity</t>
  </si>
  <si>
    <t>Cash flows from operating activities:</t>
  </si>
  <si>
    <t>Net income</t>
  </si>
  <si>
    <t>Adjustments to reconcile net income to net cash provided by operating activities:</t>
  </si>
  <si>
    <t>Stock-based compensation expense</t>
  </si>
  <si>
    <t>Depreciation and amortization</t>
  </si>
  <si>
    <t>Deferred income taxes</t>
  </si>
  <si>
    <t>(Gains) losses on investments in non-affiliated entities, net</t>
  </si>
  <si>
    <t>Acquisition termination cost</t>
  </si>
  <si>
    <t>Other</t>
  </si>
  <si>
    <t>Changes in operating assets and liabilities, net of acquisitions:</t>
  </si>
  <si>
    <t>Accounts receivable</t>
  </si>
  <si>
    <t>Prepaid expenses and other assets</t>
  </si>
  <si>
    <t>Net cash provided by operating activities</t>
  </si>
  <si>
    <t>Cash flows from investing activities:</t>
  </si>
  <si>
    <t>Proceeds from maturities of marketable securities</t>
  </si>
  <si>
    <t>Proceeds from sales of marketable securities</t>
  </si>
  <si>
    <t>Purchases of marketable securities</t>
  </si>
  <si>
    <t>Purchases related to property and equipment and intangible assets</t>
  </si>
  <si>
    <t>Acquisitions, net of cash acquired</t>
  </si>
  <si>
    <t>Investments in non-affiliated entities and other, net</t>
  </si>
  <si>
    <t>Net cash provided by (used in) investing activities</t>
  </si>
  <si>
    <t>Cash flows from financing activities:</t>
  </si>
  <si>
    <t>Proceeds related to employee stock plans</t>
  </si>
  <si>
    <t>Payments related to repurchases of common stock</t>
  </si>
  <si>
    <t>Payments related to tax on restricted stock units</t>
  </si>
  <si>
    <t>Repayment of debt</t>
  </si>
  <si>
    <t>Dividends paid</t>
  </si>
  <si>
    <t>Principal payments on property and equipment and intangible assets</t>
  </si>
  <si>
    <t>Issuance of debt, net of issuance costs</t>
  </si>
  <si>
    <t>Net cash provided by (used in) financing activities</t>
  </si>
  <si>
    <t>Change in cash and cash equivalents</t>
  </si>
  <si>
    <t>Cash and cash equivalents at beginning of period</t>
  </si>
  <si>
    <t>Cash and cash equivalents at end of period</t>
  </si>
  <si>
    <t>Supplemental disclosures of cash flow information:</t>
  </si>
  <si>
    <t>Cash paid for income taxes, net</t>
  </si>
  <si>
    <t>Cash paid for interest</t>
  </si>
  <si>
    <t>Revenue</t>
  </si>
  <si>
    <t>Cost of revenue</t>
  </si>
  <si>
    <t>Gross profit</t>
  </si>
  <si>
    <t>Operating expenses</t>
  </si>
  <si>
    <t xml:space="preserve"> </t>
  </si>
  <si>
    <t>Research and development</t>
  </si>
  <si>
    <t>Sales, general and administrative</t>
  </si>
  <si>
    <t xml:space="preserve">— </t>
  </si>
  <si>
    <t>Total operating expenses</t>
  </si>
  <si>
    <t>Operating income</t>
  </si>
  <si>
    <t>Interest income</t>
  </si>
  <si>
    <t>Interest expense</t>
  </si>
  <si>
    <t>Other, net</t>
  </si>
  <si>
    <t>Other income (expense), net</t>
  </si>
  <si>
    <t>Income before income tax</t>
  </si>
  <si>
    <t>Income tax expense (benefit)</t>
  </si>
  <si>
    <t>Net income per share:</t>
  </si>
  <si>
    <t>Basic</t>
  </si>
  <si>
    <t>Diluted</t>
  </si>
  <si>
    <t>Weighted average shares used in per share computation:</t>
  </si>
  <si>
    <t>Shares</t>
  </si>
  <si>
    <t>Amount</t>
  </si>
  <si>
    <t>Balances, Jan 31, 2021</t>
  </si>
  <si>
    <t>Other comprehensive loss</t>
  </si>
  <si>
    <t>Issuance of common stock from stock plans</t>
  </si>
  <si>
    <t>Tax withholding related to vesting of restricted stock units</t>
  </si>
  <si>
    <t>Cash dividends declared and paid ($0.16 per common share)</t>
  </si>
  <si>
    <t>Fair value of partially vested equity awards assumed in connection with acquisitions</t>
  </si>
  <si>
    <t>Stock-based compensation</t>
  </si>
  <si>
    <t>Retirement of Treasury Stock</t>
  </si>
  <si>
    <t>Balances, Jan 30, 2022</t>
  </si>
  <si>
    <t>Shares repurchased</t>
  </si>
  <si>
    <t>Balances, Jan 29, 2023</t>
  </si>
  <si>
    <t>Other comprehensive income</t>
  </si>
  <si>
    <t>Balances, Jan 28, 2024</t>
  </si>
  <si>
    <t>Additional Paid-in Capital</t>
  </si>
  <si>
    <t>Treasury Stock</t>
  </si>
  <si>
    <t>Accumulated Other Comprehensive Income (Loss)</t>
  </si>
  <si>
    <t>Retained Earnings</t>
  </si>
  <si>
    <t>Total Shareholders' Equity</t>
  </si>
  <si>
    <t>Statements of Shareholders' Equity</t>
  </si>
  <si>
    <t>Fiscal 2024</t>
  </si>
  <si>
    <t>Fiscal 2023</t>
  </si>
  <si>
    <t>Fiscal 2022</t>
  </si>
  <si>
    <t>Liquidity</t>
  </si>
  <si>
    <t>Current Ratio</t>
  </si>
  <si>
    <t>Quick Ratio</t>
  </si>
  <si>
    <t>Cash Conversion Cycle</t>
  </si>
  <si>
    <t>DSI</t>
  </si>
  <si>
    <t>DSO</t>
  </si>
  <si>
    <t>DPO</t>
  </si>
  <si>
    <t>Debt Management</t>
  </si>
  <si>
    <t>Debt to Equity</t>
  </si>
  <si>
    <t>Debt Ratio</t>
  </si>
  <si>
    <t>Leverage Ratio</t>
  </si>
  <si>
    <t>TIE</t>
  </si>
  <si>
    <t>Cash Coverage</t>
  </si>
  <si>
    <t>Asset Management</t>
  </si>
  <si>
    <t>Inventory Turnover</t>
  </si>
  <si>
    <t>Asset Turnover</t>
  </si>
  <si>
    <t>Profitability/Return</t>
  </si>
  <si>
    <t>Net Profit Margin</t>
  </si>
  <si>
    <t>Return on Equity</t>
  </si>
  <si>
    <t>Return on Assets</t>
  </si>
  <si>
    <t>Return On Invested Capital</t>
  </si>
  <si>
    <t>Other Ratios</t>
  </si>
  <si>
    <t>Payout Ratio</t>
  </si>
  <si>
    <t>Earnings per Share (EPS)</t>
  </si>
  <si>
    <t>Treasury stock, at cost (None as of January 30, 2022 and 1,380 shares as of January 31, 2021)</t>
  </si>
  <si>
    <t>Fiscal 2021</t>
  </si>
  <si>
    <t>Cash Flow Statement</t>
  </si>
  <si>
    <t>Total long-term liabilities</t>
  </si>
  <si>
    <t>Fiscal 2025 Forecast</t>
  </si>
  <si>
    <t>COMMON SIZE INCOME STATEMENT</t>
  </si>
  <si>
    <t>24/23</t>
  </si>
  <si>
    <t>23/22</t>
  </si>
  <si>
    <t>22/21</t>
  </si>
  <si>
    <t>DIO</t>
  </si>
  <si>
    <t>% of COGS</t>
  </si>
  <si>
    <t xml:space="preserve">COMMON SIZE BALANCE SHEET </t>
  </si>
  <si>
    <t>TTM / 2Q'24</t>
  </si>
  <si>
    <t>Basic Earnings per Share (EPS)</t>
  </si>
  <si>
    <t>AMD</t>
  </si>
  <si>
    <t>NVIDIA</t>
  </si>
  <si>
    <t>Cross Sectional Analysis</t>
  </si>
  <si>
    <t>Differnace between NVIDIA &amp; AMD</t>
  </si>
  <si>
    <t>`</t>
  </si>
  <si>
    <t>Average Annual Interest Payment</t>
  </si>
  <si>
    <t>Marketable securities (PLUG)</t>
  </si>
  <si>
    <t>Projected Finanical Statements</t>
  </si>
  <si>
    <t>2021</t>
  </si>
  <si>
    <t>2022</t>
  </si>
  <si>
    <t>2023</t>
  </si>
  <si>
    <t>2024</t>
  </si>
  <si>
    <t>2025</t>
  </si>
  <si>
    <t>21</t>
  </si>
  <si>
    <t>22</t>
  </si>
  <si>
    <t>23</t>
  </si>
  <si>
    <t>24</t>
  </si>
  <si>
    <t>25</t>
  </si>
  <si>
    <t>Percent of Gross Profit</t>
  </si>
  <si>
    <t>Balance Sheet (millions)</t>
  </si>
  <si>
    <t>Projected Income Statement (millions)</t>
  </si>
  <si>
    <t>Projected Balance Sheet (millions)</t>
  </si>
  <si>
    <t>Key Indicators</t>
  </si>
  <si>
    <t>Income Statement (millions)`</t>
  </si>
  <si>
    <t>Common Stock Outstanding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</si>
</sst>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  <numFmt numFmtId="166" formatCode="0.0%"/>
    <numFmt numFmtId="167" formatCode="0.0000"/>
    <numFmt numFmtId="168" formatCode="0.000%"/>
  </numFmts>
  <fonts count="3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7.5"/>
      <color rgb="FF000000"/>
      <name val="Arial"/>
      <family val="2"/>
    </font>
    <font>
      <b/>
      <sz val="9"/>
      <color rgb="FF000000"/>
      <name val="Aptos Display"/>
      <family val="2"/>
      <scheme val="major"/>
    </font>
    <font>
      <sz val="9"/>
      <color rgb="FF000000"/>
      <name val="Aptos Display"/>
      <family val="2"/>
      <scheme val="major"/>
    </font>
    <font>
      <sz val="11"/>
      <color theme="1"/>
      <name val="Aptos Display"/>
      <family val="2"/>
      <scheme val="major"/>
    </font>
    <font>
      <sz val="9"/>
      <color theme="1"/>
      <name val="Aptos Display"/>
      <family val="2"/>
      <scheme val="major"/>
    </font>
    <font>
      <b/>
      <i/>
      <sz val="9"/>
      <color rgb="FF000000"/>
      <name val="Aptos Display"/>
      <family val="2"/>
      <scheme val="major"/>
    </font>
    <font>
      <b/>
      <sz val="9"/>
      <color theme="1"/>
      <name val="Aptos Display"/>
      <family val="2"/>
      <scheme val="major"/>
    </font>
    <font>
      <sz val="12"/>
      <color theme="1"/>
      <name val="Aptos Display"/>
      <family val="2"/>
      <scheme val="major"/>
    </font>
    <font>
      <b/>
      <sz val="9"/>
      <color theme="1"/>
      <name val="Aptos Display (Headings)"/>
    </font>
    <font>
      <sz val="9"/>
      <color theme="1"/>
      <name val="Aptos Narrow"/>
      <family val="2"/>
      <scheme val="minor"/>
    </font>
    <font>
      <sz val="9"/>
      <color theme="1"/>
      <name val="Aptos Display"/>
      <family val="2"/>
      <scheme val="major"/>
    </font>
    <font>
      <b/>
      <sz val="9"/>
      <color theme="1"/>
      <name val="Aptos Display"/>
      <family val="2"/>
      <scheme val="major"/>
    </font>
    <font>
      <b/>
      <sz val="9"/>
      <color theme="1"/>
      <name val="Aptos Narrow"/>
      <family val="2"/>
      <scheme val="minor"/>
    </font>
    <font>
      <sz val="9"/>
      <color rgb="FF000000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sz val="9"/>
      <name val="Aptos Display"/>
      <family val="2"/>
      <scheme val="major"/>
    </font>
    <font>
      <b/>
      <sz val="16"/>
      <color theme="1"/>
      <name val="Aptos Narrow"/>
      <family val="2"/>
      <scheme val="minor"/>
    </font>
    <font>
      <b/>
      <sz val="9"/>
      <color theme="1"/>
      <name val="Aptos Display"/>
      <family val="2"/>
      <scheme val="major"/>
    </font>
    <font>
      <b/>
      <sz val="2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name val="Aptos Display"/>
      <family val="2"/>
      <scheme val="major"/>
    </font>
    <font>
      <b/>
      <sz val="11"/>
      <name val="Aptos Display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1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horizontal="right" wrapText="1"/>
    </xf>
    <xf numFmtId="15" fontId="2" fillId="0" borderId="0" xfId="0" applyNumberFormat="1" applyFont="1" applyAlignment="1">
      <alignment horizont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horizontal="right" wrapText="1"/>
    </xf>
    <xf numFmtId="0" fontId="6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0" applyFont="1"/>
    <xf numFmtId="15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3"/>
    </xf>
    <xf numFmtId="15" fontId="7" fillId="0" borderId="0" xfId="0" applyNumberFormat="1" applyFont="1"/>
    <xf numFmtId="0" fontId="7" fillId="0" borderId="0" xfId="0" applyFont="1"/>
    <xf numFmtId="0" fontId="4" fillId="2" borderId="2" xfId="0" applyFont="1" applyFill="1" applyBorder="1" applyAlignment="1">
      <alignment horizontal="right" wrapText="1"/>
    </xf>
    <xf numFmtId="1" fontId="0" fillId="0" borderId="0" xfId="1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 wrapText="1"/>
    </xf>
    <xf numFmtId="1" fontId="5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5" fontId="5" fillId="0" borderId="0" xfId="1" applyNumberFormat="1" applyFont="1" applyFill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 wrapText="1"/>
    </xf>
    <xf numFmtId="1" fontId="8" fillId="0" borderId="0" xfId="0" applyNumberFormat="1" applyFont="1" applyAlignment="1">
      <alignment horizontal="left" wrapText="1"/>
    </xf>
    <xf numFmtId="1" fontId="3" fillId="0" borderId="0" xfId="0" applyNumberFormat="1" applyFont="1" applyAlignment="1">
      <alignment horizontal="left" wrapText="1"/>
    </xf>
    <xf numFmtId="0" fontId="0" fillId="0" borderId="0" xfId="0" applyAlignment="1">
      <alignment horizontal="right" wrapText="1"/>
    </xf>
    <xf numFmtId="1" fontId="8" fillId="0" borderId="0" xfId="1" applyNumberFormat="1" applyFont="1" applyFill="1" applyBorder="1" applyAlignment="1">
      <alignment horizontal="left" wrapText="1"/>
    </xf>
    <xf numFmtId="1" fontId="3" fillId="0" borderId="0" xfId="1" applyNumberFormat="1" applyFont="1" applyFill="1" applyBorder="1" applyAlignment="1">
      <alignment horizontal="left" wrapText="1"/>
    </xf>
    <xf numFmtId="1" fontId="8" fillId="0" borderId="0" xfId="0" applyNumberFormat="1" applyFont="1" applyAlignment="1">
      <alignment horizontal="left"/>
    </xf>
    <xf numFmtId="164" fontId="0" fillId="0" borderId="0" xfId="1" applyNumberFormat="1" applyFont="1" applyFill="1" applyBorder="1" applyAlignment="1">
      <alignment horizontal="right" wrapText="1"/>
    </xf>
    <xf numFmtId="1" fontId="0" fillId="0" borderId="0" xfId="0" applyNumberFormat="1"/>
    <xf numFmtId="0" fontId="7" fillId="0" borderId="0" xfId="0" applyFont="1" applyAlignment="1">
      <alignment vertical="center" wrapText="1"/>
    </xf>
    <xf numFmtId="1" fontId="0" fillId="0" borderId="0" xfId="1" applyNumberFormat="1" applyFont="1" applyBorder="1"/>
    <xf numFmtId="1" fontId="7" fillId="0" borderId="0" xfId="1" applyNumberFormat="1" applyFont="1" applyBorder="1"/>
    <xf numFmtId="0" fontId="0" fillId="0" borderId="0" xfId="0" applyAlignment="1">
      <alignment horizontal="left" vertical="top" indent="3"/>
    </xf>
    <xf numFmtId="0" fontId="13" fillId="0" borderId="0" xfId="0" applyFont="1"/>
    <xf numFmtId="0" fontId="10" fillId="0" borderId="5" xfId="0" applyFont="1" applyBorder="1"/>
    <xf numFmtId="0" fontId="2" fillId="0" borderId="0" xfId="0" applyFont="1" applyAlignment="1">
      <alignment horizontal="center" wrapText="1"/>
    </xf>
    <xf numFmtId="1" fontId="11" fillId="0" borderId="0" xfId="1" applyNumberFormat="1" applyFont="1" applyFill="1" applyBorder="1" applyAlignment="1">
      <alignment horizontal="center" vertical="center" wrapText="1"/>
    </xf>
    <xf numFmtId="1" fontId="13" fillId="0" borderId="0" xfId="1" applyNumberFormat="1" applyFont="1" applyFill="1" applyBorder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1" fillId="4" borderId="0" xfId="1" applyNumberFormat="1" applyFont="1" applyFill="1" applyBorder="1" applyAlignment="1">
      <alignment horizontal="center" vertical="center" wrapText="1"/>
    </xf>
    <xf numFmtId="1" fontId="11" fillId="4" borderId="8" xfId="1" applyNumberFormat="1" applyFont="1" applyFill="1" applyBorder="1" applyAlignment="1">
      <alignment horizontal="center" vertical="center" wrapText="1"/>
    </xf>
    <xf numFmtId="1" fontId="13" fillId="5" borderId="0" xfId="0" applyNumberFormat="1" applyFont="1" applyFill="1" applyAlignment="1">
      <alignment horizontal="center" vertical="center"/>
    </xf>
    <xf numFmtId="1" fontId="11" fillId="5" borderId="0" xfId="1" applyNumberFormat="1" applyFont="1" applyFill="1" applyAlignment="1">
      <alignment horizontal="center" vertical="center" wrapText="1"/>
    </xf>
    <xf numFmtId="1" fontId="11" fillId="5" borderId="0" xfId="1" applyNumberFormat="1" applyFont="1" applyFill="1" applyBorder="1" applyAlignment="1">
      <alignment horizontal="center" vertical="center" wrapText="1"/>
    </xf>
    <xf numFmtId="1" fontId="13" fillId="5" borderId="0" xfId="1" applyNumberFormat="1" applyFont="1" applyFill="1" applyAlignment="1">
      <alignment horizontal="center" vertical="center"/>
    </xf>
    <xf numFmtId="1" fontId="11" fillId="5" borderId="7" xfId="1" applyNumberFormat="1" applyFont="1" applyFill="1" applyBorder="1" applyAlignment="1">
      <alignment horizontal="center" vertical="center" wrapText="1"/>
    </xf>
    <xf numFmtId="1" fontId="13" fillId="5" borderId="0" xfId="1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wrapText="1"/>
    </xf>
    <xf numFmtId="1" fontId="11" fillId="4" borderId="9" xfId="0" applyNumberFormat="1" applyFont="1" applyFill="1" applyBorder="1" applyAlignment="1">
      <alignment horizontal="center" vertical="center" wrapText="1"/>
    </xf>
    <xf numFmtId="1" fontId="13" fillId="4" borderId="9" xfId="0" applyNumberFormat="1" applyFont="1" applyFill="1" applyBorder="1" applyAlignment="1">
      <alignment horizontal="center" vertical="center"/>
    </xf>
    <xf numFmtId="1" fontId="13" fillId="5" borderId="11" xfId="1" applyNumberFormat="1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/>
    </xf>
    <xf numFmtId="1" fontId="13" fillId="4" borderId="11" xfId="1" applyNumberFormat="1" applyFont="1" applyFill="1" applyBorder="1" applyAlignment="1">
      <alignment horizontal="center" vertical="center"/>
    </xf>
    <xf numFmtId="1" fontId="13" fillId="4" borderId="8" xfId="0" applyNumberFormat="1" applyFont="1" applyFill="1" applyBorder="1" applyAlignment="1">
      <alignment horizontal="center" vertical="center"/>
    </xf>
    <xf numFmtId="1" fontId="11" fillId="4" borderId="9" xfId="1" applyNumberFormat="1" applyFont="1" applyFill="1" applyBorder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wrapText="1"/>
    </xf>
    <xf numFmtId="1" fontId="13" fillId="0" borderId="0" xfId="1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 wrapText="1"/>
    </xf>
    <xf numFmtId="0" fontId="15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1" fontId="13" fillId="4" borderId="9" xfId="1" applyNumberFormat="1" applyFont="1" applyFill="1" applyBorder="1" applyAlignment="1">
      <alignment horizontal="center" vertical="center"/>
    </xf>
    <xf numFmtId="1" fontId="13" fillId="4" borderId="0" xfId="1" applyNumberFormat="1" applyFont="1" applyFill="1" applyAlignment="1">
      <alignment horizontal="center" vertical="center"/>
    </xf>
    <xf numFmtId="1" fontId="13" fillId="5" borderId="7" xfId="1" applyNumberFormat="1" applyFont="1" applyFill="1" applyBorder="1" applyAlignment="1">
      <alignment horizontal="center" vertical="center"/>
    </xf>
    <xf numFmtId="1" fontId="13" fillId="5" borderId="9" xfId="1" applyNumberFormat="1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1" fontId="13" fillId="5" borderId="11" xfId="1" applyNumberFormat="1" applyFont="1" applyFill="1" applyBorder="1" applyAlignment="1">
      <alignment horizontal="center" vertical="center"/>
    </xf>
    <xf numFmtId="2" fontId="13" fillId="5" borderId="11" xfId="1" applyNumberFormat="1" applyFont="1" applyFill="1" applyBorder="1" applyAlignment="1">
      <alignment horizontal="center" vertical="center"/>
    </xf>
    <xf numFmtId="1" fontId="12" fillId="0" borderId="0" xfId="0" applyNumberFormat="1" applyFont="1"/>
    <xf numFmtId="0" fontId="9" fillId="0" borderId="0" xfId="0" applyFont="1" applyAlignment="1">
      <alignment horizontal="center" wrapText="1"/>
    </xf>
    <xf numFmtId="0" fontId="8" fillId="0" borderId="0" xfId="0" applyFont="1" applyAlignment="1">
      <alignment vertical="center" wrapText="1"/>
    </xf>
    <xf numFmtId="44" fontId="8" fillId="0" borderId="0" xfId="1" applyFont="1" applyFill="1" applyBorder="1" applyAlignment="1">
      <alignment vertical="center" wrapText="1"/>
    </xf>
    <xf numFmtId="0" fontId="8" fillId="0" borderId="0" xfId="1" applyNumberFormat="1" applyFont="1" applyFill="1" applyBorder="1" applyAlignment="1">
      <alignment horizontal="right" wrapText="1"/>
    </xf>
    <xf numFmtId="0" fontId="8" fillId="0" borderId="0" xfId="0" applyFont="1" applyAlignment="1">
      <alignment horizontal="right" wrapText="1"/>
    </xf>
    <xf numFmtId="0" fontId="8" fillId="0" borderId="0" xfId="0" applyFont="1"/>
    <xf numFmtId="0" fontId="8" fillId="0" borderId="0" xfId="1" applyNumberFormat="1" applyFont="1" applyFill="1" applyBorder="1"/>
    <xf numFmtId="44" fontId="3" fillId="0" borderId="0" xfId="1" applyFont="1" applyFill="1" applyBorder="1" applyAlignment="1">
      <alignment horizontal="left" wrapText="1"/>
    </xf>
    <xf numFmtId="44" fontId="8" fillId="0" borderId="0" xfId="1" applyFont="1" applyFill="1" applyBorder="1" applyAlignment="1">
      <alignment horizontal="right" wrapText="1"/>
    </xf>
    <xf numFmtId="44" fontId="8" fillId="0" borderId="0" xfId="0" applyNumberFormat="1" applyFont="1" applyAlignment="1">
      <alignment horizontal="right" wrapText="1"/>
    </xf>
    <xf numFmtId="0" fontId="10" fillId="0" borderId="0" xfId="0" applyFont="1"/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3" fillId="0" borderId="0" xfId="0" applyFont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center" wrapText="1"/>
    </xf>
    <xf numFmtId="1" fontId="11" fillId="0" borderId="0" xfId="1" applyNumberFormat="1" applyFont="1" applyFill="1" applyAlignment="1">
      <alignment horizontal="right" wrapText="1"/>
    </xf>
    <xf numFmtId="0" fontId="10" fillId="0" borderId="0" xfId="0" applyFont="1" applyAlignment="1">
      <alignment horizontal="left" wrapText="1"/>
    </xf>
    <xf numFmtId="0" fontId="10" fillId="5" borderId="6" xfId="0" applyFont="1" applyFill="1" applyBorder="1" applyAlignment="1">
      <alignment horizontal="center" wrapText="1"/>
    </xf>
    <xf numFmtId="1" fontId="13" fillId="5" borderId="1" xfId="0" applyNumberFormat="1" applyFont="1" applyFill="1" applyBorder="1" applyAlignment="1">
      <alignment horizontal="center" vertical="center" wrapText="1"/>
    </xf>
    <xf numFmtId="1" fontId="13" fillId="5" borderId="0" xfId="1" applyNumberFormat="1" applyFont="1" applyFill="1" applyAlignment="1">
      <alignment horizontal="center" vertical="center" wrapText="1"/>
    </xf>
    <xf numFmtId="1" fontId="11" fillId="5" borderId="3" xfId="1" applyNumberFormat="1" applyFont="1" applyFill="1" applyBorder="1" applyAlignment="1">
      <alignment horizontal="center" vertical="center" wrapText="1"/>
    </xf>
    <xf numFmtId="1" fontId="11" fillId="5" borderId="2" xfId="1" applyNumberFormat="1" applyFont="1" applyFill="1" applyBorder="1" applyAlignment="1">
      <alignment horizontal="center" vertical="center" wrapText="1"/>
    </xf>
    <xf numFmtId="1" fontId="11" fillId="5" borderId="4" xfId="0" applyNumberFormat="1" applyFont="1" applyFill="1" applyBorder="1" applyAlignment="1">
      <alignment horizontal="center" vertical="center" wrapText="1"/>
    </xf>
    <xf numFmtId="0" fontId="16" fillId="0" borderId="0" xfId="0" applyFont="1"/>
    <xf numFmtId="1" fontId="11" fillId="4" borderId="10" xfId="0" applyNumberFormat="1" applyFont="1" applyFill="1" applyBorder="1" applyAlignment="1">
      <alignment horizontal="center" vertical="center" wrapText="1"/>
    </xf>
    <xf numFmtId="1" fontId="13" fillId="6" borderId="1" xfId="0" applyNumberFormat="1" applyFont="1" applyFill="1" applyBorder="1" applyAlignment="1">
      <alignment horizontal="center" vertical="center" wrapText="1"/>
    </xf>
    <xf numFmtId="1" fontId="13" fillId="6" borderId="0" xfId="0" applyNumberFormat="1" applyFont="1" applyFill="1" applyAlignment="1">
      <alignment horizontal="center" vertical="center"/>
    </xf>
    <xf numFmtId="1" fontId="13" fillId="6" borderId="0" xfId="1" applyNumberFormat="1" applyFont="1" applyFill="1" applyAlignment="1">
      <alignment horizontal="center" vertical="center" wrapText="1"/>
    </xf>
    <xf numFmtId="1" fontId="11" fillId="6" borderId="0" xfId="1" applyNumberFormat="1" applyFont="1" applyFill="1" applyAlignment="1">
      <alignment horizontal="center" vertical="center" wrapText="1"/>
    </xf>
    <xf numFmtId="1" fontId="11" fillId="6" borderId="3" xfId="1" applyNumberFormat="1" applyFont="1" applyFill="1" applyBorder="1" applyAlignment="1">
      <alignment horizontal="center" vertical="center" wrapText="1"/>
    </xf>
    <xf numFmtId="1" fontId="11" fillId="6" borderId="2" xfId="1" applyNumberFormat="1" applyFont="1" applyFill="1" applyBorder="1" applyAlignment="1">
      <alignment horizontal="center" vertical="center" wrapText="1"/>
    </xf>
    <xf numFmtId="1" fontId="13" fillId="4" borderId="0" xfId="0" applyNumberFormat="1" applyFont="1" applyFill="1" applyAlignment="1">
      <alignment horizontal="center" vertical="center"/>
    </xf>
    <xf numFmtId="1" fontId="11" fillId="4" borderId="0" xfId="1" applyNumberFormat="1" applyFont="1" applyFill="1" applyAlignment="1">
      <alignment horizontal="center" vertical="center" wrapText="1"/>
    </xf>
    <xf numFmtId="1" fontId="11" fillId="4" borderId="5" xfId="1" applyNumberFormat="1" applyFont="1" applyFill="1" applyBorder="1" applyAlignment="1">
      <alignment horizontal="center" vertical="center" wrapText="1"/>
    </xf>
    <xf numFmtId="1" fontId="13" fillId="4" borderId="5" xfId="0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 wrapText="1"/>
    </xf>
    <xf numFmtId="164" fontId="11" fillId="6" borderId="4" xfId="1" applyNumberFormat="1" applyFont="1" applyFill="1" applyBorder="1" applyAlignment="1">
      <alignment horizontal="center" vertical="center" wrapText="1"/>
    </xf>
    <xf numFmtId="1" fontId="11" fillId="6" borderId="4" xfId="0" applyNumberFormat="1" applyFont="1" applyFill="1" applyBorder="1" applyAlignment="1">
      <alignment horizontal="center" vertical="center" wrapText="1"/>
    </xf>
    <xf numFmtId="1" fontId="11" fillId="5" borderId="11" xfId="1" applyNumberFormat="1" applyFont="1" applyFill="1" applyBorder="1" applyAlignment="1">
      <alignment horizontal="center" vertical="center" wrapText="1"/>
    </xf>
    <xf numFmtId="0" fontId="18" fillId="0" borderId="0" xfId="0" applyFont="1"/>
    <xf numFmtId="0" fontId="15" fillId="0" borderId="0" xfId="0" applyFont="1"/>
    <xf numFmtId="9" fontId="19" fillId="0" borderId="12" xfId="2" applyFont="1" applyBorder="1" applyAlignment="1">
      <alignment horizontal="center" vertical="center"/>
    </xf>
    <xf numFmtId="9" fontId="19" fillId="0" borderId="10" xfId="2" applyFont="1" applyBorder="1" applyAlignment="1">
      <alignment horizontal="center" vertical="center"/>
    </xf>
    <xf numFmtId="9" fontId="19" fillId="0" borderId="13" xfId="2" applyFont="1" applyBorder="1" applyAlignment="1">
      <alignment horizontal="center" vertical="center"/>
    </xf>
    <xf numFmtId="9" fontId="19" fillId="0" borderId="14" xfId="2" applyFont="1" applyBorder="1" applyAlignment="1">
      <alignment horizontal="center" vertical="center"/>
    </xf>
    <xf numFmtId="9" fontId="19" fillId="0" borderId="0" xfId="2" applyFont="1" applyBorder="1" applyAlignment="1">
      <alignment horizontal="center" vertical="center"/>
    </xf>
    <xf numFmtId="9" fontId="19" fillId="0" borderId="15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9" fontId="19" fillId="0" borderId="20" xfId="2" applyFont="1" applyBorder="1" applyAlignment="1">
      <alignment horizontal="center" vertical="center"/>
    </xf>
    <xf numFmtId="9" fontId="19" fillId="0" borderId="8" xfId="2" applyFont="1" applyBorder="1" applyAlignment="1">
      <alignment horizontal="center" vertical="center"/>
    </xf>
    <xf numFmtId="9" fontId="19" fillId="0" borderId="21" xfId="2" applyFont="1" applyBorder="1" applyAlignment="1">
      <alignment horizontal="center" vertical="center"/>
    </xf>
    <xf numFmtId="9" fontId="19" fillId="0" borderId="14" xfId="0" applyNumberFormat="1" applyFont="1" applyBorder="1" applyAlignment="1">
      <alignment horizontal="center" vertical="center"/>
    </xf>
    <xf numFmtId="9" fontId="19" fillId="0" borderId="0" xfId="1" applyNumberFormat="1" applyFont="1" applyFill="1" applyBorder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 wrapText="1"/>
    </xf>
    <xf numFmtId="9" fontId="19" fillId="0" borderId="15" xfId="0" applyNumberFormat="1" applyFont="1" applyBorder="1" applyAlignment="1">
      <alignment horizontal="center" vertical="center" wrapText="1"/>
    </xf>
    <xf numFmtId="9" fontId="22" fillId="0" borderId="0" xfId="1" applyNumberFormat="1" applyFont="1" applyFill="1" applyBorder="1" applyAlignment="1">
      <alignment horizontal="center" vertical="center" wrapText="1"/>
    </xf>
    <xf numFmtId="9" fontId="19" fillId="0" borderId="14" xfId="2" applyFont="1" applyFill="1" applyBorder="1" applyAlignment="1">
      <alignment horizontal="center" vertical="center"/>
    </xf>
    <xf numFmtId="9" fontId="19" fillId="0" borderId="0" xfId="0" applyNumberFormat="1" applyFont="1" applyAlignment="1">
      <alignment horizontal="center" vertical="center"/>
    </xf>
    <xf numFmtId="9" fontId="19" fillId="0" borderId="15" xfId="0" applyNumberFormat="1" applyFont="1" applyBorder="1" applyAlignment="1">
      <alignment horizontal="center" vertical="center"/>
    </xf>
    <xf numFmtId="9" fontId="11" fillId="0" borderId="14" xfId="1" applyNumberFormat="1" applyFont="1" applyFill="1" applyBorder="1" applyAlignment="1">
      <alignment horizontal="center" vertical="center" wrapText="1"/>
    </xf>
    <xf numFmtId="9" fontId="11" fillId="0" borderId="0" xfId="1" applyNumberFormat="1" applyFont="1" applyFill="1" applyBorder="1" applyAlignment="1">
      <alignment horizontal="center" vertical="center" wrapText="1"/>
    </xf>
    <xf numFmtId="9" fontId="11" fillId="0" borderId="15" xfId="1" applyNumberFormat="1" applyFont="1" applyFill="1" applyBorder="1" applyAlignment="1">
      <alignment horizontal="center" vertical="center" wrapText="1"/>
    </xf>
    <xf numFmtId="9" fontId="22" fillId="0" borderId="16" xfId="2" applyFont="1" applyFill="1" applyBorder="1" applyAlignment="1">
      <alignment horizontal="center" vertical="center"/>
    </xf>
    <xf numFmtId="9" fontId="22" fillId="0" borderId="9" xfId="2" applyFont="1" applyFill="1" applyBorder="1" applyAlignment="1">
      <alignment horizontal="center" vertical="center"/>
    </xf>
    <xf numFmtId="9" fontId="22" fillId="0" borderId="17" xfId="2" applyFont="1" applyFill="1" applyBorder="1" applyAlignment="1">
      <alignment horizontal="center" vertical="center"/>
    </xf>
    <xf numFmtId="9" fontId="22" fillId="0" borderId="20" xfId="2" applyFont="1" applyFill="1" applyBorder="1" applyAlignment="1">
      <alignment horizontal="center" vertical="center" wrapText="1"/>
    </xf>
    <xf numFmtId="9" fontId="22" fillId="0" borderId="8" xfId="2" applyFont="1" applyFill="1" applyBorder="1" applyAlignment="1">
      <alignment horizontal="center" vertical="center" wrapText="1"/>
    </xf>
    <xf numFmtId="9" fontId="22" fillId="0" borderId="21" xfId="2" applyFont="1" applyFill="1" applyBorder="1" applyAlignment="1">
      <alignment horizontal="center" vertical="center" wrapText="1"/>
    </xf>
    <xf numFmtId="9" fontId="19" fillId="5" borderId="0" xfId="2" applyFont="1" applyFill="1" applyAlignment="1">
      <alignment horizontal="center" vertical="center"/>
    </xf>
    <xf numFmtId="9" fontId="0" fillId="0" borderId="0" xfId="0" applyNumberFormat="1"/>
    <xf numFmtId="9" fontId="19" fillId="7" borderId="0" xfId="2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4" fillId="0" borderId="0" xfId="3"/>
    <xf numFmtId="1" fontId="13" fillId="7" borderId="0" xfId="1" applyNumberFormat="1" applyFont="1" applyFill="1" applyBorder="1" applyAlignment="1">
      <alignment horizontal="center" vertical="center"/>
    </xf>
    <xf numFmtId="1" fontId="13" fillId="0" borderId="0" xfId="1" applyNumberFormat="1" applyFont="1" applyFill="1" applyAlignment="1">
      <alignment horizontal="center" vertical="center"/>
    </xf>
    <xf numFmtId="2" fontId="12" fillId="0" borderId="0" xfId="0" applyNumberFormat="1" applyFont="1"/>
    <xf numFmtId="0" fontId="12" fillId="0" borderId="0" xfId="0" applyFont="1"/>
    <xf numFmtId="1" fontId="13" fillId="7" borderId="0" xfId="0" applyNumberFormat="1" applyFont="1" applyFill="1" applyAlignment="1">
      <alignment horizontal="center" vertical="center"/>
    </xf>
    <xf numFmtId="1" fontId="13" fillId="7" borderId="0" xfId="2" applyNumberFormat="1" applyFont="1" applyFill="1" applyAlignment="1">
      <alignment horizontal="center" vertical="center"/>
    </xf>
    <xf numFmtId="1" fontId="25" fillId="4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5" fillId="0" borderId="0" xfId="0" applyFont="1" applyAlignment="1">
      <alignment horizontal="left" wrapText="1"/>
    </xf>
    <xf numFmtId="1" fontId="13" fillId="7" borderId="11" xfId="0" applyNumberFormat="1" applyFont="1" applyFill="1" applyBorder="1" applyAlignment="1">
      <alignment horizontal="center" vertical="center"/>
    </xf>
    <xf numFmtId="1" fontId="13" fillId="4" borderId="11" xfId="0" applyNumberFormat="1" applyFont="1" applyFill="1" applyBorder="1" applyAlignment="1">
      <alignment horizontal="center" vertical="center"/>
    </xf>
    <xf numFmtId="1" fontId="13" fillId="7" borderId="9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12" fillId="0" borderId="0" xfId="2" applyNumberFormat="1" applyFont="1" applyBorder="1" applyAlignment="1">
      <alignment horizontal="center" vertical="center"/>
    </xf>
    <xf numFmtId="165" fontId="12" fillId="0" borderId="0" xfId="2" applyNumberFormat="1" applyFont="1" applyAlignment="1">
      <alignment horizontal="center" vertical="center"/>
    </xf>
    <xf numFmtId="166" fontId="12" fillId="0" borderId="0" xfId="2" applyNumberFormat="1" applyFont="1" applyFill="1" applyBorder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166" fontId="12" fillId="0" borderId="0" xfId="2" applyNumberFormat="1" applyFont="1" applyBorder="1" applyAlignment="1">
      <alignment horizontal="center" vertical="center"/>
    </xf>
    <xf numFmtId="166" fontId="12" fillId="0" borderId="0" xfId="2" applyNumberFormat="1" applyFont="1" applyFill="1" applyAlignment="1">
      <alignment horizontal="center" vertical="center"/>
    </xf>
    <xf numFmtId="166" fontId="12" fillId="0" borderId="0" xfId="2" applyNumberFormat="1" applyFont="1" applyAlignment="1">
      <alignment horizontal="center" vertical="center"/>
    </xf>
    <xf numFmtId="2" fontId="12" fillId="0" borderId="0" xfId="2" applyNumberFormat="1" applyFont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165" fontId="12" fillId="0" borderId="0" xfId="0" applyNumberFormat="1" applyFont="1" applyAlignment="1">
      <alignment horizontal="left" vertical="top"/>
    </xf>
    <xf numFmtId="165" fontId="12" fillId="0" borderId="0" xfId="2" applyNumberFormat="1" applyFont="1" applyAlignment="1">
      <alignment horizontal="left" vertical="top"/>
    </xf>
    <xf numFmtId="166" fontId="12" fillId="0" borderId="0" xfId="2" applyNumberFormat="1" applyFont="1" applyFill="1" applyAlignment="1">
      <alignment horizontal="left" vertical="top"/>
    </xf>
    <xf numFmtId="166" fontId="12" fillId="0" borderId="0" xfId="2" applyNumberFormat="1" applyFont="1" applyAlignment="1">
      <alignment horizontal="left" vertical="top"/>
    </xf>
    <xf numFmtId="165" fontId="12" fillId="0" borderId="0" xfId="2" applyNumberFormat="1" applyFont="1" applyFill="1" applyBorder="1" applyAlignment="1">
      <alignment horizontal="center" vertical="center"/>
    </xf>
    <xf numFmtId="165" fontId="12" fillId="0" borderId="0" xfId="1" applyNumberFormat="1" applyFont="1" applyBorder="1" applyAlignment="1">
      <alignment horizontal="center" vertical="center"/>
    </xf>
    <xf numFmtId="9" fontId="0" fillId="0" borderId="0" xfId="2" applyFont="1"/>
    <xf numFmtId="166" fontId="0" fillId="0" borderId="0" xfId="2" applyNumberFormat="1" applyFont="1"/>
    <xf numFmtId="9" fontId="13" fillId="0" borderId="0" xfId="2" applyFont="1" applyFill="1" applyBorder="1" applyAlignment="1">
      <alignment horizontal="center" vertical="center"/>
    </xf>
    <xf numFmtId="10" fontId="19" fillId="0" borderId="12" xfId="2" applyNumberFormat="1" applyFont="1" applyBorder="1" applyAlignment="1">
      <alignment horizontal="center" vertical="center"/>
    </xf>
    <xf numFmtId="10" fontId="19" fillId="0" borderId="10" xfId="2" applyNumberFormat="1" applyFont="1" applyBorder="1" applyAlignment="1">
      <alignment horizontal="center" vertical="center"/>
    </xf>
    <xf numFmtId="10" fontId="19" fillId="0" borderId="13" xfId="2" applyNumberFormat="1" applyFont="1" applyBorder="1" applyAlignment="1">
      <alignment horizontal="center" vertical="center"/>
    </xf>
    <xf numFmtId="10" fontId="19" fillId="0" borderId="14" xfId="2" applyNumberFormat="1" applyFont="1" applyBorder="1" applyAlignment="1">
      <alignment horizontal="center" vertical="center"/>
    </xf>
    <xf numFmtId="10" fontId="19" fillId="0" borderId="0" xfId="2" applyNumberFormat="1" applyFont="1" applyBorder="1" applyAlignment="1">
      <alignment horizontal="center" vertical="center"/>
    </xf>
    <xf numFmtId="10" fontId="19" fillId="0" borderId="15" xfId="2" applyNumberFormat="1" applyFont="1" applyBorder="1" applyAlignment="1">
      <alignment horizontal="center" vertical="center"/>
    </xf>
    <xf numFmtId="10" fontId="19" fillId="0" borderId="0" xfId="0" applyNumberFormat="1" applyFont="1" applyAlignment="1">
      <alignment vertical="center"/>
    </xf>
    <xf numFmtId="10" fontId="19" fillId="0" borderId="15" xfId="0" applyNumberFormat="1" applyFont="1" applyBorder="1" applyAlignment="1">
      <alignment vertical="center"/>
    </xf>
    <xf numFmtId="10" fontId="19" fillId="0" borderId="0" xfId="2" applyNumberFormat="1" applyFont="1" applyBorder="1" applyAlignment="1">
      <alignment vertical="center"/>
    </xf>
    <xf numFmtId="10" fontId="19" fillId="0" borderId="15" xfId="2" applyNumberFormat="1" applyFont="1" applyBorder="1" applyAlignment="1">
      <alignment vertical="center"/>
    </xf>
    <xf numFmtId="10" fontId="19" fillId="0" borderId="16" xfId="2" applyNumberFormat="1" applyFont="1" applyBorder="1" applyAlignment="1">
      <alignment horizontal="center" vertical="center"/>
    </xf>
    <xf numFmtId="10" fontId="19" fillId="0" borderId="9" xfId="2" applyNumberFormat="1" applyFont="1" applyBorder="1" applyAlignment="1">
      <alignment horizontal="center" vertical="center"/>
    </xf>
    <xf numFmtId="10" fontId="19" fillId="0" borderId="17" xfId="2" applyNumberFormat="1" applyFont="1" applyBorder="1" applyAlignment="1">
      <alignment horizontal="center" vertical="center"/>
    </xf>
    <xf numFmtId="10" fontId="19" fillId="0" borderId="18" xfId="2" applyNumberFormat="1" applyFont="1" applyBorder="1" applyAlignment="1">
      <alignment horizontal="center" vertical="center"/>
    </xf>
    <xf numFmtId="10" fontId="19" fillId="0" borderId="11" xfId="2" applyNumberFormat="1" applyFont="1" applyBorder="1" applyAlignment="1">
      <alignment horizontal="center" vertical="center"/>
    </xf>
    <xf numFmtId="10" fontId="19" fillId="0" borderId="19" xfId="2" applyNumberFormat="1" applyFont="1" applyBorder="1" applyAlignment="1">
      <alignment horizontal="center" vertical="center"/>
    </xf>
    <xf numFmtId="10" fontId="19" fillId="0" borderId="18" xfId="2" applyNumberFormat="1" applyFont="1" applyFill="1" applyBorder="1" applyAlignment="1">
      <alignment horizontal="center" vertical="center"/>
    </xf>
    <xf numFmtId="10" fontId="19" fillId="0" borderId="11" xfId="2" applyNumberFormat="1" applyFont="1" applyFill="1" applyBorder="1" applyAlignment="1">
      <alignment horizontal="center" vertical="center"/>
    </xf>
    <xf numFmtId="10" fontId="19" fillId="0" borderId="19" xfId="2" applyNumberFormat="1" applyFont="1" applyFill="1" applyBorder="1" applyAlignment="1">
      <alignment horizontal="center" vertical="center"/>
    </xf>
    <xf numFmtId="10" fontId="0" fillId="0" borderId="0" xfId="0" applyNumberFormat="1"/>
    <xf numFmtId="10" fontId="19" fillId="7" borderId="0" xfId="2" applyNumberFormat="1" applyFont="1" applyFill="1" applyAlignment="1">
      <alignment horizontal="center" vertical="center"/>
    </xf>
    <xf numFmtId="10" fontId="13" fillId="0" borderId="0" xfId="2" applyNumberFormat="1" applyFont="1" applyFill="1" applyAlignment="1">
      <alignment horizontal="center" vertical="center"/>
    </xf>
    <xf numFmtId="0" fontId="25" fillId="0" borderId="0" xfId="0" applyFont="1" applyAlignment="1">
      <alignment wrapText="1"/>
    </xf>
    <xf numFmtId="1" fontId="11" fillId="0" borderId="0" xfId="1" applyNumberFormat="1" applyFont="1" applyFill="1" applyAlignment="1">
      <alignment horizontal="center" vertical="center" wrapText="1"/>
    </xf>
    <xf numFmtId="1" fontId="13" fillId="6" borderId="7" xfId="0" applyNumberFormat="1" applyFont="1" applyFill="1" applyBorder="1" applyAlignment="1">
      <alignment horizontal="center" vertical="center"/>
    </xf>
    <xf numFmtId="1" fontId="25" fillId="7" borderId="0" xfId="0" applyNumberFormat="1" applyFont="1" applyFill="1" applyAlignment="1">
      <alignment horizontal="center" vertical="center"/>
    </xf>
    <xf numFmtId="44" fontId="13" fillId="0" borderId="0" xfId="0" applyNumberFormat="1" applyFont="1" applyAlignment="1">
      <alignment horizontal="right" vertical="center"/>
    </xf>
    <xf numFmtId="44" fontId="13" fillId="0" borderId="7" xfId="0" applyNumberFormat="1" applyFont="1" applyBorder="1" applyAlignment="1">
      <alignment horizontal="right" vertical="center"/>
    </xf>
    <xf numFmtId="44" fontId="13" fillId="0" borderId="9" xfId="0" applyNumberFormat="1" applyFont="1" applyBorder="1" applyAlignment="1">
      <alignment horizontal="right" vertical="center"/>
    </xf>
    <xf numFmtId="44" fontId="13" fillId="0" borderId="11" xfId="0" applyNumberFormat="1" applyFont="1" applyBorder="1" applyAlignment="1">
      <alignment horizontal="right" vertical="center"/>
    </xf>
    <xf numFmtId="166" fontId="13" fillId="0" borderId="7" xfId="2" applyNumberFormat="1" applyFont="1" applyBorder="1" applyAlignment="1">
      <alignment horizontal="right" vertical="center"/>
    </xf>
    <xf numFmtId="166" fontId="13" fillId="0" borderId="9" xfId="2" applyNumberFormat="1" applyFont="1" applyBorder="1" applyAlignment="1">
      <alignment horizontal="right" vertical="center"/>
    </xf>
    <xf numFmtId="166" fontId="13" fillId="0" borderId="11" xfId="2" applyNumberFormat="1" applyFont="1" applyBorder="1" applyAlignment="1">
      <alignment horizontal="right" vertical="center"/>
    </xf>
    <xf numFmtId="0" fontId="26" fillId="8" borderId="0" xfId="0" applyFont="1" applyFill="1" applyAlignment="1">
      <alignment vertical="center"/>
    </xf>
    <xf numFmtId="0" fontId="27" fillId="8" borderId="0" xfId="0" applyFont="1" applyFill="1" applyAlignment="1">
      <alignment horizontal="center" vertical="center"/>
    </xf>
    <xf numFmtId="9" fontId="13" fillId="0" borderId="0" xfId="2" applyFont="1" applyBorder="1" applyAlignment="1">
      <alignment horizontal="right" vertical="center"/>
    </xf>
    <xf numFmtId="166" fontId="13" fillId="0" borderId="0" xfId="2" applyNumberFormat="1" applyFont="1" applyBorder="1" applyAlignment="1">
      <alignment horizontal="right" vertical="center"/>
    </xf>
    <xf numFmtId="166" fontId="13" fillId="0" borderId="0" xfId="2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right" vertical="center"/>
    </xf>
    <xf numFmtId="44" fontId="13" fillId="0" borderId="10" xfId="0" applyNumberFormat="1" applyFont="1" applyBorder="1" applyAlignment="1">
      <alignment horizontal="right" vertical="center"/>
    </xf>
    <xf numFmtId="0" fontId="28" fillId="0" borderId="0" xfId="0" applyFont="1"/>
    <xf numFmtId="44" fontId="13" fillId="0" borderId="8" xfId="0" applyNumberFormat="1" applyFont="1" applyBorder="1" applyAlignment="1">
      <alignment horizontal="right" vertical="center"/>
    </xf>
    <xf numFmtId="166" fontId="13" fillId="0" borderId="8" xfId="2" applyNumberFormat="1" applyFont="1" applyBorder="1" applyAlignment="1">
      <alignment horizontal="right" vertical="center"/>
    </xf>
    <xf numFmtId="0" fontId="30" fillId="0" borderId="0" xfId="0" applyFont="1"/>
    <xf numFmtId="1" fontId="13" fillId="4" borderId="10" xfId="0" applyNumberFormat="1" applyFont="1" applyFill="1" applyBorder="1" applyAlignment="1">
      <alignment horizontal="center" vertical="center"/>
    </xf>
    <xf numFmtId="165" fontId="13" fillId="7" borderId="0" xfId="0" applyNumberFormat="1" applyFont="1" applyFill="1" applyAlignment="1">
      <alignment horizontal="center" vertical="center"/>
    </xf>
    <xf numFmtId="165" fontId="13" fillId="5" borderId="0" xfId="0" applyNumberFormat="1" applyFont="1" applyFill="1" applyAlignment="1">
      <alignment horizontal="center" vertical="center"/>
    </xf>
    <xf numFmtId="166" fontId="13" fillId="7" borderId="0" xfId="2" applyNumberFormat="1" applyFont="1" applyFill="1" applyAlignment="1">
      <alignment horizontal="center" vertical="center"/>
    </xf>
    <xf numFmtId="166" fontId="13" fillId="5" borderId="0" xfId="2" applyNumberFormat="1" applyFont="1" applyFill="1" applyAlignment="1">
      <alignment horizontal="center" vertical="center"/>
    </xf>
    <xf numFmtId="0" fontId="0" fillId="0" borderId="15" xfId="0" applyBorder="1"/>
    <xf numFmtId="0" fontId="0" fillId="0" borderId="7" xfId="0" applyBorder="1"/>
    <xf numFmtId="0" fontId="0" fillId="0" borderId="22" xfId="0" applyBorder="1"/>
    <xf numFmtId="0" fontId="7" fillId="8" borderId="12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166" fontId="13" fillId="0" borderId="14" xfId="2" applyNumberFormat="1" applyFont="1" applyBorder="1" applyAlignment="1">
      <alignment horizontal="right" vertical="center"/>
    </xf>
    <xf numFmtId="166" fontId="13" fillId="0" borderId="15" xfId="2" applyNumberFormat="1" applyFont="1" applyBorder="1" applyAlignment="1">
      <alignment horizontal="right" vertical="center"/>
    </xf>
    <xf numFmtId="166" fontId="13" fillId="0" borderId="23" xfId="2" applyNumberFormat="1" applyFont="1" applyBorder="1" applyAlignment="1">
      <alignment horizontal="right" vertical="center"/>
    </xf>
    <xf numFmtId="167" fontId="13" fillId="0" borderId="0" xfId="1" applyNumberFormat="1" applyFont="1" applyFill="1" applyAlignment="1">
      <alignment horizontal="center" vertical="center"/>
    </xf>
    <xf numFmtId="2" fontId="0" fillId="0" borderId="0" xfId="0" applyNumberFormat="1"/>
    <xf numFmtId="44" fontId="0" fillId="0" borderId="0" xfId="0" applyNumberFormat="1"/>
    <xf numFmtId="165" fontId="0" fillId="0" borderId="0" xfId="0" applyNumberFormat="1"/>
    <xf numFmtId="0" fontId="31" fillId="0" borderId="0" xfId="0" applyFont="1" applyAlignment="1">
      <alignment horizontal="center"/>
    </xf>
    <xf numFmtId="0" fontId="32" fillId="8" borderId="16" xfId="0" applyFont="1" applyFill="1" applyBorder="1" applyAlignment="1">
      <alignment horizontal="center" vertical="center"/>
    </xf>
    <xf numFmtId="0" fontId="33" fillId="8" borderId="9" xfId="0" applyFont="1" applyFill="1" applyBorder="1" applyAlignment="1">
      <alignment horizontal="center"/>
    </xf>
    <xf numFmtId="0" fontId="33" fillId="8" borderId="17" xfId="0" applyFont="1" applyFill="1" applyBorder="1" applyAlignment="1">
      <alignment horizontal="center"/>
    </xf>
    <xf numFmtId="2" fontId="0" fillId="0" borderId="0" xfId="2" applyNumberFormat="1" applyFont="1"/>
    <xf numFmtId="168" fontId="13" fillId="0" borderId="0" xfId="2" applyNumberFormat="1" applyFont="1" applyBorder="1" applyAlignment="1">
      <alignment horizontal="right" vertical="center"/>
    </xf>
    <xf numFmtId="0" fontId="13" fillId="0" borderId="0" xfId="0" applyFont="1" applyAlignment="1">
      <alignment horizontal="left" vertical="top"/>
    </xf>
    <xf numFmtId="2" fontId="13" fillId="0" borderId="0" xfId="2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 wrapText="1" shrinkToFit="1"/>
    </xf>
  </cellXfs>
  <cellStyles count="5">
    <cellStyle name="Currency" xfId="1" builtinId="4"/>
    <cellStyle name="Currency 2" xfId="4" xr:uid="{90B9D9FC-8EAF-4773-9766-C867623BACD8}"/>
    <cellStyle name="Hyperlink" xfId="3" builtinId="8"/>
    <cellStyle name="Normal" xfId="0" builtinId="0"/>
    <cellStyle name="Percent" xfId="2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166" formatCode="0.0%"/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166" formatCode="0.0%"/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166" formatCode="0.0%"/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166" formatCode="0.0%"/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34" formatCode="_(&quot;$&quot;* #,##0.00_);_(&quot;$&quot;* \(#,##0.00\);_(&quot;$&quot;* &quot;-&quot;??_);_(@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34" formatCode="_(&quot;$&quot;* #,##0.00_);_(&quot;$&quot;* \(#,##0.00\);_(&quot;$&quot;* &quot;-&quot;??_);_(@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34" formatCode="_(&quot;$&quot;* #,##0.00_);_(&quot;$&quot;* \(#,##0.00\);_(&quot;$&quot;* &quot;-&quot;??_);_(@_)"/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34" formatCode="_(&quot;$&quot;* #,##0.00_);_(&quot;$&quot;* \(#,##0.00\);_(&quot;$&quot;* &quot;-&quot;??_);_(@_)"/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34" formatCode="_(&quot;$&quot;* #,##0.00_);_(&quot;$&quot;* \(#,##0.00\);_(&quot;$&quot;* &quot;-&quot;??_);_(@_)"/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scheme val="maj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166" formatCode="0.0%"/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166" formatCode="0.0%"/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166" formatCode="0.0%"/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166" formatCode="0.0%"/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166" formatCode="0.0%"/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34" formatCode="_(&quot;$&quot;* #,##0.00_);_(&quot;$&quot;* \(#,##0.00\);_(&quot;$&quot;* &quot;-&quot;??_);_(@_)"/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34" formatCode="_(&quot;$&quot;* #,##0.00_);_(&quot;$&quot;* \(#,##0.00\);_(&quot;$&quot;* &quot;-&quot;??_);_(@_)"/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34" formatCode="_(&quot;$&quot;* #,##0.00_);_(&quot;$&quot;* \(#,##0.00\);_(&quot;$&quot;* &quot;-&quot;??_);_(@_)"/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34" formatCode="_(&quot;$&quot;* #,##0.00_);_(&quot;$&quot;* \(#,##0.00\);_(&quot;$&quot;* &quot;-&quot;??_);_(@_)"/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numFmt numFmtId="34" formatCode="_(&quot;$&quot;* #,##0.00_);_(&quot;$&quot;* \(#,##0.00\);_(&quot;$&quot;* &quot;-&quot;??_);_(@_)"/>
      <alignment horizontal="right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maj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scheme val="maj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shog\iCloudDrive\Desktop\Statements\AMD_Statements%20Update.xlsx" TargetMode="External"/><Relationship Id="rId1" Type="http://schemas.openxmlformats.org/officeDocument/2006/relationships/externalLinkPath" Target="Statements/AMD_Statements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lance Sheet"/>
      <sheetName val="Income Statement"/>
      <sheetName val="Cash Flow"/>
      <sheetName val="Shareholder Equity"/>
      <sheetName val="Ratios"/>
    </sheetNames>
    <sheetDataSet>
      <sheetData sheetId="0">
        <row r="8">
          <cell r="C8">
            <v>5749</v>
          </cell>
          <cell r="D8">
            <v>5376</v>
          </cell>
          <cell r="E8">
            <v>4126</v>
          </cell>
          <cell r="F8">
            <v>2706</v>
          </cell>
          <cell r="G8">
            <v>2066</v>
          </cell>
        </row>
        <row r="9">
          <cell r="C9">
            <v>4991</v>
          </cell>
          <cell r="D9">
            <v>4351</v>
          </cell>
          <cell r="E9">
            <v>3771</v>
          </cell>
          <cell r="F9">
            <v>1955</v>
          </cell>
          <cell r="G9">
            <v>1399</v>
          </cell>
        </row>
        <row r="12">
          <cell r="C12">
            <v>17465</v>
          </cell>
          <cell r="D12">
            <v>16768</v>
          </cell>
          <cell r="E12">
            <v>15019</v>
          </cell>
          <cell r="F12">
            <v>8583</v>
          </cell>
        </row>
        <row r="20">
          <cell r="C20">
            <v>67886</v>
          </cell>
          <cell r="D20">
            <v>67885</v>
          </cell>
          <cell r="E20">
            <v>67580</v>
          </cell>
          <cell r="F20">
            <v>12419</v>
          </cell>
          <cell r="G20">
            <v>8962</v>
          </cell>
        </row>
        <row r="23">
          <cell r="C23">
            <v>1699</v>
          </cell>
          <cell r="D23">
            <v>2055</v>
          </cell>
          <cell r="E23">
            <v>2493</v>
          </cell>
          <cell r="F23">
            <v>1321</v>
          </cell>
          <cell r="G23">
            <v>468</v>
          </cell>
        </row>
        <row r="25">
          <cell r="C25">
            <v>3629</v>
          </cell>
          <cell r="D25">
            <v>3082</v>
          </cell>
          <cell r="E25">
            <v>3077</v>
          </cell>
          <cell r="F25">
            <v>2424</v>
          </cell>
          <cell r="G25">
            <v>1796</v>
          </cell>
        </row>
        <row r="28">
          <cell r="C28">
            <v>6195</v>
          </cell>
          <cell r="D28">
            <v>6689</v>
          </cell>
          <cell r="E28">
            <v>6369</v>
          </cell>
          <cell r="F28">
            <v>4240</v>
          </cell>
        </row>
        <row r="33">
          <cell r="C33">
            <v>5153</v>
          </cell>
          <cell r="D33">
            <v>5304</v>
          </cell>
          <cell r="E33">
            <v>6461</v>
          </cell>
          <cell r="F33">
            <v>682</v>
          </cell>
        </row>
        <row r="41">
          <cell r="C41">
            <v>56538</v>
          </cell>
          <cell r="D41">
            <v>55892</v>
          </cell>
          <cell r="E41">
            <v>54750</v>
          </cell>
          <cell r="F41">
            <v>7497</v>
          </cell>
        </row>
        <row r="42">
          <cell r="C42">
            <v>67886</v>
          </cell>
          <cell r="D42">
            <v>67885</v>
          </cell>
          <cell r="E42">
            <v>67580</v>
          </cell>
          <cell r="F42">
            <v>12419</v>
          </cell>
        </row>
      </sheetData>
      <sheetData sheetId="1">
        <row r="4">
          <cell r="C4">
            <v>23276</v>
          </cell>
          <cell r="D4">
            <v>22680</v>
          </cell>
          <cell r="E4">
            <v>23601</v>
          </cell>
          <cell r="F4">
            <v>16434</v>
          </cell>
        </row>
        <row r="5">
          <cell r="C5">
            <v>12194</v>
          </cell>
          <cell r="D5">
            <v>12220</v>
          </cell>
          <cell r="E5">
            <v>12998</v>
          </cell>
          <cell r="F5">
            <v>8505</v>
          </cell>
        </row>
        <row r="17">
          <cell r="C17">
            <v>0.84</v>
          </cell>
          <cell r="D17">
            <v>0.53</v>
          </cell>
          <cell r="E17">
            <v>0.85</v>
          </cell>
          <cell r="F17">
            <v>2.61</v>
          </cell>
        </row>
        <row r="23">
          <cell r="C23">
            <v>1354</v>
          </cell>
          <cell r="D23">
            <v>854</v>
          </cell>
          <cell r="E23">
            <v>1320</v>
          </cell>
          <cell r="F23">
            <v>3162</v>
          </cell>
        </row>
        <row r="26">
          <cell r="C26">
            <v>103</v>
          </cell>
          <cell r="D26">
            <v>106</v>
          </cell>
          <cell r="E26">
            <v>88</v>
          </cell>
          <cell r="F26">
            <v>34</v>
          </cell>
        </row>
        <row r="28">
          <cell r="C28">
            <v>1087</v>
          </cell>
          <cell r="D28">
            <v>598</v>
          </cell>
          <cell r="E28">
            <v>1272</v>
          </cell>
          <cell r="F28">
            <v>3703</v>
          </cell>
        </row>
        <row r="29">
          <cell r="C29">
            <v>4364</v>
          </cell>
          <cell r="D29">
            <v>4149</v>
          </cell>
          <cell r="E29">
            <v>5534</v>
          </cell>
          <cell r="F29">
            <v>4166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nte Shoghanian" id="{A284041F-93B3-429A-AE1F-DF687C70F77C}" userId="37f37a816f788e32" providerId="Windows Live"/>
  <person displayName="Shoghanian, Dante" id="{5A76436F-B03E-4AC9-BFAA-E8B961347393}" userId="S::dshoghan@lion.lmu.edu::3073cf9a-37b6-4811-b787-5850cbe6f0a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1CF661-F3CD-41C3-956B-49DE0E6E64A5}" name="Table5" displayName="Table5" ref="B4:L21" totalsRowShown="0" headerRowDxfId="25" dataDxfId="24" tableBorderDxfId="23" dataCellStyle="Percent">
  <autoFilter ref="B4:L21" xr:uid="{4D1CF661-F3CD-41C3-956B-49DE0E6E64A5}"/>
  <tableColumns count="11">
    <tableColumn id="1" xr3:uid="{DE8728D5-2E46-4010-83B5-8130885384F4}" name="Projected Income Statement (millions)"/>
    <tableColumn id="2" xr3:uid="{3EEF9300-3AC2-4641-928E-3077E0E8E791}" name="2021" dataDxfId="22">
      <calculatedColumnFormula>'Income Statement'!G15</calculatedColumnFormula>
    </tableColumn>
    <tableColumn id="3" xr3:uid="{C22C1614-12DE-4995-BBA3-4689DD623789}" name="2022" dataDxfId="21">
      <calculatedColumnFormula>'Income Statement'!F15</calculatedColumnFormula>
    </tableColumn>
    <tableColumn id="4" xr3:uid="{A55D20B0-F11E-4F8E-AFA7-825B2B4AC537}" name="2023" dataDxfId="20">
      <calculatedColumnFormula>'Income Statement'!E15</calculatedColumnFormula>
    </tableColumn>
    <tableColumn id="5" xr3:uid="{8675B388-8C4A-4906-8ED5-15BFE48091E3}" name="2024" dataDxfId="19">
      <calculatedColumnFormula>'Income Statement'!D15</calculatedColumnFormula>
    </tableColumn>
    <tableColumn id="6" xr3:uid="{0824AC5E-9375-434F-B70C-C913512BEC0E}" name="2025" dataDxfId="18">
      <calculatedColumnFormula>'Income Statement'!C15</calculatedColumnFormula>
    </tableColumn>
    <tableColumn id="7" xr3:uid="{631F142F-9F13-4E72-A668-5502F89782D2}" name="21" dataDxfId="17" dataCellStyle="Percent"/>
    <tableColumn id="8" xr3:uid="{7D5363D2-7911-47E6-AF63-388EFD710DC4}" name="22" dataDxfId="16" dataCellStyle="Percent"/>
    <tableColumn id="9" xr3:uid="{51122231-A869-4E2A-AD20-C53F18EAABB2}" name="23" dataDxfId="15" dataCellStyle="Percent"/>
    <tableColumn id="10" xr3:uid="{1790232A-3D7C-442A-AB12-20E04D42C2DB}" name="24" dataDxfId="14" dataCellStyle="Percent"/>
    <tableColumn id="11" xr3:uid="{BFA2DB72-1539-4E0D-A85D-ED62F24A26CB}" name="25" dataDxfId="13" dataCellStyle="Perce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3F5297-8A5C-4BD9-82EB-9596ED967FA4}" name="Table57" displayName="Table57" ref="B25:L60" totalsRowShown="0" headerRowDxfId="12" dataDxfId="11" tableBorderDxfId="10" dataCellStyle="Percent">
  <autoFilter ref="B25:L60" xr:uid="{8C3F5297-8A5C-4BD9-82EB-9596ED967FA4}"/>
  <tableColumns count="11">
    <tableColumn id="1" xr3:uid="{EAF40052-5130-4307-BBC7-B4E8F8662DCD}" name="Projected Balance Sheet (millions)"/>
    <tableColumn id="2" xr3:uid="{C2ED54F9-4D61-4F51-8016-9025E8ECEF4B}" name="2021" dataDxfId="9">
      <calculatedColumnFormula>'Balance Sheet'!G16</calculatedColumnFormula>
    </tableColumn>
    <tableColumn id="3" xr3:uid="{525ECD9F-623F-4E5B-BDDA-A2915558A262}" name="2022" dataDxfId="8">
      <calculatedColumnFormula>'Balance Sheet'!F16</calculatedColumnFormula>
    </tableColumn>
    <tableColumn id="4" xr3:uid="{824C037E-173D-4E90-A4FB-178868F518C9}" name="2023" dataDxfId="7">
      <calculatedColumnFormula>'Balance Sheet'!E16</calculatedColumnFormula>
    </tableColumn>
    <tableColumn id="5" xr3:uid="{8F3D6AED-381E-4CE4-A9A2-C634F2F19A0A}" name="2024" dataDxfId="6">
      <calculatedColumnFormula>'Balance Sheet'!D16</calculatedColumnFormula>
    </tableColumn>
    <tableColumn id="6" xr3:uid="{6B112A88-3E3F-4884-8EA8-DCFDF348D8B7}" name="2025" dataDxfId="5">
      <calculatedColumnFormula>'Balance Sheet'!C16</calculatedColumnFormula>
    </tableColumn>
    <tableColumn id="7" xr3:uid="{5C4B83EB-2A5D-497C-9148-818CB6340398}" name="21" dataDxfId="4" dataCellStyle="Percent">
      <calculatedColumnFormula>Table57[[#This Row],[2021]]/C40</calculatedColumnFormula>
    </tableColumn>
    <tableColumn id="8" xr3:uid="{29401428-8EF3-41EC-8131-B0597028B739}" name="22" dataDxfId="3" dataCellStyle="Percent"/>
    <tableColumn id="9" xr3:uid="{653ED9C2-B222-46A8-830D-34D5F075FBCF}" name="23" dataDxfId="2" dataCellStyle="Percent"/>
    <tableColumn id="10" xr3:uid="{D2735D03-65F2-48E0-9468-538B6D389A99}" name="24" dataDxfId="1" dataCellStyle="Percent"/>
    <tableColumn id="11" xr3:uid="{2458EBA7-1A10-4233-B771-7DE6577E1988}" name="25" dataDxfId="0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5" dT="2024-10-15T02:22:10.84" personId="{A284041F-93B3-429A-AE1F-DF687C70F77C}" id="{AC7F42FC-BB25-4B2C-A578-8A4A43164551}">
    <text>I had calculated % of COGS based on DPO over COGS as was not certain the specific ratio. Also, I did include a separate new row for cash conversion cycle for reference. - Wanqiu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4-10-09T21:48:30.10" personId="{5A76436F-B03E-4AC9-BFAA-E8B961347393}" id="{D752EBE1-29F5-4A95-AD1B-82EF37EF82D8}">
    <text xml:space="preserve">Surging demand for AI and Machine Learning tech: Blackwell chips
Expanding Data centers and cloud computing partnerships
Expansion in the automotive sector
Growth in the gaming industry
Metaverse development: Omniverse
Health care platforms and partnerships: CLARA
Telecom partnerships: 5G deployment
Acquisitions and investments
</text>
  </threadedComment>
  <threadedComment ref="C4" dT="2024-10-09T22:06:14.91" personId="{5A76436F-B03E-4AC9-BFAA-E8B961347393}" id="{B43D050F-0705-46D4-ADD0-A32E9C6254E3}">
    <text xml:space="preserve">US export controls on chips to China
Investment into more advanced chips 5nm, 4nm, 3nm
Increased R&amp;D costs
Prepayments to secure chip supply
Increased material costs
Geopolitical tensions
Acquisitions and partnerships
</text>
  </threadedComment>
  <threadedComment ref="C5" dT="2024-10-09T22:33:53.16" personId="{5A76436F-B03E-4AC9-BFAA-E8B961347393}" id="{0E621D7D-953D-4410-97F9-C2F163E84230}">
    <text>Investment in AI Tech: investment in high performance computing tech
Expansion of product line: broadening product portfolio: AI-solutions, automotive tech, Omniverse Platform, CLARA, Data centers, and chips</text>
  </threadedComment>
  <threadedComment ref="C6" dT="2024-10-09T22:30:36.47" personId="{5A76436F-B03E-4AC9-BFAA-E8B961347393}" id="{4CD48706-DDC4-41E7-AD0A-0F86BD19037D}">
    <text>Increased Workforce: hiring more qualified employees with higher wages
Global Expansion: Nvidia is continuing to expand to other regions increasing costs
Data Center: higher admin costs to support infrastructure</text>
  </threadedComment>
  <threadedComment ref="C7" dT="2024-10-09T22:50:01.47" personId="{5A76436F-B03E-4AC9-BFAA-E8B961347393}" id="{41D2F69A-C932-4C0D-94E5-E0068FB7A465}">
    <text>Strong Cash Reserves: Nvidia maintains significant cash and market securities which result in higher ROI
Growth: With record revenues and profits Nvidia has liquidity to invest in interest bearing financial assets</text>
  </threadedComment>
  <threadedComment ref="C8" dT="2024-10-09T22:55:21.82" personId="{5A76436F-B03E-4AC9-BFAA-E8B961347393}" id="{6B1F1288-6281-4A3C-A9EF-8001B524BF12}">
    <text>Took the from the common size income statement averages from 21-23</text>
  </threadedComment>
  <threadedComment ref="C9" dT="2024-10-09T22:59:18.93" personId="{5A76436F-B03E-4AC9-BFAA-E8B961347393}" id="{BF497121-8F7B-4613-916F-22A34E485DED}">
    <text>Used the same percentage from the common size income statement</text>
  </threadedComment>
  <threadedComment ref="C10" dT="2024-10-09T23:25:33.84" personId="{5A76436F-B03E-4AC9-BFAA-E8B961347393}" id="{3D5A0CFA-66CB-44E2-B226-B851D2D0396B}">
    <text>Calculated the tax rate from the previous year which was 12%
Effective tax rate = Income tax expense (benefit)/Income before income tax</text>
  </threadedComment>
  <threadedComment ref="C11" dT="2024-10-12T21:01:33.52" personId="{5A76436F-B03E-4AC9-BFAA-E8B961347393}" id="{3C5421E1-7EB1-487C-974B-7598F21E056E}">
    <text>Interest expense/total debt*100
257/9709*100</text>
  </threadedComment>
  <threadedComment ref="C25" dT="2024-10-15T00:57:02.52" personId="{A284041F-93B3-429A-AE1F-DF687C70F77C}" id="{32CE43E6-D27D-49A0-8DEC-FB78EAE9574B}">
    <text>noting that we are using 2024 interest income over 2023 cash balance (rather than 2024 cash balance) based on the legacy formula from OLDIncome Statement tab - Wanqiu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B449-47EF-405A-A919-1727C849F8DB}">
  <dimension ref="B9:T66"/>
  <sheetViews>
    <sheetView zoomScaleNormal="100" workbookViewId="0">
      <selection activeCell="C8" sqref="C8"/>
    </sheetView>
  </sheetViews>
  <sheetFormatPr defaultColWidth="8.85546875" defaultRowHeight="15"/>
  <cols>
    <col min="2" max="2" width="48.140625" customWidth="1"/>
    <col min="3" max="3" width="16.42578125" bestFit="1" customWidth="1"/>
    <col min="4" max="4" width="11.85546875" customWidth="1"/>
    <col min="5" max="5" width="11" customWidth="1"/>
    <col min="6" max="6" width="8.7109375" customWidth="1"/>
    <col min="7" max="7" width="11.140625" bestFit="1" customWidth="1"/>
    <col min="8" max="8" width="12" customWidth="1"/>
    <col min="9" max="9" width="16.85546875" customWidth="1"/>
    <col min="10" max="10" width="20.28515625" customWidth="1"/>
    <col min="11" max="11" width="15.7109375" customWidth="1"/>
    <col min="12" max="12" width="14.140625" customWidth="1"/>
  </cols>
  <sheetData>
    <row r="9" spans="2:12">
      <c r="B9" s="186"/>
    </row>
    <row r="10" spans="2:12">
      <c r="B10" s="186"/>
    </row>
    <row r="11" spans="2:12">
      <c r="B11" s="186"/>
    </row>
    <row r="12" spans="2:12" ht="15.75" thickBot="1">
      <c r="B12" s="76" t="s">
        <v>171</v>
      </c>
      <c r="C12" s="78">
        <v>2025</v>
      </c>
      <c r="D12" s="77">
        <v>2024</v>
      </c>
      <c r="E12" s="77">
        <v>2023</v>
      </c>
      <c r="F12" s="78">
        <v>2022</v>
      </c>
      <c r="G12" s="78">
        <v>2021</v>
      </c>
    </row>
    <row r="13" spans="2:12" ht="16.5" customHeight="1">
      <c r="B13" s="75"/>
    </row>
    <row r="14" spans="2:12" ht="15" customHeight="1">
      <c r="B14" s="75" t="s">
        <v>0</v>
      </c>
      <c r="J14" s="267" t="s">
        <v>149</v>
      </c>
      <c r="K14" s="267"/>
    </row>
    <row r="15" spans="2:12">
      <c r="B15" s="59" t="s">
        <v>1</v>
      </c>
    </row>
    <row r="16" spans="2:12">
      <c r="B16" s="59" t="s">
        <v>2</v>
      </c>
      <c r="C16" s="222">
        <f>D16</f>
        <v>7280</v>
      </c>
      <c r="D16" s="52">
        <v>7280</v>
      </c>
      <c r="E16" s="50">
        <v>3389</v>
      </c>
      <c r="F16" s="53">
        <v>1990</v>
      </c>
      <c r="G16" s="53">
        <v>847</v>
      </c>
      <c r="H16" s="2"/>
      <c r="I16" s="130">
        <f>D16/$D$28</f>
        <v>0.11075949367088607</v>
      </c>
      <c r="J16" s="131">
        <f>E16/E28</f>
        <v>8.2293234908455151E-2</v>
      </c>
      <c r="K16" s="131">
        <f>F16/F28</f>
        <v>4.5035870278588727E-2</v>
      </c>
      <c r="L16" s="132">
        <f>G16/G28</f>
        <v>2.9418915633357648E-2</v>
      </c>
    </row>
    <row r="17" spans="2:20">
      <c r="B17" s="59" t="s">
        <v>158</v>
      </c>
      <c r="C17" s="222">
        <f>C28-SUM(C22:C27)-C16-C18-C19-C20</f>
        <v>40959.92546353837</v>
      </c>
      <c r="D17" s="49">
        <v>18704</v>
      </c>
      <c r="E17" s="49">
        <v>9907</v>
      </c>
      <c r="F17" s="53">
        <v>19218</v>
      </c>
      <c r="G17" s="53">
        <v>10714</v>
      </c>
      <c r="I17" s="133">
        <f>D17/D28</f>
        <v>0.28456669912366117</v>
      </c>
      <c r="J17" s="134">
        <f>E17/E28</f>
        <v>0.24056626681559906</v>
      </c>
      <c r="K17" s="134">
        <f>F17/F28</f>
        <v>0.43492429900196888</v>
      </c>
      <c r="L17" s="135">
        <f>G17/G28</f>
        <v>0.37213017957000449</v>
      </c>
    </row>
    <row r="18" spans="2:20">
      <c r="B18" s="59" t="s">
        <v>3</v>
      </c>
      <c r="C18" s="222">
        <f>C62*'Income Statement'!C16/365</f>
        <v>13134.7</v>
      </c>
      <c r="D18" s="49">
        <v>9999</v>
      </c>
      <c r="E18" s="49">
        <v>3827</v>
      </c>
      <c r="F18" s="53">
        <v>4650</v>
      </c>
      <c r="G18" s="53">
        <v>2429</v>
      </c>
      <c r="I18" s="133">
        <f>D18/D28</f>
        <v>0.15212694741966895</v>
      </c>
      <c r="J18" s="134">
        <f>E18/E28</f>
        <v>9.2928949541061623E-2</v>
      </c>
      <c r="K18" s="134">
        <f>F18/F28</f>
        <v>0.10523457125398873</v>
      </c>
      <c r="L18" s="135">
        <f>G18/G28</f>
        <v>8.4366642353513252E-2</v>
      </c>
    </row>
    <row r="19" spans="2:20" ht="15" customHeight="1">
      <c r="B19" s="59" t="s">
        <v>4</v>
      </c>
      <c r="C19" s="222">
        <f>C63*'Income Statement'!C17/365</f>
        <v>13088.359177185488</v>
      </c>
      <c r="D19" s="49">
        <v>5282</v>
      </c>
      <c r="E19" s="49">
        <v>5159</v>
      </c>
      <c r="F19" s="53">
        <v>2605</v>
      </c>
      <c r="G19" s="53">
        <v>1826</v>
      </c>
      <c r="I19" s="133">
        <f>D19/D28</f>
        <v>8.0361489776046735E-2</v>
      </c>
      <c r="J19" s="134">
        <f>E19/E28</f>
        <v>0.1252731776018649</v>
      </c>
      <c r="K19" s="134">
        <f>F19/F28</f>
        <v>5.8953990992825944E-2</v>
      </c>
      <c r="L19" s="135">
        <f>G19/G28</f>
        <v>6.3422597339446357E-2</v>
      </c>
    </row>
    <row r="20" spans="2:20">
      <c r="B20" s="59" t="s">
        <v>5</v>
      </c>
      <c r="C20" s="222">
        <f>D20</f>
        <v>3080</v>
      </c>
      <c r="D20" s="51">
        <v>3080</v>
      </c>
      <c r="E20" s="51">
        <v>791</v>
      </c>
      <c r="F20" s="54">
        <v>366</v>
      </c>
      <c r="G20" s="53">
        <v>239</v>
      </c>
      <c r="I20" s="133">
        <f>D20/D28</f>
        <v>4.6859785783836413E-2</v>
      </c>
      <c r="J20" s="134">
        <f>E20/E28</f>
        <v>1.9207420717789324E-2</v>
      </c>
      <c r="K20" s="134">
        <f>F20/F28</f>
        <v>8.2829791567655651E-3</v>
      </c>
      <c r="L20" s="135">
        <f>G20/G28</f>
        <v>8.3012052377479072E-3</v>
      </c>
    </row>
    <row r="21" spans="2:20">
      <c r="B21" s="59" t="s">
        <v>6</v>
      </c>
      <c r="C21" s="241">
        <f>SUM(C16:C20)</f>
        <v>77542.984640723851</v>
      </c>
      <c r="D21" s="45">
        <f>SUM(D16:D20)</f>
        <v>44345</v>
      </c>
      <c r="E21" s="45">
        <f>SUM(E16:E20)</f>
        <v>23073</v>
      </c>
      <c r="F21" s="55">
        <f>SUM(F16:F20)</f>
        <v>28829</v>
      </c>
      <c r="G21" s="58">
        <f>SUM(G16:G20)</f>
        <v>16055</v>
      </c>
      <c r="I21" s="130">
        <f>D21/D28</f>
        <v>0.67467441577409937</v>
      </c>
      <c r="J21" s="131">
        <f>E21/E28</f>
        <v>0.56026904958477008</v>
      </c>
      <c r="K21" s="131">
        <f>F21/F28</f>
        <v>0.65243171068413786</v>
      </c>
      <c r="L21" s="132">
        <f>G21/G28</f>
        <v>0.55763954013406969</v>
      </c>
      <c r="M21" s="2"/>
    </row>
    <row r="22" spans="2:20">
      <c r="B22" s="59" t="s">
        <v>7</v>
      </c>
      <c r="C22" s="168">
        <f t="shared" ref="C22:C27" si="0">D22</f>
        <v>3914</v>
      </c>
      <c r="D22" s="49">
        <v>3914</v>
      </c>
      <c r="E22" s="49">
        <v>3807</v>
      </c>
      <c r="F22" s="53">
        <v>2778</v>
      </c>
      <c r="G22" s="53">
        <v>2149</v>
      </c>
      <c r="I22" s="133">
        <f>D22/D28</f>
        <v>5.954844206426485E-2</v>
      </c>
      <c r="J22" s="134">
        <f>E22/E28</f>
        <v>9.2443300471079598E-2</v>
      </c>
      <c r="K22" s="134">
        <f>F22/F28</f>
        <v>6.2869169665286176E-2</v>
      </c>
      <c r="L22" s="135">
        <f>G22/G28</f>
        <v>7.4641380987114023E-2</v>
      </c>
      <c r="M22" s="4"/>
    </row>
    <row r="23" spans="2:20">
      <c r="B23" s="59" t="s">
        <v>8</v>
      </c>
      <c r="C23" s="168">
        <f t="shared" si="0"/>
        <v>1346</v>
      </c>
      <c r="D23" s="49">
        <v>1346</v>
      </c>
      <c r="E23" s="49">
        <v>1038</v>
      </c>
      <c r="F23" s="53">
        <v>829</v>
      </c>
      <c r="G23" s="53">
        <v>707</v>
      </c>
      <c r="I23" s="133">
        <f>D23/D28</f>
        <v>2.0478334956183057E-2</v>
      </c>
      <c r="J23" s="134">
        <f>E23/E28</f>
        <v>2.5205186732067408E-2</v>
      </c>
      <c r="K23" s="134">
        <f>F23/F28</f>
        <v>1.8761174100979928E-2</v>
      </c>
      <c r="L23" s="135">
        <f>G23/G28</f>
        <v>2.4556284950158037E-2</v>
      </c>
      <c r="M23" s="17"/>
    </row>
    <row r="24" spans="2:20">
      <c r="B24" s="59" t="s">
        <v>9</v>
      </c>
      <c r="C24" s="168">
        <f t="shared" si="0"/>
        <v>4430</v>
      </c>
      <c r="D24" s="49">
        <v>4430</v>
      </c>
      <c r="E24" s="49">
        <v>4372</v>
      </c>
      <c r="F24" s="53">
        <v>4349</v>
      </c>
      <c r="G24" s="53">
        <v>4193</v>
      </c>
      <c r="I24" s="133">
        <f>D24/D28</f>
        <v>6.739897760467381E-2</v>
      </c>
      <c r="J24" s="134">
        <f>E24/E28</f>
        <v>0.10616288669807197</v>
      </c>
      <c r="K24" s="134">
        <f>F24/F28</f>
        <v>9.8422612985719776E-2</v>
      </c>
      <c r="L24" s="135">
        <f>G24/G28</f>
        <v>0.14563578896182836</v>
      </c>
      <c r="M24" s="17"/>
      <c r="P24" s="7"/>
      <c r="Q24" s="5"/>
      <c r="R24" s="4"/>
    </row>
    <row r="25" spans="2:20">
      <c r="B25" s="59" t="s">
        <v>10</v>
      </c>
      <c r="C25" s="168">
        <f t="shared" si="0"/>
        <v>1112</v>
      </c>
      <c r="D25" s="49">
        <v>1112</v>
      </c>
      <c r="E25" s="49">
        <v>1676</v>
      </c>
      <c r="F25" s="53">
        <v>2339</v>
      </c>
      <c r="G25" s="53">
        <v>2737</v>
      </c>
      <c r="I25" s="133">
        <f>D25/D28</f>
        <v>1.6918208373904578E-2</v>
      </c>
      <c r="J25" s="134">
        <f>E25/E28</f>
        <v>4.0697392064494194E-2</v>
      </c>
      <c r="K25" s="134">
        <f>F25/F28</f>
        <v>5.2934120895285944E-2</v>
      </c>
      <c r="L25" s="135">
        <f>G25/G28</f>
        <v>9.506442985655239E-2</v>
      </c>
      <c r="M25" s="19"/>
    </row>
    <row r="26" spans="2:20">
      <c r="B26" s="59" t="s">
        <v>11</v>
      </c>
      <c r="C26" s="168">
        <f t="shared" si="0"/>
        <v>6081</v>
      </c>
      <c r="D26" s="49">
        <v>6081</v>
      </c>
      <c r="E26" s="49">
        <v>3396</v>
      </c>
      <c r="F26" s="53">
        <v>1222</v>
      </c>
      <c r="G26" s="53">
        <v>806</v>
      </c>
      <c r="I26" s="133">
        <f>D26/D28</f>
        <v>9.2517648490749754E-2</v>
      </c>
      <c r="J26" s="134">
        <f>E26/E28</f>
        <v>8.2463212082948864E-2</v>
      </c>
      <c r="K26" s="134">
        <f>F26/F28</f>
        <v>2.7655192703736394E-2</v>
      </c>
      <c r="L26" s="135">
        <f>G26/G28</f>
        <v>2.7994859504706333E-2</v>
      </c>
      <c r="M26" s="19"/>
      <c r="T26" t="s">
        <v>156</v>
      </c>
    </row>
    <row r="27" spans="2:20">
      <c r="B27" s="59" t="s">
        <v>12</v>
      </c>
      <c r="C27" s="168">
        <f t="shared" si="0"/>
        <v>4500</v>
      </c>
      <c r="D27" s="49">
        <v>4500</v>
      </c>
      <c r="E27" s="49">
        <v>3820</v>
      </c>
      <c r="F27" s="53">
        <v>3841</v>
      </c>
      <c r="G27" s="53">
        <v>2144</v>
      </c>
      <c r="I27" s="133">
        <f>D27/D28</f>
        <v>6.8463972736124631E-2</v>
      </c>
      <c r="J27" s="134">
        <f>E27/E28</f>
        <v>9.2758972366567924E-2</v>
      </c>
      <c r="K27" s="134">
        <f>F27/F28</f>
        <v>8.6926018964853913E-2</v>
      </c>
      <c r="L27" s="135">
        <f>G27/G28</f>
        <v>7.446771560557118E-2</v>
      </c>
      <c r="M27" s="19"/>
    </row>
    <row r="28" spans="2:20" ht="15.75" thickBot="1">
      <c r="B28" s="59" t="s">
        <v>13</v>
      </c>
      <c r="C28" s="66">
        <f>C49</f>
        <v>98925.984640723851</v>
      </c>
      <c r="D28" s="46">
        <f>SUM(D21:D27)</f>
        <v>65728</v>
      </c>
      <c r="E28" s="46">
        <f>SUM(E21:E27)</f>
        <v>41182</v>
      </c>
      <c r="F28" s="56">
        <f>SUM(F21:F27)</f>
        <v>44187</v>
      </c>
      <c r="G28" s="56">
        <f>SUM(G21:G27)</f>
        <v>28791</v>
      </c>
      <c r="I28" s="138">
        <f>D28/D28</f>
        <v>1</v>
      </c>
      <c r="J28" s="139">
        <f>E28/E28</f>
        <v>1</v>
      </c>
      <c r="K28" s="139">
        <f>F28/F28</f>
        <v>1</v>
      </c>
      <c r="L28" s="140">
        <f>G28/G28</f>
        <v>1</v>
      </c>
      <c r="M28" s="19"/>
    </row>
    <row r="29" spans="2:20" ht="15.75" thickTop="1">
      <c r="B29" s="75" t="s">
        <v>14</v>
      </c>
      <c r="C29" s="57"/>
      <c r="D29" s="42"/>
      <c r="E29" s="43"/>
      <c r="F29" s="57"/>
      <c r="G29" s="57"/>
      <c r="I29" s="141"/>
      <c r="J29" s="142"/>
      <c r="K29" s="143"/>
      <c r="L29" s="144"/>
      <c r="M29" s="19"/>
    </row>
    <row r="30" spans="2:20">
      <c r="B30" s="59" t="s">
        <v>15</v>
      </c>
      <c r="C30" s="57"/>
      <c r="D30" s="42"/>
      <c r="E30" s="43"/>
      <c r="F30" s="57"/>
      <c r="G30" s="57"/>
      <c r="I30" s="141"/>
      <c r="J30" s="142"/>
      <c r="K30" s="143"/>
      <c r="L30" s="144"/>
      <c r="M30" s="19"/>
    </row>
    <row r="31" spans="2:20">
      <c r="B31" s="59" t="s">
        <v>16</v>
      </c>
      <c r="C31" s="168">
        <f>C64*'Income Statement'!C17/365</f>
        <v>4878.8328625233125</v>
      </c>
      <c r="D31" s="49">
        <v>2699</v>
      </c>
      <c r="E31" s="50">
        <v>1193</v>
      </c>
      <c r="F31" s="53">
        <v>1783</v>
      </c>
      <c r="G31" s="53">
        <v>1149</v>
      </c>
      <c r="I31" s="133">
        <f>D31/D49</f>
        <v>4.1063169425511199E-2</v>
      </c>
      <c r="J31" s="134">
        <f>E31/E49</f>
        <v>2.8968967024428149E-2</v>
      </c>
      <c r="K31" s="134">
        <f>F31/F49</f>
        <v>4.0351234525991805E-2</v>
      </c>
      <c r="L31" s="135">
        <f>G31/G49</f>
        <v>3.9908304678545378E-2</v>
      </c>
      <c r="M31" s="19"/>
    </row>
    <row r="32" spans="2:20">
      <c r="B32" s="59" t="s">
        <v>17</v>
      </c>
      <c r="C32" s="168">
        <f>D32</f>
        <v>6682</v>
      </c>
      <c r="D32" s="49">
        <v>6682</v>
      </c>
      <c r="E32" s="49">
        <v>4120</v>
      </c>
      <c r="F32" s="53">
        <v>2552</v>
      </c>
      <c r="G32" s="53">
        <v>1777</v>
      </c>
      <c r="I32" s="133">
        <f>D32/D49</f>
        <v>0.10166139240506329</v>
      </c>
      <c r="J32" s="134">
        <f>E32/E49</f>
        <v>0.10004370841629838</v>
      </c>
      <c r="K32" s="134">
        <f>F32/F49</f>
        <v>5.7754543191436393E-2</v>
      </c>
      <c r="L32" s="135">
        <f>G32/G49</f>
        <v>6.1720676600326492E-2</v>
      </c>
      <c r="M32" s="19"/>
    </row>
    <row r="33" spans="2:13">
      <c r="B33" s="59" t="s">
        <v>18</v>
      </c>
      <c r="C33" s="168">
        <f>D33</f>
        <v>1250</v>
      </c>
      <c r="D33" s="51">
        <v>1250</v>
      </c>
      <c r="E33" s="51">
        <v>1250</v>
      </c>
      <c r="F33" s="51" t="s">
        <v>27</v>
      </c>
      <c r="G33" s="53">
        <v>999</v>
      </c>
      <c r="I33" s="133">
        <f>D33/D49</f>
        <v>1.9017770204479065E-2</v>
      </c>
      <c r="J33" s="134">
        <f>E33/E49</f>
        <v>3.0353066873876938E-2</v>
      </c>
      <c r="K33" s="145" t="s">
        <v>27</v>
      </c>
      <c r="L33" s="135">
        <f>G33/G49</f>
        <v>3.4698343232260079E-2</v>
      </c>
      <c r="M33" s="19"/>
    </row>
    <row r="34" spans="2:13" ht="15.75" thickBot="1">
      <c r="B34" s="75" t="s">
        <v>19</v>
      </c>
      <c r="C34" s="66">
        <f>SUM(C31:C33)</f>
        <v>12810.832862523312</v>
      </c>
      <c r="D34" s="46">
        <f>SUM(D31:D33)</f>
        <v>10631</v>
      </c>
      <c r="E34" s="46">
        <f>SUM(E31:E33)</f>
        <v>6563</v>
      </c>
      <c r="F34" s="56">
        <f>SUM(F31:F33)</f>
        <v>4335</v>
      </c>
      <c r="G34" s="56">
        <f>SUM(G31:G33)</f>
        <v>3925</v>
      </c>
      <c r="I34" s="130">
        <f>D34/D49</f>
        <v>0.16174233203505356</v>
      </c>
      <c r="J34" s="131">
        <f>E34/E49</f>
        <v>0.15936574231460346</v>
      </c>
      <c r="K34" s="131">
        <f>F34/F49</f>
        <v>9.8105777717428205E-2</v>
      </c>
      <c r="L34" s="132">
        <f>G34/G49</f>
        <v>0.13632732451113194</v>
      </c>
      <c r="M34" s="19"/>
    </row>
    <row r="35" spans="2:13" ht="15.75" thickTop="1">
      <c r="B35" s="59" t="s">
        <v>20</v>
      </c>
      <c r="C35" s="168">
        <f>D35-1200</f>
        <v>7259</v>
      </c>
      <c r="D35" s="49">
        <v>8459</v>
      </c>
      <c r="E35" s="49">
        <v>9703</v>
      </c>
      <c r="F35" s="53">
        <v>10946</v>
      </c>
      <c r="G35" s="53">
        <v>5964</v>
      </c>
      <c r="I35" s="133">
        <f>D35/D49</f>
        <v>0.12869705452775074</v>
      </c>
      <c r="J35" s="134">
        <f>E35/E49</f>
        <v>0.23561264630178233</v>
      </c>
      <c r="K35" s="134">
        <f>F35/F49</f>
        <v>0.24771991762283024</v>
      </c>
      <c r="L35" s="135">
        <f>G35/G49</f>
        <v>0.20714806710430342</v>
      </c>
      <c r="M35" s="19"/>
    </row>
    <row r="36" spans="2:13">
      <c r="B36" s="59" t="s">
        <v>21</v>
      </c>
      <c r="C36" s="168">
        <f>D36</f>
        <v>1119</v>
      </c>
      <c r="D36" s="49">
        <v>1119</v>
      </c>
      <c r="E36" s="49">
        <v>902</v>
      </c>
      <c r="F36" s="53">
        <v>741</v>
      </c>
      <c r="G36" s="53">
        <v>634</v>
      </c>
      <c r="I36" s="133">
        <f>D36/D49</f>
        <v>1.7024707887049659E-2</v>
      </c>
      <c r="J36" s="134">
        <f>E36/E49</f>
        <v>2.1902773056189598E-2</v>
      </c>
      <c r="K36" s="134">
        <f>F36/F49</f>
        <v>1.6769638128861428E-2</v>
      </c>
      <c r="L36" s="135">
        <f>G36/G49</f>
        <v>2.2020770379632525E-2</v>
      </c>
      <c r="M36" s="19"/>
    </row>
    <row r="37" spans="2:13">
      <c r="B37" s="59" t="s">
        <v>22</v>
      </c>
      <c r="C37" s="168">
        <f>D37</f>
        <v>2541</v>
      </c>
      <c r="D37" s="51">
        <v>2541</v>
      </c>
      <c r="E37" s="51">
        <v>1913</v>
      </c>
      <c r="F37" s="54">
        <v>1553</v>
      </c>
      <c r="G37" s="53">
        <v>1375</v>
      </c>
      <c r="I37" s="133">
        <f>D37/D49</f>
        <v>3.8659323271665047E-2</v>
      </c>
      <c r="J37" s="134">
        <f>E37/E49</f>
        <v>4.6452333543781262E-2</v>
      </c>
      <c r="K37" s="134">
        <f>F37/F49</f>
        <v>3.5146083689773011E-2</v>
      </c>
      <c r="L37" s="135">
        <f>G37/G49</f>
        <v>4.7757979924281893E-2</v>
      </c>
      <c r="M37" s="19"/>
    </row>
    <row r="38" spans="2:13">
      <c r="B38" s="59" t="s">
        <v>141</v>
      </c>
      <c r="C38" s="62">
        <f>SUM(C35:C37)</f>
        <v>10919</v>
      </c>
      <c r="D38" s="62">
        <f>SUM(D35:D37)</f>
        <v>12119</v>
      </c>
      <c r="E38" s="62">
        <f>SUM(E35:E37)</f>
        <v>12518</v>
      </c>
      <c r="F38" s="62">
        <f>SUM(F35:F37)</f>
        <v>13240</v>
      </c>
      <c r="G38" s="62">
        <f>SUM(G35:G37)</f>
        <v>7973</v>
      </c>
      <c r="I38" s="146"/>
      <c r="J38" s="147"/>
      <c r="K38" s="147"/>
      <c r="L38" s="148"/>
      <c r="M38" s="2"/>
    </row>
    <row r="39" spans="2:13">
      <c r="B39" s="59" t="s">
        <v>23</v>
      </c>
      <c r="C39" s="120">
        <f>SUM(C34:C37)</f>
        <v>23729.832862523312</v>
      </c>
      <c r="D39" s="45">
        <f>SUM(D34:D37)</f>
        <v>22750</v>
      </c>
      <c r="E39" s="45">
        <f>SUM(E34:E37)</f>
        <v>19081</v>
      </c>
      <c r="F39" s="55">
        <f>SUM(F34:F37)</f>
        <v>17575</v>
      </c>
      <c r="G39" s="55">
        <f>SUM(G34:G37)</f>
        <v>11898</v>
      </c>
      <c r="H39" s="195"/>
      <c r="I39" s="130">
        <f>D39/D49</f>
        <v>0.346123417721519</v>
      </c>
      <c r="J39" s="131">
        <f>E39/E49</f>
        <v>0.46333349521635664</v>
      </c>
      <c r="K39" s="131">
        <f>F39/F49</f>
        <v>0.39774141715889288</v>
      </c>
      <c r="L39" s="132">
        <f>G39/G49</f>
        <v>0.41325414191934978</v>
      </c>
      <c r="M39" s="2"/>
    </row>
    <row r="40" spans="2:13">
      <c r="B40" s="59" t="s">
        <v>24</v>
      </c>
      <c r="D40" s="43"/>
      <c r="E40" s="43"/>
      <c r="F40" s="57"/>
      <c r="G40" s="57"/>
      <c r="H40" s="194"/>
      <c r="I40" s="141"/>
      <c r="J40" s="147"/>
      <c r="K40" s="147"/>
      <c r="L40" s="148"/>
      <c r="M40" s="17"/>
    </row>
    <row r="41" spans="2:13">
      <c r="B41" s="75" t="s">
        <v>25</v>
      </c>
      <c r="D41" s="68"/>
      <c r="E41" s="68"/>
      <c r="F41" s="57"/>
      <c r="G41" s="57"/>
      <c r="I41" s="141"/>
      <c r="J41" s="147"/>
      <c r="K41" s="147"/>
      <c r="L41" s="148"/>
      <c r="M41" s="19"/>
    </row>
    <row r="42" spans="2:13" ht="24">
      <c r="B42" s="59" t="s">
        <v>26</v>
      </c>
      <c r="C42" s="168" t="str">
        <f>D42</f>
        <v>— </v>
      </c>
      <c r="D42" s="48" t="s">
        <v>27</v>
      </c>
      <c r="E42" s="48" t="s">
        <v>27</v>
      </c>
      <c r="F42" s="48" t="s">
        <v>27</v>
      </c>
      <c r="G42" s="48" t="s">
        <v>27</v>
      </c>
      <c r="I42" s="149" t="s">
        <v>27</v>
      </c>
      <c r="J42" s="150" t="s">
        <v>27</v>
      </c>
      <c r="K42" s="150" t="s">
        <v>27</v>
      </c>
      <c r="L42" s="151" t="s">
        <v>27</v>
      </c>
      <c r="M42" s="19"/>
    </row>
    <row r="43" spans="2:13" ht="36">
      <c r="B43" s="59" t="s">
        <v>28</v>
      </c>
      <c r="C43" s="168">
        <f>D43</f>
        <v>2</v>
      </c>
      <c r="D43" s="48">
        <v>2</v>
      </c>
      <c r="E43" s="48">
        <v>2</v>
      </c>
      <c r="F43" s="53">
        <v>3</v>
      </c>
      <c r="G43" s="53">
        <v>3</v>
      </c>
      <c r="I43" s="133">
        <f>D43/D49</f>
        <v>3.0428432327166505E-5</v>
      </c>
      <c r="J43" s="134">
        <f>E43/E49</f>
        <v>4.8564906998203096E-5</v>
      </c>
      <c r="K43" s="134">
        <f>F43/F49</f>
        <v>6.7893271776766926E-5</v>
      </c>
      <c r="L43" s="135">
        <f>G43/G49</f>
        <v>1.0419922892570594E-4</v>
      </c>
      <c r="M43" s="19"/>
    </row>
    <row r="44" spans="2:13">
      <c r="B44" s="59" t="s">
        <v>29</v>
      </c>
      <c r="C44" s="168">
        <f>D44</f>
        <v>13132</v>
      </c>
      <c r="D44" s="48">
        <v>13132</v>
      </c>
      <c r="E44" s="48">
        <v>11971</v>
      </c>
      <c r="F44" s="53">
        <v>10385</v>
      </c>
      <c r="G44" s="53">
        <v>8719</v>
      </c>
      <c r="I44" s="133">
        <f>D44/D49</f>
        <v>0.19979308666017526</v>
      </c>
      <c r="J44" s="134">
        <f>E44/E49</f>
        <v>0.29068525083774466</v>
      </c>
      <c r="K44" s="134">
        <f>F44/F49</f>
        <v>0.23502387580057482</v>
      </c>
      <c r="L44" s="135">
        <f>G44/G49</f>
        <v>0.30283769233441005</v>
      </c>
      <c r="M44" s="19"/>
    </row>
    <row r="45" spans="2:13" ht="24">
      <c r="B45" s="59" t="s">
        <v>138</v>
      </c>
      <c r="C45" s="168" t="str">
        <f>D45</f>
        <v>— </v>
      </c>
      <c r="D45" s="48" t="s">
        <v>27</v>
      </c>
      <c r="E45" s="48" t="s">
        <v>27</v>
      </c>
      <c r="F45" s="48" t="s">
        <v>27</v>
      </c>
      <c r="G45" s="53">
        <v>-10756</v>
      </c>
      <c r="I45" s="133"/>
      <c r="J45" s="147"/>
      <c r="K45" s="147"/>
      <c r="L45" s="135">
        <f>G45/G49</f>
        <v>-0.37358896877496439</v>
      </c>
      <c r="M45" s="19"/>
    </row>
    <row r="46" spans="2:13">
      <c r="B46" s="59" t="s">
        <v>30</v>
      </c>
      <c r="C46" s="168">
        <f>D46</f>
        <v>27</v>
      </c>
      <c r="D46" s="49">
        <v>27</v>
      </c>
      <c r="E46" s="49">
        <v>-43</v>
      </c>
      <c r="F46" s="53">
        <v>-11</v>
      </c>
      <c r="G46" s="53">
        <v>19</v>
      </c>
      <c r="I46" s="133">
        <f>D46/D49</f>
        <v>4.1078383641674783E-4</v>
      </c>
      <c r="J46" s="134">
        <f>E46/E49</f>
        <v>-1.0441455004613666E-3</v>
      </c>
      <c r="K46" s="134">
        <f>F46/F49</f>
        <v>-2.4894199651481205E-4</v>
      </c>
      <c r="L46" s="135">
        <f>G46/G49</f>
        <v>6.599284498628044E-4</v>
      </c>
      <c r="M46" s="19"/>
    </row>
    <row r="47" spans="2:13" ht="15" customHeight="1">
      <c r="B47" s="59" t="s">
        <v>31</v>
      </c>
      <c r="C47" s="168">
        <f>'Shareholders'' Equ'!H34</f>
        <v>62035.151778200539</v>
      </c>
      <c r="D47" s="49">
        <v>29817</v>
      </c>
      <c r="E47" s="49">
        <v>10171</v>
      </c>
      <c r="F47" s="53">
        <v>16235</v>
      </c>
      <c r="G47" s="53">
        <v>18908</v>
      </c>
      <c r="I47" s="133">
        <f>D47/D49</f>
        <v>0.4536422833495618</v>
      </c>
      <c r="J47" s="134">
        <f>E47/E49</f>
        <v>0.24697683453936187</v>
      </c>
      <c r="K47" s="134">
        <f>F47/F49</f>
        <v>0.3674157557652703</v>
      </c>
      <c r="L47" s="135">
        <f>G47/G49</f>
        <v>0.65673300684241598</v>
      </c>
      <c r="M47" s="19"/>
    </row>
    <row r="48" spans="2:13">
      <c r="B48" s="59" t="s">
        <v>32</v>
      </c>
      <c r="C48" s="62">
        <f>SUM(C42:C47)</f>
        <v>75196.151778200539</v>
      </c>
      <c r="D48" s="113">
        <f>SUM(D42:D47)</f>
        <v>42978</v>
      </c>
      <c r="E48" s="113">
        <f>SUM(E42:E47)</f>
        <v>22101</v>
      </c>
      <c r="F48" s="113">
        <f>SUM(F42:F47)</f>
        <v>26612</v>
      </c>
      <c r="G48" s="113">
        <f>SUM(G42:G47)</f>
        <v>16893</v>
      </c>
      <c r="I48" s="152">
        <f>D48/D49</f>
        <v>0.653876582278481</v>
      </c>
      <c r="J48" s="153">
        <f>E48/E49</f>
        <v>0.53666650478364331</v>
      </c>
      <c r="K48" s="153">
        <f>F48/F49</f>
        <v>0.60225858284110712</v>
      </c>
      <c r="L48" s="154">
        <f>G48/G49</f>
        <v>0.58674585808065016</v>
      </c>
      <c r="M48" s="19"/>
    </row>
    <row r="49" spans="2:13" ht="15.75" thickBot="1">
      <c r="B49" s="59" t="s">
        <v>33</v>
      </c>
      <c r="C49" s="66">
        <f>C34+C38+C48</f>
        <v>98925.984640723851</v>
      </c>
      <c r="D49" s="46">
        <f>D34+D38+D48</f>
        <v>65728</v>
      </c>
      <c r="E49" s="46">
        <f>E34+E38+E48</f>
        <v>41182</v>
      </c>
      <c r="F49" s="46">
        <f>F34+F38+F48</f>
        <v>44187</v>
      </c>
      <c r="G49" s="46">
        <f>G34+G38+G48</f>
        <v>28791</v>
      </c>
      <c r="I49" s="155">
        <f>D49/D49</f>
        <v>1</v>
      </c>
      <c r="J49" s="156">
        <f>E49/E49</f>
        <v>1</v>
      </c>
      <c r="K49" s="156">
        <f>F49/F49</f>
        <v>1</v>
      </c>
      <c r="L49" s="157">
        <f>G49/G49</f>
        <v>1</v>
      </c>
      <c r="M49" s="2"/>
    </row>
    <row r="50" spans="2:13" ht="15.75" thickTop="1"/>
    <row r="51" spans="2:13">
      <c r="M51" s="23"/>
    </row>
    <row r="52" spans="2:13">
      <c r="M52" s="19"/>
    </row>
    <row r="53" spans="2:13">
      <c r="M53" s="24"/>
    </row>
    <row r="54" spans="2:13">
      <c r="M54" s="19"/>
    </row>
    <row r="56" spans="2:13">
      <c r="M56" s="19"/>
    </row>
    <row r="57" spans="2:13">
      <c r="M57" s="19"/>
    </row>
    <row r="58" spans="2:13" ht="16.5" customHeight="1">
      <c r="M58" s="19"/>
    </row>
    <row r="59" spans="2:13" ht="24" customHeight="1" thickBot="1">
      <c r="C59" s="78">
        <v>2025</v>
      </c>
      <c r="D59" s="77">
        <v>2024</v>
      </c>
      <c r="E59" s="77">
        <v>2023</v>
      </c>
      <c r="F59" s="78">
        <v>2022</v>
      </c>
      <c r="G59" s="78">
        <v>2021</v>
      </c>
      <c r="I59" s="22"/>
      <c r="J59" s="18"/>
      <c r="K59" s="21"/>
      <c r="L59" s="20"/>
    </row>
    <row r="60" spans="2:13">
      <c r="B60" t="s">
        <v>115</v>
      </c>
      <c r="C60" s="242">
        <f>'Balance Sheet'!C21/'Balance Sheet'!C34</f>
        <v>6.0529229811097887</v>
      </c>
      <c r="D60" s="243">
        <f>Ratios!C6</f>
        <v>4.1712915059730973</v>
      </c>
      <c r="E60" s="243">
        <f>Ratios!D6</f>
        <v>3.5156178576870332</v>
      </c>
      <c r="F60" s="243">
        <f>Ratios!E6</f>
        <v>6.6502883506343711</v>
      </c>
      <c r="G60" s="243">
        <f>Ratios!F6</f>
        <v>4.0904458598726112</v>
      </c>
    </row>
    <row r="61" spans="2:13">
      <c r="B61" t="s">
        <v>116</v>
      </c>
      <c r="C61" s="242">
        <f>('Balance Sheet'!C21-'Balance Sheet'!C19)/'Balance Sheet'!C34</f>
        <v>5.0312595718966335</v>
      </c>
      <c r="D61" s="243">
        <f>Ratios!C7</f>
        <v>3.6744426676700215</v>
      </c>
      <c r="E61" s="243">
        <f>Ratios!D7</f>
        <v>2.7295444156635686</v>
      </c>
      <c r="F61" s="243">
        <f>Ratios!E7</f>
        <v>6.0493656286043826</v>
      </c>
      <c r="G61" s="243">
        <f>Ratios!F7</f>
        <v>3.6252229299363057</v>
      </c>
    </row>
    <row r="62" spans="2:13">
      <c r="B62" t="s">
        <v>119</v>
      </c>
      <c r="C62" s="242">
        <f>D62</f>
        <v>41.4176323823906</v>
      </c>
      <c r="D62" s="243">
        <f>Ratios!C11</f>
        <v>41.4176323823906</v>
      </c>
      <c r="E62" s="243">
        <f>Ratios!D11</f>
        <v>57.353470008156009</v>
      </c>
      <c r="F62" s="243">
        <f>Ratios!E11</f>
        <v>48.001690569963586</v>
      </c>
      <c r="G62" s="243">
        <f>Ratios!F11</f>
        <v>53.168515742128939</v>
      </c>
    </row>
    <row r="63" spans="2:13">
      <c r="B63" t="s">
        <v>147</v>
      </c>
      <c r="C63" s="242">
        <f>D63</f>
        <v>114.64307201732748</v>
      </c>
      <c r="D63" s="243">
        <f>Ratios!C10</f>
        <v>114.64307201732748</v>
      </c>
      <c r="E63" s="243">
        <f>Ratios!D10</f>
        <v>121.95988982613187</v>
      </c>
      <c r="F63" s="243">
        <f>Ratios!E10</f>
        <v>85.671946180739482</v>
      </c>
      <c r="G63" s="243">
        <f>Ratios!F10</f>
        <v>106.14588310240484</v>
      </c>
    </row>
    <row r="64" spans="2:13">
      <c r="B64" t="s">
        <v>120</v>
      </c>
      <c r="C64" s="242">
        <f>D64</f>
        <v>42.734492509475963</v>
      </c>
      <c r="D64" s="243">
        <f>Ratios!C12</f>
        <v>42.734492509475963</v>
      </c>
      <c r="E64" s="243">
        <f>Ratios!D12</f>
        <v>46.748149423308654</v>
      </c>
      <c r="F64" s="243">
        <f>Ratios!E12</f>
        <v>56.689267930924885</v>
      </c>
      <c r="G64" s="243">
        <f>Ratios!F12</f>
        <v>66.791686574295269</v>
      </c>
    </row>
    <row r="65" spans="2:7">
      <c r="B65" t="s">
        <v>148</v>
      </c>
      <c r="C65" s="244">
        <f>C64/'Income Statement'!C17</f>
        <v>1.0255298288012217E-3</v>
      </c>
      <c r="D65" s="245">
        <f>D64/'Income Statement'!D17</f>
        <v>2.5711144040356155E-3</v>
      </c>
      <c r="E65" s="245">
        <f>E64/'Income Statement'!E17</f>
        <v>4.0237691016791746E-3</v>
      </c>
      <c r="F65" s="245">
        <f>F64/'Income Statement'!F17</f>
        <v>6.0058552739617422E-3</v>
      </c>
      <c r="G65" s="245">
        <f>G64/'Income Statement'!G17</f>
        <v>1.0637312720862442E-2</v>
      </c>
    </row>
    <row r="66" spans="2:7">
      <c r="B66" s="186" t="s">
        <v>117</v>
      </c>
      <c r="C66" s="242">
        <f>C62+C63-C64</f>
        <v>113.32621189024212</v>
      </c>
      <c r="D66" s="243">
        <f>Ratios!C13</f>
        <v>113.32621189024212</v>
      </c>
      <c r="E66" s="243">
        <f>Ratios!D13</f>
        <v>132.56521041097923</v>
      </c>
      <c r="F66" s="243">
        <f>Ratios!E13</f>
        <v>76.984368819778169</v>
      </c>
      <c r="G66" s="243">
        <f>Ratios!F13</f>
        <v>92.5227122702385</v>
      </c>
    </row>
  </sheetData>
  <mergeCells count="1">
    <mergeCell ref="J14:K1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54A5-FFFB-4CFE-9840-F1F619BC336E}">
  <dimension ref="B2:AA68"/>
  <sheetViews>
    <sheetView zoomScaleNormal="100" workbookViewId="0">
      <selection activeCell="C21" sqref="C21"/>
    </sheetView>
  </sheetViews>
  <sheetFormatPr defaultColWidth="8.85546875" defaultRowHeight="15"/>
  <cols>
    <col min="1" max="1" width="6.28515625" customWidth="1"/>
    <col min="2" max="2" width="36.28515625" bestFit="1" customWidth="1"/>
    <col min="3" max="3" width="21.28515625" bestFit="1" customWidth="1"/>
    <col min="4" max="6" width="12.28515625" bestFit="1" customWidth="1"/>
    <col min="7" max="7" width="11.85546875" bestFit="1" customWidth="1"/>
    <col min="8" max="8" width="9" customWidth="1"/>
    <col min="9" max="9" width="11.140625" bestFit="1" customWidth="1"/>
    <col min="10" max="10" width="11.42578125" customWidth="1"/>
    <col min="11" max="11" width="11.140625" customWidth="1"/>
    <col min="12" max="12" width="7.7109375" bestFit="1" customWidth="1"/>
    <col min="13" max="13" width="38.28515625" bestFit="1" customWidth="1"/>
  </cols>
  <sheetData>
    <row r="2" spans="2:12">
      <c r="C2" s="137">
        <v>25</v>
      </c>
      <c r="D2" s="176" t="s">
        <v>144</v>
      </c>
      <c r="E2" s="136" t="s">
        <v>145</v>
      </c>
      <c r="F2" s="136" t="s">
        <v>146</v>
      </c>
    </row>
    <row r="3" spans="2:12">
      <c r="B3" s="69" t="s">
        <v>70</v>
      </c>
      <c r="C3" s="160">
        <v>0.9</v>
      </c>
      <c r="D3" s="158">
        <f>($D$16-$E$16)/$E$16</f>
        <v>1.2585452658115222</v>
      </c>
      <c r="E3" s="158">
        <f>($E$16-$F$16)/$F$16</f>
        <v>2.2293230289068887E-3</v>
      </c>
      <c r="F3" s="158">
        <f>($F16-$G16)/$G16</f>
        <v>0.61403298350824587</v>
      </c>
    </row>
    <row r="4" spans="2:12">
      <c r="B4" s="60" t="s">
        <v>71</v>
      </c>
      <c r="C4" s="160">
        <v>0.36</v>
      </c>
      <c r="D4" s="158">
        <f>($D$17-$E$17)/$E$17</f>
        <v>0.43062489240833191</v>
      </c>
      <c r="E4" s="158">
        <f>($E$17-$F$17)/$F$17</f>
        <v>0.23085072571246953</v>
      </c>
      <c r="F4" s="158">
        <f>($F$17-$G$17)/$G$17</f>
        <v>0.50326485109093799</v>
      </c>
      <c r="G4" s="163"/>
    </row>
    <row r="5" spans="2:12">
      <c r="B5" s="60" t="s">
        <v>75</v>
      </c>
      <c r="C5" s="160">
        <v>0.23</v>
      </c>
      <c r="D5" s="158">
        <f>($D$20-$E$20)/$E$20</f>
        <v>0.18204115002043875</v>
      </c>
      <c r="E5" s="158">
        <f>($E$20-$F$20)/$F$20</f>
        <v>0.3931283219438117</v>
      </c>
      <c r="F5" s="158">
        <f>($F$20-$G$20)/$G$20</f>
        <v>0.34250764525993882</v>
      </c>
    </row>
    <row r="6" spans="2:12">
      <c r="B6" s="60" t="s">
        <v>76</v>
      </c>
      <c r="C6" s="160">
        <v>0.1</v>
      </c>
      <c r="D6" s="158">
        <f>($D$21-$E$21)/$E$21</f>
        <v>8.7704918032786891E-2</v>
      </c>
      <c r="E6" s="158">
        <f>($E$21-$F$21)/$F$21</f>
        <v>0.1265004616805171</v>
      </c>
      <c r="F6" s="158">
        <f>($F$21-$G$21)/$G$21</f>
        <v>0.11649484536082474</v>
      </c>
    </row>
    <row r="7" spans="2:12">
      <c r="B7" s="60" t="s">
        <v>80</v>
      </c>
      <c r="C7" s="160">
        <v>0.03</v>
      </c>
      <c r="D7" s="158">
        <f>($D$25-$E$25)/$E$25</f>
        <v>2.2434456928838951</v>
      </c>
      <c r="E7" s="158">
        <f>($E$25-$F$25)/$F$25</f>
        <v>8.2068965517241388</v>
      </c>
      <c r="F7" s="158">
        <f>($F$25-$G$25)/$G$25</f>
        <v>-0.49122807017543857</v>
      </c>
    </row>
    <row r="8" spans="2:12">
      <c r="B8" s="60" t="s">
        <v>81</v>
      </c>
      <c r="C8" s="217">
        <v>-9.7999999999999997E-3</v>
      </c>
      <c r="D8" s="158">
        <f>($D$26-$E$26)/$E$26</f>
        <v>-1.9083969465648856E-2</v>
      </c>
      <c r="E8" s="158">
        <f>($E$26-$F$26)/$F$26</f>
        <v>0.11016949152542373</v>
      </c>
      <c r="F8" s="158">
        <f>($F$26-$G$26)/$G$26</f>
        <v>0.28260869565217389</v>
      </c>
    </row>
    <row r="9" spans="2:12">
      <c r="B9" s="60" t="s">
        <v>82</v>
      </c>
      <c r="C9" s="217">
        <v>3.8999999999999998E-3</v>
      </c>
      <c r="D9" s="158">
        <f>($D$27-$E$27)/$E$27</f>
        <v>-5.9375</v>
      </c>
      <c r="E9" s="158">
        <f>($E$27-$F$27)/$F$27</f>
        <v>-1.4485981308411215</v>
      </c>
      <c r="F9" s="158">
        <f>($F$27-$G$27)/$G$27</f>
        <v>25.75</v>
      </c>
    </row>
    <row r="10" spans="2:12">
      <c r="B10" s="69" t="s">
        <v>85</v>
      </c>
      <c r="C10" s="160">
        <v>0.12</v>
      </c>
      <c r="D10" s="158">
        <f>($D$30-$E$30)/$E$30</f>
        <v>-22.700534759358288</v>
      </c>
      <c r="E10" s="158">
        <f>($E$30-$F$30)/$F$30</f>
        <v>-1.9894179894179893</v>
      </c>
      <c r="F10" s="158">
        <f>($F$30-$G$30)/$G$30</f>
        <v>1.4545454545454546</v>
      </c>
    </row>
    <row r="11" spans="2:12">
      <c r="B11" s="38" t="s">
        <v>157</v>
      </c>
      <c r="C11" s="160">
        <v>0.03</v>
      </c>
      <c r="D11" s="158"/>
      <c r="E11" s="158"/>
      <c r="F11" s="158"/>
    </row>
    <row r="14" spans="2:12" ht="15.75" thickBot="1">
      <c r="B14" s="39" t="s">
        <v>175</v>
      </c>
      <c r="C14" s="78" t="s">
        <v>142</v>
      </c>
      <c r="D14" s="78" t="s">
        <v>111</v>
      </c>
      <c r="E14" s="78" t="s">
        <v>112</v>
      </c>
      <c r="F14" s="78" t="s">
        <v>113</v>
      </c>
      <c r="G14" s="78" t="s">
        <v>139</v>
      </c>
      <c r="J14" s="161" t="s">
        <v>143</v>
      </c>
      <c r="K14" s="162"/>
    </row>
    <row r="15" spans="2:12">
      <c r="B15" s="38"/>
      <c r="D15" s="57"/>
      <c r="E15" s="57"/>
      <c r="F15" s="57"/>
      <c r="G15" s="57"/>
      <c r="I15" s="128"/>
      <c r="L15" s="129"/>
    </row>
    <row r="16" spans="2:12">
      <c r="B16" s="69" t="s">
        <v>70</v>
      </c>
      <c r="C16" s="168">
        <f>D16*(1+$C$3)</f>
        <v>115751.79999999999</v>
      </c>
      <c r="D16" s="50">
        <v>60922</v>
      </c>
      <c r="E16" s="50">
        <v>26974</v>
      </c>
      <c r="F16" s="50">
        <v>26914</v>
      </c>
      <c r="G16" s="53">
        <v>16675</v>
      </c>
      <c r="I16" s="197">
        <f>D16/D16</f>
        <v>1</v>
      </c>
      <c r="J16" s="198">
        <f>E16/E16</f>
        <v>1</v>
      </c>
      <c r="K16" s="198">
        <f>F16/F16</f>
        <v>1</v>
      </c>
      <c r="L16" s="199">
        <f>G16/G16</f>
        <v>1</v>
      </c>
    </row>
    <row r="17" spans="2:13">
      <c r="B17" s="172" t="s">
        <v>71</v>
      </c>
      <c r="C17" s="169">
        <f>C16*C4</f>
        <v>41670.647999999994</v>
      </c>
      <c r="D17" s="81">
        <v>16621</v>
      </c>
      <c r="E17" s="81">
        <v>11618</v>
      </c>
      <c r="F17" s="81">
        <v>9439</v>
      </c>
      <c r="G17" s="54">
        <v>6279</v>
      </c>
      <c r="I17" s="200">
        <f>D17/D16</f>
        <v>0.27282426709563046</v>
      </c>
      <c r="J17" s="201">
        <f>E17/E16</f>
        <v>0.43071105509008673</v>
      </c>
      <c r="K17" s="201">
        <f>F17/F16</f>
        <v>0.35070966783086871</v>
      </c>
      <c r="L17" s="202">
        <f>G17/G16</f>
        <v>0.37655172413793103</v>
      </c>
    </row>
    <row r="18" spans="2:13">
      <c r="B18" s="69" t="s">
        <v>72</v>
      </c>
      <c r="C18" s="170">
        <f>C16-C17</f>
        <v>74081.152000000002</v>
      </c>
      <c r="D18" s="80">
        <f>D16-D17</f>
        <v>44301</v>
      </c>
      <c r="E18" s="80">
        <f>E16-E17</f>
        <v>15356</v>
      </c>
      <c r="F18" s="80">
        <f>F16-F17</f>
        <v>17475</v>
      </c>
      <c r="G18" s="55">
        <f>G16-G17</f>
        <v>10396</v>
      </c>
      <c r="I18" s="197">
        <f>D18/D16</f>
        <v>0.72717573290436954</v>
      </c>
      <c r="J18" s="198">
        <f>E18/E16</f>
        <v>0.56928894490991322</v>
      </c>
      <c r="K18" s="198">
        <f>F18/F16</f>
        <v>0.64929033216913135</v>
      </c>
      <c r="L18" s="199">
        <f>G18/G16</f>
        <v>0.62344827586206897</v>
      </c>
    </row>
    <row r="19" spans="2:13">
      <c r="B19" s="69" t="s">
        <v>73</v>
      </c>
      <c r="C19" s="57"/>
      <c r="D19" s="70" t="s">
        <v>74</v>
      </c>
      <c r="E19" s="70"/>
      <c r="F19" s="70"/>
      <c r="G19" s="57"/>
      <c r="I19" s="200"/>
      <c r="J19" s="203"/>
      <c r="K19" s="203"/>
      <c r="L19" s="204"/>
    </row>
    <row r="20" spans="2:13">
      <c r="B20" s="60" t="s">
        <v>75</v>
      </c>
      <c r="C20" s="168">
        <f>C16*C5</f>
        <v>26622.913999999997</v>
      </c>
      <c r="D20" s="50">
        <v>8675</v>
      </c>
      <c r="E20" s="50">
        <v>7339</v>
      </c>
      <c r="F20" s="50">
        <v>5268</v>
      </c>
      <c r="G20" s="53">
        <v>3924</v>
      </c>
      <c r="I20" s="200">
        <f>D20/D16</f>
        <v>0.14239519385443683</v>
      </c>
      <c r="J20" s="201">
        <f>E20/E16</f>
        <v>0.27207681471046191</v>
      </c>
      <c r="K20" s="201">
        <f>F20/F16</f>
        <v>0.19573456193802483</v>
      </c>
      <c r="L20" s="202">
        <f>G20/G16</f>
        <v>0.2353223388305847</v>
      </c>
      <c r="M20" s="196"/>
    </row>
    <row r="21" spans="2:13">
      <c r="B21" s="172" t="s">
        <v>76</v>
      </c>
      <c r="C21" s="168">
        <f>C16*C6</f>
        <v>11575.18</v>
      </c>
      <c r="D21" s="50">
        <v>2654</v>
      </c>
      <c r="E21" s="50">
        <v>2440</v>
      </c>
      <c r="F21" s="50">
        <v>2166</v>
      </c>
      <c r="G21" s="53">
        <v>1940</v>
      </c>
      <c r="I21" s="200">
        <f>D21/D16</f>
        <v>4.3563901382095135E-2</v>
      </c>
      <c r="J21" s="201">
        <f>E21/E16</f>
        <v>9.0457477570994288E-2</v>
      </c>
      <c r="K21" s="201">
        <f>F21/F16</f>
        <v>8.0478561343538674E-2</v>
      </c>
      <c r="L21" s="202">
        <f>G21/G16</f>
        <v>0.11634182908545727</v>
      </c>
      <c r="M21" s="196"/>
    </row>
    <row r="22" spans="2:13">
      <c r="B22" s="60" t="s">
        <v>41</v>
      </c>
      <c r="C22" s="164" t="s">
        <v>77</v>
      </c>
      <c r="D22" s="52" t="s">
        <v>77</v>
      </c>
      <c r="E22" s="52">
        <v>1353</v>
      </c>
      <c r="F22" s="52" t="s">
        <v>77</v>
      </c>
      <c r="G22" s="52" t="s">
        <v>77</v>
      </c>
      <c r="I22" s="200"/>
      <c r="J22" s="205"/>
      <c r="K22" s="205"/>
      <c r="L22" s="206"/>
    </row>
    <row r="23" spans="2:13">
      <c r="B23" s="60" t="s">
        <v>78</v>
      </c>
      <c r="C23" s="62">
        <f>SUM(C20:C22)</f>
        <v>38198.093999999997</v>
      </c>
      <c r="D23" s="79">
        <f>SUM(D20:D22)</f>
        <v>11329</v>
      </c>
      <c r="E23" s="79">
        <f>SUM(E20:E22)</f>
        <v>11132</v>
      </c>
      <c r="F23" s="62">
        <f>SUM(F20:F22)</f>
        <v>7434</v>
      </c>
      <c r="G23" s="79">
        <f>SUM(G20:G22)</f>
        <v>5864</v>
      </c>
      <c r="I23" s="207">
        <f>D23/D16</f>
        <v>0.18595909523653195</v>
      </c>
      <c r="J23" s="208">
        <f>E23/E16</f>
        <v>0.41269370504930675</v>
      </c>
      <c r="K23" s="208">
        <f>F23/F16</f>
        <v>0.2762131232815635</v>
      </c>
      <c r="L23" s="209">
        <f>G23/G16</f>
        <v>0.35166416791604199</v>
      </c>
    </row>
    <row r="24" spans="2:13">
      <c r="B24" s="69" t="s">
        <v>79</v>
      </c>
      <c r="C24" s="168">
        <f>C18-C23</f>
        <v>35883.058000000005</v>
      </c>
      <c r="D24" s="47">
        <f>D18-D23</f>
        <v>32972</v>
      </c>
      <c r="E24" s="47">
        <f>E18-E23</f>
        <v>4224</v>
      </c>
      <c r="F24" s="47">
        <f>F18-F23</f>
        <v>10041</v>
      </c>
      <c r="G24" s="47">
        <f>G18-G23</f>
        <v>4532</v>
      </c>
      <c r="I24" s="200">
        <f>J35/D16</f>
        <v>0</v>
      </c>
      <c r="J24" s="201">
        <f>K35/E16</f>
        <v>0</v>
      </c>
      <c r="K24" s="201">
        <f>L35/F16</f>
        <v>0</v>
      </c>
      <c r="L24" s="202">
        <f>M42/G16</f>
        <v>0</v>
      </c>
    </row>
    <row r="25" spans="2:13">
      <c r="B25" s="172" t="s">
        <v>80</v>
      </c>
      <c r="C25" s="168">
        <f>D25/'Balance Sheet'!E16*'Balance Sheet'!C16</f>
        <v>1860.2773679551492</v>
      </c>
      <c r="D25" s="50">
        <v>866</v>
      </c>
      <c r="E25" s="50">
        <v>267</v>
      </c>
      <c r="F25" s="50">
        <v>29</v>
      </c>
      <c r="G25" s="53">
        <v>57</v>
      </c>
      <c r="I25" s="200">
        <f>D25/D16</f>
        <v>1.421489773809133E-2</v>
      </c>
      <c r="J25" s="201">
        <f>E25/E16</f>
        <v>9.8984207014161784E-3</v>
      </c>
      <c r="K25" s="201">
        <f>F25/F16</f>
        <v>1.0775061306383296E-3</v>
      </c>
      <c r="L25" s="202">
        <f>G25/G16</f>
        <v>3.4182908545727139E-3</v>
      </c>
      <c r="M25" s="216"/>
    </row>
    <row r="26" spans="2:13">
      <c r="B26" s="172" t="s">
        <v>81</v>
      </c>
      <c r="C26" s="168">
        <f>C16*C8</f>
        <v>-1134.3676399999999</v>
      </c>
      <c r="D26" s="50">
        <v>-257</v>
      </c>
      <c r="E26" s="50">
        <v>-262</v>
      </c>
      <c r="F26" s="50">
        <v>-236</v>
      </c>
      <c r="G26" s="53">
        <v>-184</v>
      </c>
      <c r="I26" s="200">
        <f>D26/D16</f>
        <v>-4.2185089130363411E-3</v>
      </c>
      <c r="J26" s="201">
        <f>E26/E16</f>
        <v>-9.7130570178690593E-3</v>
      </c>
      <c r="K26" s="201">
        <f>F26/F16</f>
        <v>-8.7686705803670956E-3</v>
      </c>
      <c r="L26" s="202">
        <f>G26/G16</f>
        <v>-1.1034482758620689E-2</v>
      </c>
      <c r="M26" s="216"/>
    </row>
    <row r="27" spans="2:13">
      <c r="B27" s="172" t="s">
        <v>82</v>
      </c>
      <c r="C27" s="168">
        <f>C16*C9</f>
        <v>451.43201999999991</v>
      </c>
      <c r="D27" s="52">
        <v>237</v>
      </c>
      <c r="E27" s="52">
        <v>-48</v>
      </c>
      <c r="F27" s="52">
        <v>107</v>
      </c>
      <c r="G27" s="53">
        <v>4</v>
      </c>
      <c r="I27" s="200">
        <f>D27/D16</f>
        <v>3.8902202816716459E-3</v>
      </c>
      <c r="J27" s="201">
        <f>E27/E16</f>
        <v>-1.7794913620523467E-3</v>
      </c>
      <c r="K27" s="201">
        <f>F27/F16</f>
        <v>3.9756260682172846E-3</v>
      </c>
      <c r="L27" s="202">
        <f>G27/G16</f>
        <v>2.39880059970015E-4</v>
      </c>
    </row>
    <row r="28" spans="2:13">
      <c r="B28" s="172" t="s">
        <v>83</v>
      </c>
      <c r="C28" s="175">
        <f>D28</f>
        <v>846</v>
      </c>
      <c r="D28" s="82">
        <v>846</v>
      </c>
      <c r="E28" s="82">
        <v>-43</v>
      </c>
      <c r="F28" s="82">
        <v>-100</v>
      </c>
      <c r="G28" s="83">
        <v>-123</v>
      </c>
      <c r="I28" s="207">
        <f>D28/D16</f>
        <v>1.3886609106726634E-2</v>
      </c>
      <c r="J28" s="208">
        <f>E28/E16</f>
        <v>-1.5941276785052274E-3</v>
      </c>
      <c r="K28" s="208">
        <f>F28/F16</f>
        <v>-3.7155383815114808E-3</v>
      </c>
      <c r="L28" s="209">
        <f>G28/G16</f>
        <v>-7.3763118440779612E-3</v>
      </c>
    </row>
    <row r="29" spans="2:13">
      <c r="B29" s="219" t="s">
        <v>84</v>
      </c>
      <c r="C29" s="168">
        <f>C24+C25+C26+C27</f>
        <v>37060.399747955154</v>
      </c>
      <c r="D29" s="47">
        <f>D24+D25+D26+D27</f>
        <v>33818</v>
      </c>
      <c r="E29" s="47">
        <f>E24+E25+E26+E27</f>
        <v>4181</v>
      </c>
      <c r="F29" s="47">
        <f>F24+F25+F26+F27</f>
        <v>9941</v>
      </c>
      <c r="G29" s="47">
        <f>G24+G25+G26+G27</f>
        <v>4409</v>
      </c>
      <c r="H29" s="218"/>
      <c r="I29" s="200">
        <f>I33/D16</f>
        <v>0</v>
      </c>
      <c r="J29" s="201">
        <f>J33/E16</f>
        <v>0</v>
      </c>
      <c r="K29" s="201">
        <f>K33/F16</f>
        <v>0</v>
      </c>
      <c r="L29" s="202">
        <f>L33/G16</f>
        <v>0</v>
      </c>
    </row>
    <row r="30" spans="2:13" ht="15.75" thickBot="1">
      <c r="B30" s="69" t="s">
        <v>85</v>
      </c>
      <c r="C30" s="173">
        <f>C29*C10</f>
        <v>4447.2479697546187</v>
      </c>
      <c r="D30" s="84">
        <v>4058</v>
      </c>
      <c r="E30" s="84">
        <v>-187</v>
      </c>
      <c r="F30" s="84">
        <v>189</v>
      </c>
      <c r="G30" s="64">
        <v>77</v>
      </c>
      <c r="I30" s="210">
        <f>D30/D16</f>
        <v>6.6609763303896785E-2</v>
      </c>
      <c r="J30" s="211">
        <f>E30/E16</f>
        <v>-6.9326017646622676E-3</v>
      </c>
      <c r="K30" s="211">
        <f>F30/F16</f>
        <v>7.0223675410566993E-3</v>
      </c>
      <c r="L30" s="212">
        <f>G30/G16</f>
        <v>4.6176911544227889E-3</v>
      </c>
      <c r="M30" s="159"/>
    </row>
    <row r="31" spans="2:13" ht="16.5" thickTop="1" thickBot="1">
      <c r="B31" s="69" t="s">
        <v>35</v>
      </c>
      <c r="C31" s="174">
        <f>C29-C30</f>
        <v>32613.151778200536</v>
      </c>
      <c r="D31" s="65">
        <f>D29-D30</f>
        <v>29760</v>
      </c>
      <c r="E31" s="65">
        <f>E29-E30</f>
        <v>4368</v>
      </c>
      <c r="F31" s="65">
        <f>F29-F30</f>
        <v>9752</v>
      </c>
      <c r="G31" s="65">
        <f>G29-G30</f>
        <v>4332</v>
      </c>
      <c r="I31" s="213">
        <f>D31/D16</f>
        <v>0.4884934834706674</v>
      </c>
      <c r="J31" s="214">
        <f>E31/E16</f>
        <v>0.16193371394676356</v>
      </c>
      <c r="K31" s="214">
        <f>F31/F16</f>
        <v>0.36233930296499961</v>
      </c>
      <c r="L31" s="215">
        <f>G31/G16</f>
        <v>0.25979010494752625</v>
      </c>
      <c r="M31" s="159"/>
    </row>
    <row r="32" spans="2:13" ht="15.75" thickTop="1">
      <c r="B32" s="69" t="s">
        <v>86</v>
      </c>
      <c r="C32" s="57"/>
      <c r="D32" s="70"/>
      <c r="E32" s="70"/>
      <c r="F32" s="70"/>
      <c r="G32" s="57"/>
      <c r="L32" s="86"/>
    </row>
    <row r="33" spans="2:13" ht="15.75" thickBot="1">
      <c r="B33" s="69" t="s">
        <v>87</v>
      </c>
      <c r="C33" s="57"/>
      <c r="D33" s="85">
        <v>12.05</v>
      </c>
      <c r="E33" s="85">
        <v>1.76</v>
      </c>
      <c r="F33" s="85">
        <v>3.91</v>
      </c>
      <c r="G33" s="64">
        <v>1.76</v>
      </c>
      <c r="I33" s="255"/>
      <c r="J33" s="165"/>
      <c r="K33" s="165"/>
      <c r="L33" s="57"/>
    </row>
    <row r="34" spans="2:13" ht="16.5" thickTop="1" thickBot="1">
      <c r="B34" s="69" t="s">
        <v>88</v>
      </c>
      <c r="C34" s="57"/>
      <c r="D34" s="85">
        <v>11.93</v>
      </c>
      <c r="E34" s="85">
        <v>1.74</v>
      </c>
      <c r="F34" s="85">
        <v>3.85</v>
      </c>
      <c r="G34" s="64">
        <v>1.73</v>
      </c>
      <c r="I34" s="194"/>
      <c r="L34" s="166"/>
    </row>
    <row r="35" spans="2:13" ht="25.5" thickTop="1">
      <c r="B35" s="69" t="s">
        <v>89</v>
      </c>
      <c r="C35" s="57"/>
      <c r="D35" s="70"/>
      <c r="E35" s="70"/>
      <c r="F35" s="70"/>
      <c r="G35" s="57"/>
      <c r="I35" s="195"/>
      <c r="J35" s="165"/>
      <c r="K35" s="165"/>
      <c r="L35" s="165"/>
    </row>
    <row r="36" spans="2:13" ht="15.75" thickBot="1">
      <c r="B36" s="69" t="s">
        <v>87</v>
      </c>
      <c r="C36" s="57"/>
      <c r="D36" s="84">
        <v>2469</v>
      </c>
      <c r="E36" s="84">
        <v>2487</v>
      </c>
      <c r="F36" s="84">
        <v>2496</v>
      </c>
      <c r="G36" s="64">
        <v>2467</v>
      </c>
      <c r="L36" s="86"/>
    </row>
    <row r="37" spans="2:13" ht="16.5" thickTop="1" thickBot="1">
      <c r="B37" s="69" t="s">
        <v>88</v>
      </c>
      <c r="C37" s="57"/>
      <c r="D37" s="84">
        <v>2494</v>
      </c>
      <c r="E37" s="84">
        <v>2507</v>
      </c>
      <c r="F37" s="84">
        <v>2535</v>
      </c>
      <c r="G37" s="64">
        <v>2510</v>
      </c>
      <c r="L37" s="86"/>
    </row>
    <row r="38" spans="2:13" ht="15.75" thickTop="1"/>
    <row r="41" spans="2:13">
      <c r="B41" s="265"/>
      <c r="C41" s="266"/>
    </row>
    <row r="42" spans="2:13">
      <c r="M42" s="57"/>
    </row>
    <row r="45" spans="2:13">
      <c r="C45" s="167"/>
      <c r="D45" s="167"/>
      <c r="E45" s="167"/>
      <c r="F45" s="167"/>
      <c r="G45" s="167"/>
    </row>
    <row r="51" spans="2:27">
      <c r="I51" s="33"/>
      <c r="K51" s="86"/>
      <c r="L51" s="86"/>
    </row>
    <row r="52" spans="2:27">
      <c r="C52" s="16"/>
      <c r="E52" s="33"/>
    </row>
    <row r="53" spans="2:27">
      <c r="C53" s="16"/>
      <c r="E53" s="33"/>
    </row>
    <row r="54" spans="2:27">
      <c r="C54" s="16"/>
      <c r="E54" s="33"/>
    </row>
    <row r="55" spans="2:27">
      <c r="B55" s="9"/>
      <c r="C55" s="36"/>
      <c r="F55" s="14"/>
      <c r="G55" s="14"/>
      <c r="H55" s="14"/>
      <c r="I55" s="14"/>
      <c r="J55" s="14"/>
      <c r="K55" s="13"/>
      <c r="Q55" s="10"/>
      <c r="S55" s="10"/>
      <c r="U55" s="10"/>
    </row>
    <row r="56" spans="2:27">
      <c r="C56" s="35"/>
      <c r="S56" s="11"/>
      <c r="W56" s="11"/>
      <c r="AA56" s="11"/>
    </row>
    <row r="57" spans="2:27">
      <c r="C57" s="35"/>
      <c r="G57" s="35"/>
      <c r="H57" s="8"/>
      <c r="I57" s="33"/>
    </row>
    <row r="58" spans="2:27">
      <c r="C58" s="35"/>
      <c r="G58" s="35"/>
      <c r="H58" s="8"/>
      <c r="I58" s="33"/>
    </row>
    <row r="59" spans="2:27">
      <c r="C59" s="35"/>
      <c r="G59" s="35"/>
      <c r="H59" s="8"/>
      <c r="I59" s="33"/>
    </row>
    <row r="60" spans="2:27">
      <c r="B60" s="12"/>
      <c r="C60" s="35"/>
      <c r="G60" s="35"/>
      <c r="H60" s="8"/>
      <c r="I60" s="33"/>
    </row>
    <row r="61" spans="2:27">
      <c r="B61" s="12"/>
      <c r="C61" s="35"/>
      <c r="G61" s="35"/>
      <c r="H61" s="8"/>
      <c r="I61" s="33"/>
    </row>
    <row r="62" spans="2:27">
      <c r="B62" s="12"/>
      <c r="C62" s="35"/>
      <c r="G62" s="35"/>
      <c r="H62" s="8"/>
      <c r="I62" s="33"/>
    </row>
    <row r="63" spans="2:27">
      <c r="C63" s="35"/>
      <c r="G63" s="35"/>
      <c r="H63" s="8"/>
      <c r="I63" s="33"/>
    </row>
    <row r="64" spans="2:27">
      <c r="B64" s="37"/>
      <c r="C64" s="35"/>
      <c r="G64" s="35"/>
      <c r="H64" s="8"/>
      <c r="I64" s="33"/>
    </row>
    <row r="65" spans="2:27">
      <c r="B65" s="37"/>
      <c r="C65" s="35"/>
      <c r="G65" s="35"/>
      <c r="H65" s="8"/>
      <c r="I65" s="33"/>
    </row>
    <row r="66" spans="2:27">
      <c r="B66" s="37"/>
      <c r="C66" s="35"/>
      <c r="G66" s="35"/>
      <c r="H66" s="8"/>
      <c r="I66" s="33"/>
    </row>
    <row r="67" spans="2:27">
      <c r="C67" s="35"/>
      <c r="G67" s="35"/>
      <c r="H67" s="8"/>
      <c r="I67" s="33"/>
      <c r="S67" s="11"/>
      <c r="W67" s="11"/>
      <c r="AA67" s="11"/>
    </row>
    <row r="68" spans="2:27">
      <c r="C68" s="35"/>
      <c r="G68" s="35"/>
      <c r="H68" s="8"/>
      <c r="I68" s="3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8233-3F05-435D-9B89-D7BDE59D7F40}">
  <dimension ref="B2:S45"/>
  <sheetViews>
    <sheetView topLeftCell="A25" zoomScaleNormal="100" workbookViewId="0">
      <selection activeCell="G42" sqref="G42"/>
    </sheetView>
  </sheetViews>
  <sheetFormatPr defaultColWidth="8.85546875" defaultRowHeight="15"/>
  <cols>
    <col min="2" max="2" width="37" customWidth="1"/>
    <col min="3" max="3" width="10" customWidth="1"/>
    <col min="4" max="4" width="7.42578125" customWidth="1"/>
    <col min="5" max="5" width="9.28515625" customWidth="1"/>
    <col min="6" max="6" width="7.7109375" customWidth="1"/>
    <col min="9" max="9" width="11.42578125" bestFit="1" customWidth="1"/>
    <col min="12" max="12" width="11.42578125" bestFit="1" customWidth="1"/>
    <col min="15" max="15" width="11.42578125" customWidth="1"/>
    <col min="18" max="18" width="11.42578125" bestFit="1" customWidth="1"/>
  </cols>
  <sheetData>
    <row r="2" spans="2:19" ht="15.75" thickBot="1">
      <c r="B2" s="76" t="s">
        <v>140</v>
      </c>
      <c r="C2" s="77">
        <v>2024</v>
      </c>
      <c r="D2" s="77">
        <v>2023</v>
      </c>
      <c r="E2" s="77">
        <v>2022</v>
      </c>
      <c r="F2" s="77">
        <v>2021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>
      <c r="B3" s="1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2:19">
      <c r="B4" s="73" t="s">
        <v>34</v>
      </c>
      <c r="C4" s="71"/>
      <c r="D4" s="72"/>
      <c r="E4" s="72"/>
      <c r="F4" s="57"/>
      <c r="I4" s="34"/>
      <c r="J4" s="1"/>
      <c r="M4" s="4"/>
      <c r="N4" s="1"/>
      <c r="O4" s="34"/>
      <c r="P4" s="1"/>
      <c r="S4" s="4"/>
    </row>
    <row r="5" spans="2:19" ht="24" customHeight="1">
      <c r="B5" s="73" t="s">
        <v>35</v>
      </c>
      <c r="C5" s="52">
        <v>29760</v>
      </c>
      <c r="D5" s="52">
        <v>4368</v>
      </c>
      <c r="E5" s="52">
        <v>9752</v>
      </c>
      <c r="F5" s="52">
        <v>4332</v>
      </c>
      <c r="I5" s="25"/>
      <c r="J5" s="25"/>
      <c r="K5" s="17"/>
      <c r="M5" s="17"/>
      <c r="N5" s="25"/>
      <c r="O5" s="25"/>
      <c r="P5" s="25"/>
      <c r="Q5" s="17"/>
      <c r="S5" s="17"/>
    </row>
    <row r="6" spans="2:19" ht="15" customHeight="1">
      <c r="B6" s="73" t="s">
        <v>36</v>
      </c>
      <c r="C6" s="42"/>
      <c r="D6" s="41"/>
      <c r="E6" s="41"/>
      <c r="F6" s="57"/>
      <c r="I6" s="26"/>
      <c r="J6" s="26"/>
      <c r="K6" s="27"/>
      <c r="M6" s="26"/>
      <c r="N6" s="26"/>
      <c r="O6" s="26"/>
      <c r="P6" s="26"/>
      <c r="Q6" s="27"/>
      <c r="S6" s="28"/>
    </row>
    <row r="7" spans="2:19">
      <c r="B7" s="73" t="s">
        <v>37</v>
      </c>
      <c r="C7" s="49">
        <v>3549</v>
      </c>
      <c r="D7" s="49">
        <v>2709</v>
      </c>
      <c r="E7" s="49">
        <v>2004</v>
      </c>
      <c r="F7" s="49">
        <v>1397</v>
      </c>
      <c r="I7" s="26"/>
      <c r="J7" s="26"/>
      <c r="K7" s="27"/>
      <c r="M7" s="27"/>
      <c r="N7" s="26"/>
      <c r="O7" s="26"/>
      <c r="P7" s="26"/>
      <c r="Q7" s="27"/>
      <c r="S7" s="17"/>
    </row>
    <row r="8" spans="2:19">
      <c r="B8" s="73" t="s">
        <v>38</v>
      </c>
      <c r="C8" s="49">
        <v>1508</v>
      </c>
      <c r="D8" s="47">
        <v>1544</v>
      </c>
      <c r="E8" s="49">
        <v>1174</v>
      </c>
      <c r="F8" s="53">
        <v>1098</v>
      </c>
      <c r="I8" s="26"/>
      <c r="J8" s="26"/>
      <c r="K8" s="27"/>
      <c r="M8" s="26"/>
      <c r="N8" s="26"/>
      <c r="O8" s="26"/>
      <c r="P8" s="26"/>
      <c r="Q8" s="27"/>
      <c r="S8" s="28"/>
    </row>
    <row r="9" spans="2:19" ht="15" customHeight="1">
      <c r="B9" s="73" t="s">
        <v>39</v>
      </c>
      <c r="C9" s="49">
        <v>-2489</v>
      </c>
      <c r="D9" s="49">
        <v>-2164</v>
      </c>
      <c r="E9" s="49">
        <v>-406</v>
      </c>
      <c r="F9" s="49">
        <v>-282</v>
      </c>
      <c r="I9" s="26"/>
      <c r="J9" s="26"/>
      <c r="K9" s="27"/>
      <c r="M9" s="26"/>
      <c r="N9" s="26"/>
      <c r="O9" s="26"/>
      <c r="P9" s="26"/>
      <c r="Q9" s="27"/>
      <c r="S9" s="28"/>
    </row>
    <row r="10" spans="2:19" ht="24.75">
      <c r="B10" s="73" t="s">
        <v>40</v>
      </c>
      <c r="C10" s="49">
        <v>-238</v>
      </c>
      <c r="D10" s="49">
        <v>45</v>
      </c>
      <c r="E10" s="49">
        <v>-100</v>
      </c>
      <c r="F10" s="49" t="s">
        <v>27</v>
      </c>
      <c r="I10" s="26"/>
      <c r="J10" s="26"/>
      <c r="K10" s="27"/>
      <c r="M10" s="26"/>
      <c r="N10" s="26"/>
      <c r="O10" s="26"/>
      <c r="P10" s="26"/>
      <c r="Q10" s="27"/>
      <c r="S10" s="28"/>
    </row>
    <row r="11" spans="2:19">
      <c r="B11" s="73" t="s">
        <v>41</v>
      </c>
      <c r="C11" s="49" t="s">
        <v>27</v>
      </c>
      <c r="D11" s="49">
        <v>1353</v>
      </c>
      <c r="E11" s="49" t="s">
        <v>27</v>
      </c>
      <c r="F11" s="49" t="s">
        <v>27</v>
      </c>
      <c r="I11" s="26"/>
      <c r="J11" s="26"/>
      <c r="K11" s="27"/>
      <c r="M11" s="26"/>
      <c r="N11" s="26"/>
      <c r="O11" s="26"/>
      <c r="P11" s="26"/>
      <c r="Q11" s="27"/>
      <c r="S11" s="28"/>
    </row>
    <row r="12" spans="2:19" ht="15" customHeight="1">
      <c r="B12" s="73" t="s">
        <v>42</v>
      </c>
      <c r="C12" s="49">
        <v>-278</v>
      </c>
      <c r="D12" s="49">
        <v>-7</v>
      </c>
      <c r="E12" s="49">
        <v>47</v>
      </c>
      <c r="F12" s="49">
        <v>-20</v>
      </c>
      <c r="I12" s="26"/>
      <c r="J12" s="26"/>
      <c r="K12" s="27"/>
      <c r="M12" s="26"/>
      <c r="N12" s="26"/>
      <c r="O12" s="26"/>
      <c r="P12" s="26"/>
      <c r="Q12" s="31"/>
      <c r="S12" s="28"/>
    </row>
    <row r="13" spans="2:19" ht="24.75">
      <c r="B13" s="73" t="s">
        <v>43</v>
      </c>
      <c r="C13" s="42"/>
      <c r="D13" s="41"/>
      <c r="E13" s="41"/>
      <c r="F13" s="57"/>
      <c r="I13" s="26"/>
      <c r="J13" s="26"/>
      <c r="K13" s="27"/>
      <c r="M13" s="26"/>
      <c r="N13" s="26"/>
      <c r="O13" s="26"/>
      <c r="P13" s="26"/>
      <c r="Q13" s="27"/>
      <c r="S13" s="28"/>
    </row>
    <row r="14" spans="2:19">
      <c r="B14" s="73" t="s">
        <v>44</v>
      </c>
      <c r="C14" s="49">
        <v>-6172</v>
      </c>
      <c r="D14" s="49">
        <v>822</v>
      </c>
      <c r="E14" s="49">
        <v>-2215</v>
      </c>
      <c r="F14" s="49">
        <v>-550</v>
      </c>
      <c r="I14" s="26"/>
      <c r="J14" s="26"/>
      <c r="K14" s="27"/>
      <c r="M14" s="27"/>
      <c r="N14" s="26"/>
      <c r="O14" s="26"/>
      <c r="P14" s="26"/>
      <c r="Q14" s="27"/>
      <c r="S14" s="17"/>
    </row>
    <row r="15" spans="2:19" ht="15" customHeight="1">
      <c r="B15" s="73" t="s">
        <v>4</v>
      </c>
      <c r="C15" s="49">
        <v>-98</v>
      </c>
      <c r="D15" s="49">
        <v>-2554</v>
      </c>
      <c r="E15" s="49">
        <v>-774</v>
      </c>
      <c r="F15" s="49">
        <v>-524</v>
      </c>
      <c r="I15" s="26"/>
      <c r="J15" s="26"/>
      <c r="K15" s="27"/>
      <c r="M15" s="26"/>
      <c r="N15" s="26"/>
      <c r="O15" s="26"/>
      <c r="P15" s="26"/>
      <c r="Q15" s="27"/>
      <c r="S15" s="28"/>
    </row>
    <row r="16" spans="2:19">
      <c r="B16" s="73" t="s">
        <v>45</v>
      </c>
      <c r="C16" s="49">
        <v>-1522</v>
      </c>
      <c r="D16" s="49">
        <v>-1517</v>
      </c>
      <c r="E16" s="49">
        <v>-1715</v>
      </c>
      <c r="F16" s="49">
        <v>-394</v>
      </c>
      <c r="I16" s="26"/>
      <c r="J16" s="26"/>
      <c r="K16" s="27"/>
      <c r="M16" s="26"/>
      <c r="N16" s="26"/>
      <c r="O16" s="26"/>
      <c r="P16" s="26"/>
      <c r="Q16" s="27"/>
      <c r="S16" s="28"/>
    </row>
    <row r="17" spans="2:19">
      <c r="B17" s="73" t="s">
        <v>16</v>
      </c>
      <c r="C17" s="49">
        <v>1531</v>
      </c>
      <c r="D17" s="49">
        <v>-551</v>
      </c>
      <c r="E17" s="49">
        <v>568</v>
      </c>
      <c r="F17" s="49">
        <v>312</v>
      </c>
      <c r="I17" s="26"/>
      <c r="J17" s="26"/>
      <c r="K17" s="27"/>
      <c r="M17" s="26"/>
      <c r="N17" s="26"/>
      <c r="O17" s="26"/>
      <c r="P17" s="26"/>
      <c r="Q17" s="27"/>
      <c r="S17" s="28"/>
    </row>
    <row r="18" spans="2:19" ht="15" customHeight="1">
      <c r="B18" s="73" t="s">
        <v>17</v>
      </c>
      <c r="C18" s="49">
        <v>2025</v>
      </c>
      <c r="D18" s="49">
        <v>1341</v>
      </c>
      <c r="E18" s="49">
        <v>581</v>
      </c>
      <c r="F18" s="49">
        <v>290</v>
      </c>
      <c r="I18" s="26"/>
      <c r="J18" s="26"/>
      <c r="K18" s="27"/>
      <c r="M18" s="26"/>
      <c r="N18" s="26"/>
      <c r="O18" s="26"/>
      <c r="P18" s="26"/>
      <c r="Q18" s="27"/>
      <c r="S18" s="28"/>
    </row>
    <row r="19" spans="2:19">
      <c r="B19" s="73" t="s">
        <v>22</v>
      </c>
      <c r="C19" s="49">
        <v>514</v>
      </c>
      <c r="D19" s="49">
        <v>252</v>
      </c>
      <c r="E19" s="49">
        <v>192</v>
      </c>
      <c r="F19" s="49">
        <v>163</v>
      </c>
      <c r="I19" s="26"/>
      <c r="J19" s="26"/>
      <c r="K19" s="27"/>
      <c r="M19" s="26"/>
      <c r="N19" s="26"/>
      <c r="O19" s="26"/>
      <c r="P19" s="26"/>
      <c r="Q19" s="27"/>
      <c r="S19" s="28"/>
    </row>
    <row r="20" spans="2:19" ht="15" customHeight="1">
      <c r="B20" s="73" t="s">
        <v>46</v>
      </c>
      <c r="C20" s="61">
        <f>SUM(C5:C19)</f>
        <v>28090</v>
      </c>
      <c r="D20" s="61">
        <f>SUM(D5:D19)</f>
        <v>5641</v>
      </c>
      <c r="E20" s="61">
        <f>SUM(E5:E19)</f>
        <v>9108</v>
      </c>
      <c r="F20" s="62">
        <f>SUM(F5:F19)</f>
        <v>5822</v>
      </c>
      <c r="I20" s="26"/>
      <c r="J20" s="26"/>
      <c r="K20" s="27"/>
      <c r="M20" s="26"/>
      <c r="N20" s="26"/>
      <c r="O20" s="26"/>
      <c r="P20" s="26"/>
      <c r="Q20" s="27"/>
      <c r="S20" s="28"/>
    </row>
    <row r="21" spans="2:19">
      <c r="B21" s="73" t="s">
        <v>47</v>
      </c>
      <c r="C21" s="43"/>
      <c r="D21" s="44"/>
      <c r="E21" s="44"/>
      <c r="F21" s="57"/>
      <c r="I21" s="26"/>
      <c r="J21" s="26"/>
      <c r="K21" s="27"/>
      <c r="M21" s="26"/>
      <c r="N21" s="26"/>
      <c r="O21" s="26"/>
      <c r="P21" s="26"/>
      <c r="Q21" s="27"/>
      <c r="S21" s="28"/>
    </row>
    <row r="22" spans="2:19" ht="24" customHeight="1">
      <c r="B22" s="73" t="s">
        <v>48</v>
      </c>
      <c r="C22" s="49">
        <v>9732</v>
      </c>
      <c r="D22" s="49">
        <v>19425</v>
      </c>
      <c r="E22" s="49">
        <v>15197</v>
      </c>
      <c r="F22" s="49">
        <v>8792</v>
      </c>
      <c r="I22" s="26"/>
      <c r="J22" s="26"/>
      <c r="K22" s="27"/>
      <c r="M22" s="27"/>
      <c r="N22" s="26"/>
      <c r="O22" s="26"/>
      <c r="P22" s="26"/>
      <c r="Q22" s="27"/>
      <c r="S22" s="17"/>
    </row>
    <row r="23" spans="2:19">
      <c r="B23" s="73" t="s">
        <v>49</v>
      </c>
      <c r="C23" s="49">
        <v>50</v>
      </c>
      <c r="D23" s="49">
        <v>1806</v>
      </c>
      <c r="E23" s="49">
        <v>1023</v>
      </c>
      <c r="F23" s="49">
        <v>527</v>
      </c>
      <c r="I23" s="26"/>
      <c r="J23" s="26"/>
      <c r="K23" s="27"/>
      <c r="M23" s="26"/>
      <c r="N23" s="26"/>
      <c r="O23" s="26"/>
      <c r="P23" s="26"/>
      <c r="Q23" s="27"/>
      <c r="S23" s="28"/>
    </row>
    <row r="24" spans="2:19">
      <c r="B24" s="73" t="s">
        <v>50</v>
      </c>
      <c r="C24" s="49">
        <v>-18211</v>
      </c>
      <c r="D24" s="49">
        <v>-11897</v>
      </c>
      <c r="E24" s="49">
        <v>-24787</v>
      </c>
      <c r="F24" s="49">
        <v>-19308</v>
      </c>
      <c r="I24" s="26"/>
      <c r="J24" s="26"/>
      <c r="K24" s="27"/>
      <c r="M24" s="26"/>
      <c r="N24" s="26"/>
      <c r="O24" s="26"/>
      <c r="P24" s="26"/>
      <c r="Q24" s="27"/>
      <c r="S24" s="28"/>
    </row>
    <row r="25" spans="2:19" ht="24.75">
      <c r="B25" s="73" t="s">
        <v>51</v>
      </c>
      <c r="C25" s="49">
        <v>-1069</v>
      </c>
      <c r="D25" s="49">
        <v>-1833</v>
      </c>
      <c r="E25" s="49">
        <v>-976</v>
      </c>
      <c r="F25" s="49">
        <v>-1128</v>
      </c>
      <c r="I25" s="26"/>
      <c r="J25" s="26"/>
      <c r="K25" s="27"/>
      <c r="M25" s="26"/>
      <c r="N25" s="26"/>
      <c r="O25" s="26"/>
      <c r="P25" s="26"/>
      <c r="Q25" s="27"/>
      <c r="S25" s="28"/>
    </row>
    <row r="26" spans="2:19">
      <c r="B26" s="73" t="s">
        <v>52</v>
      </c>
      <c r="C26" s="49">
        <v>-83</v>
      </c>
      <c r="D26" s="49">
        <v>-49</v>
      </c>
      <c r="E26" s="49">
        <v>-263</v>
      </c>
      <c r="F26" s="49">
        <v>-8524</v>
      </c>
      <c r="I26" s="26"/>
      <c r="J26" s="26"/>
      <c r="K26" s="27"/>
      <c r="M26" s="26"/>
      <c r="N26" s="26"/>
      <c r="O26" s="26"/>
      <c r="P26" s="26"/>
      <c r="Q26" s="27"/>
      <c r="S26" s="28"/>
    </row>
    <row r="27" spans="2:19" ht="24.75">
      <c r="B27" s="73" t="s">
        <v>53</v>
      </c>
      <c r="C27" s="49">
        <v>-985</v>
      </c>
      <c r="D27" s="49">
        <v>-77</v>
      </c>
      <c r="E27" s="49">
        <v>-24</v>
      </c>
      <c r="F27" s="49">
        <v>-34</v>
      </c>
      <c r="I27" s="26"/>
      <c r="J27" s="26"/>
      <c r="K27" s="27"/>
      <c r="M27" s="26"/>
      <c r="N27" s="26"/>
      <c r="O27" s="26"/>
      <c r="P27" s="26"/>
      <c r="Q27" s="27"/>
      <c r="S27" s="28"/>
    </row>
    <row r="28" spans="2:19">
      <c r="B28" s="73" t="s">
        <v>54</v>
      </c>
      <c r="C28" s="67">
        <f>SUM(C22:C27)</f>
        <v>-10566</v>
      </c>
      <c r="D28" s="61">
        <f>SUM(D22:D27)</f>
        <v>7375</v>
      </c>
      <c r="E28" s="67">
        <f>SUM(E22:E27)</f>
        <v>-9830</v>
      </c>
      <c r="F28" s="62">
        <f>SUM(F22:F27)</f>
        <v>-19675</v>
      </c>
      <c r="I28" s="26"/>
      <c r="J28" s="26"/>
      <c r="K28" s="27"/>
      <c r="M28" s="26"/>
      <c r="N28" s="26"/>
      <c r="O28" s="26"/>
      <c r="P28" s="26"/>
      <c r="Q28" s="27"/>
      <c r="S28" s="28"/>
    </row>
    <row r="29" spans="2:19">
      <c r="B29" s="73" t="s">
        <v>55</v>
      </c>
      <c r="C29" s="43"/>
      <c r="D29" s="44"/>
      <c r="E29" s="44"/>
      <c r="F29" s="57"/>
      <c r="I29" s="26"/>
      <c r="J29" s="26"/>
      <c r="K29" s="27"/>
      <c r="M29" s="26"/>
      <c r="N29" s="26"/>
      <c r="O29" s="26"/>
      <c r="P29" s="26"/>
      <c r="Q29" s="27"/>
      <c r="S29" s="28"/>
    </row>
    <row r="30" spans="2:19">
      <c r="B30" s="73" t="s">
        <v>56</v>
      </c>
      <c r="C30" s="49">
        <v>403</v>
      </c>
      <c r="D30" s="49">
        <v>355</v>
      </c>
      <c r="E30" s="49">
        <v>281</v>
      </c>
      <c r="F30" s="49">
        <v>194</v>
      </c>
      <c r="I30" s="26"/>
      <c r="J30" s="26"/>
      <c r="P30" s="26"/>
      <c r="Q30" s="27"/>
      <c r="S30" s="17"/>
    </row>
    <row r="31" spans="2:19" ht="24">
      <c r="B31" s="59" t="s">
        <v>57</v>
      </c>
      <c r="C31" s="49">
        <v>-9533</v>
      </c>
      <c r="D31" s="49">
        <v>-10039</v>
      </c>
      <c r="E31" s="49" t="s">
        <v>27</v>
      </c>
      <c r="F31" s="49" t="s">
        <v>27</v>
      </c>
      <c r="I31" s="26"/>
      <c r="J31" s="26"/>
      <c r="P31" s="26"/>
      <c r="Q31" s="27"/>
      <c r="S31" s="28"/>
    </row>
    <row r="32" spans="2:19">
      <c r="B32" s="73" t="s">
        <v>58</v>
      </c>
      <c r="C32" s="49">
        <v>-2783</v>
      </c>
      <c r="D32" s="49">
        <v>-1475</v>
      </c>
      <c r="E32" s="49">
        <v>-1904</v>
      </c>
      <c r="F32" s="53">
        <v>-942</v>
      </c>
      <c r="I32" s="26"/>
      <c r="J32" s="26"/>
      <c r="P32" s="26"/>
      <c r="Q32" s="31"/>
      <c r="S32" s="28"/>
    </row>
    <row r="33" spans="2:19">
      <c r="B33" s="73" t="s">
        <v>59</v>
      </c>
      <c r="C33" s="49">
        <v>-1250</v>
      </c>
      <c r="D33" s="49" t="s">
        <v>27</v>
      </c>
      <c r="E33" s="49">
        <v>-1000</v>
      </c>
      <c r="F33" s="49" t="s">
        <v>27</v>
      </c>
      <c r="I33" s="26"/>
      <c r="J33" s="26"/>
      <c r="P33" s="26"/>
      <c r="Q33" s="27"/>
      <c r="S33" s="28"/>
    </row>
    <row r="34" spans="2:19" ht="15" customHeight="1">
      <c r="B34" s="73" t="s">
        <v>60</v>
      </c>
      <c r="C34" s="49">
        <v>-395</v>
      </c>
      <c r="D34" s="49">
        <v>-398</v>
      </c>
      <c r="E34" s="49">
        <v>-399</v>
      </c>
      <c r="F34" s="53">
        <v>-395</v>
      </c>
      <c r="I34" s="26"/>
      <c r="J34" s="26"/>
      <c r="P34" s="26"/>
      <c r="Q34" s="27"/>
      <c r="S34" s="28"/>
    </row>
    <row r="35" spans="2:19" ht="15" customHeight="1">
      <c r="B35" s="73" t="s">
        <v>61</v>
      </c>
      <c r="C35" s="49">
        <v>-74</v>
      </c>
      <c r="D35" s="49">
        <v>-58</v>
      </c>
      <c r="E35" s="49">
        <v>-83</v>
      </c>
      <c r="F35" s="53">
        <v>-17</v>
      </c>
      <c r="I35" s="26"/>
      <c r="J35" s="26"/>
      <c r="P35" s="26"/>
      <c r="Q35" s="27"/>
      <c r="S35" s="28"/>
    </row>
    <row r="36" spans="2:19">
      <c r="B36" s="73" t="s">
        <v>62</v>
      </c>
      <c r="C36" s="49" t="s">
        <v>27</v>
      </c>
      <c r="D36" s="49" t="s">
        <v>27</v>
      </c>
      <c r="E36" s="49">
        <v>4977</v>
      </c>
      <c r="F36" s="53">
        <v>4968</v>
      </c>
      <c r="I36" s="26"/>
      <c r="J36" s="26"/>
      <c r="P36" s="26"/>
      <c r="Q36" s="27"/>
      <c r="S36" s="28"/>
    </row>
    <row r="37" spans="2:19">
      <c r="B37" s="73" t="s">
        <v>42</v>
      </c>
      <c r="C37" s="49">
        <v>-1</v>
      </c>
      <c r="D37" s="49">
        <v>-2</v>
      </c>
      <c r="E37" s="49">
        <v>-7</v>
      </c>
      <c r="F37" s="49">
        <v>-4</v>
      </c>
      <c r="I37" s="26"/>
      <c r="J37" s="26"/>
      <c r="P37" s="26"/>
      <c r="Q37" s="27"/>
      <c r="S37" s="28"/>
    </row>
    <row r="38" spans="2:19">
      <c r="B38" s="73" t="s">
        <v>63</v>
      </c>
      <c r="C38" s="67">
        <f>SUM(C30:C37)</f>
        <v>-13633</v>
      </c>
      <c r="D38" s="67">
        <f>SUM(D30:D37)</f>
        <v>-11617</v>
      </c>
      <c r="E38" s="67">
        <f>SUM(E30:E37)</f>
        <v>1865</v>
      </c>
      <c r="F38" s="62">
        <f>SUM(F30:F37)</f>
        <v>3804</v>
      </c>
      <c r="I38" s="26"/>
      <c r="J38" s="26"/>
      <c r="P38" s="26"/>
      <c r="Q38" s="27"/>
      <c r="S38" s="28"/>
    </row>
    <row r="39" spans="2:19">
      <c r="B39" s="73" t="s">
        <v>64</v>
      </c>
      <c r="C39" s="49">
        <v>3891</v>
      </c>
      <c r="D39" s="49">
        <v>1399</v>
      </c>
      <c r="E39" s="49">
        <v>1143</v>
      </c>
      <c r="F39" s="49">
        <v>-10049</v>
      </c>
      <c r="I39" s="26"/>
      <c r="J39" s="26"/>
      <c r="P39" s="26"/>
      <c r="Q39" s="27"/>
      <c r="S39" s="28"/>
    </row>
    <row r="40" spans="2:19">
      <c r="B40" s="73" t="s">
        <v>65</v>
      </c>
      <c r="C40" s="49">
        <v>3389</v>
      </c>
      <c r="D40" s="49">
        <v>1990</v>
      </c>
      <c r="E40" s="49">
        <v>847</v>
      </c>
      <c r="F40" s="49">
        <v>10896</v>
      </c>
      <c r="I40" s="26"/>
      <c r="J40" s="29"/>
      <c r="P40" s="29"/>
      <c r="Q40" s="30"/>
      <c r="S40" s="32"/>
    </row>
    <row r="41" spans="2:19" ht="15.75" thickBot="1">
      <c r="B41" s="73" t="s">
        <v>66</v>
      </c>
      <c r="C41" s="46">
        <f>SUM(C39:C40)</f>
        <v>7280</v>
      </c>
      <c r="D41" s="46">
        <f>SUM(D39:D40)</f>
        <v>3389</v>
      </c>
      <c r="E41" s="46">
        <f>SUM(E39:E40)</f>
        <v>1990</v>
      </c>
      <c r="F41" s="66">
        <f>SUM(F39:F40)</f>
        <v>847</v>
      </c>
      <c r="I41" s="26"/>
      <c r="J41" s="29"/>
      <c r="P41" s="29"/>
      <c r="Q41" s="30"/>
      <c r="S41" s="32"/>
    </row>
    <row r="42" spans="2:19" ht="25.5" thickTop="1">
      <c r="B42" s="74" t="s">
        <v>67</v>
      </c>
      <c r="C42" s="43"/>
      <c r="D42" s="43"/>
      <c r="E42" s="43"/>
      <c r="F42" s="57"/>
      <c r="I42" s="26"/>
      <c r="J42" s="29"/>
      <c r="P42" s="29"/>
      <c r="Q42" s="30"/>
      <c r="S42" s="32"/>
    </row>
    <row r="43" spans="2:19" ht="15.75" thickBot="1">
      <c r="B43" s="73" t="s">
        <v>68</v>
      </c>
      <c r="C43" s="63">
        <v>6549</v>
      </c>
      <c r="D43" s="63">
        <v>1404</v>
      </c>
      <c r="E43" s="63">
        <v>396</v>
      </c>
      <c r="F43" s="64">
        <v>249</v>
      </c>
      <c r="I43" s="26"/>
      <c r="J43" s="26"/>
      <c r="P43" s="26"/>
      <c r="Q43" s="26"/>
      <c r="S43" s="1"/>
    </row>
    <row r="44" spans="2:19" ht="16.5" thickTop="1" thickBot="1">
      <c r="B44" s="73" t="s">
        <v>69</v>
      </c>
      <c r="C44" s="127">
        <v>252</v>
      </c>
      <c r="D44" s="127">
        <v>254</v>
      </c>
      <c r="E44" s="84">
        <v>246</v>
      </c>
      <c r="F44" s="64">
        <v>138</v>
      </c>
      <c r="I44" s="26"/>
      <c r="J44" s="26"/>
      <c r="P44" s="26"/>
      <c r="Q44" s="27"/>
    </row>
    <row r="45" spans="2:19" ht="15.75" thickTop="1">
      <c r="I45" s="26"/>
      <c r="J45" s="27"/>
      <c r="K45" s="31"/>
      <c r="M45" s="27"/>
      <c r="N45" s="27"/>
      <c r="O45" s="26"/>
      <c r="P45" s="27"/>
      <c r="Q45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8212-B9DE-4DA1-9645-897B391E7D5B}">
  <dimension ref="B2:AQ96"/>
  <sheetViews>
    <sheetView zoomScale="85" zoomScaleNormal="85" workbookViewId="0">
      <selection activeCell="B4" sqref="B4"/>
    </sheetView>
  </sheetViews>
  <sheetFormatPr defaultColWidth="8.85546875" defaultRowHeight="15"/>
  <cols>
    <col min="1" max="1" width="12" customWidth="1"/>
    <col min="2" max="2" width="42.140625" bestFit="1" customWidth="1"/>
    <col min="3" max="3" width="9.140625" customWidth="1"/>
    <col min="4" max="4" width="11.42578125" customWidth="1"/>
    <col min="5" max="5" width="19.42578125" bestFit="1" customWidth="1"/>
    <col min="6" max="6" width="16.28515625" customWidth="1"/>
    <col min="7" max="7" width="37.7109375" bestFit="1" customWidth="1"/>
    <col min="8" max="8" width="21.28515625" customWidth="1"/>
    <col min="9" max="9" width="22" customWidth="1"/>
    <col min="10" max="10" width="27.85546875" customWidth="1"/>
    <col min="11" max="11" width="23.7109375" bestFit="1" customWidth="1"/>
    <col min="12" max="12" width="11.42578125" bestFit="1" customWidth="1"/>
    <col min="18" max="18" width="10.7109375" bestFit="1" customWidth="1"/>
    <col min="22" max="22" width="24.42578125" customWidth="1"/>
    <col min="24" max="24" width="11.42578125" bestFit="1" customWidth="1"/>
    <col min="30" max="30" width="54.42578125" customWidth="1"/>
    <col min="36" max="37" width="11.42578125" bestFit="1" customWidth="1"/>
    <col min="42" max="42" width="11.42578125" bestFit="1" customWidth="1"/>
  </cols>
  <sheetData>
    <row r="2" spans="2:43" ht="15.75" thickBot="1">
      <c r="B2" s="97" t="s">
        <v>110</v>
      </c>
      <c r="C2" s="38"/>
      <c r="D2" s="38"/>
      <c r="E2" s="38"/>
      <c r="F2" s="38"/>
      <c r="G2" s="38"/>
      <c r="H2" s="38"/>
      <c r="I2" s="38"/>
      <c r="J2" s="38"/>
      <c r="K2" s="38"/>
    </row>
    <row r="3" spans="2:43" ht="15.75" thickTop="1">
      <c r="B3" s="99" t="s">
        <v>176</v>
      </c>
      <c r="C3" s="99"/>
      <c r="D3" s="99"/>
      <c r="E3" s="99"/>
      <c r="F3" s="99"/>
      <c r="G3" s="99"/>
      <c r="H3" s="99"/>
      <c r="I3" s="99"/>
      <c r="J3" s="100"/>
      <c r="K3" s="101"/>
      <c r="L3" s="2"/>
      <c r="M3" s="2"/>
      <c r="N3" s="87"/>
      <c r="O3" s="87"/>
      <c r="P3" s="87"/>
      <c r="Q3" s="2"/>
      <c r="R3" s="2"/>
      <c r="S3" s="2"/>
      <c r="T3" s="87"/>
      <c r="U3" s="87"/>
      <c r="V3" s="87"/>
      <c r="W3" s="2"/>
      <c r="X3" s="2"/>
      <c r="Y3" s="2"/>
      <c r="Z3" s="87"/>
      <c r="AA3" s="87"/>
      <c r="AB3" s="87"/>
      <c r="AC3" s="2"/>
      <c r="AD3" s="2"/>
      <c r="AE3" s="2"/>
      <c r="AF3" s="87"/>
      <c r="AG3" s="87"/>
      <c r="AH3" s="87"/>
      <c r="AI3" s="2"/>
      <c r="AJ3" s="2"/>
      <c r="AK3" s="2"/>
      <c r="AL3" s="87"/>
      <c r="AM3" s="87"/>
      <c r="AN3" s="87"/>
    </row>
    <row r="4" spans="2:43" ht="25.5" thickBot="1">
      <c r="B4" s="102"/>
      <c r="C4" s="106" t="s">
        <v>90</v>
      </c>
      <c r="D4" s="103" t="s">
        <v>91</v>
      </c>
      <c r="E4" s="103" t="s">
        <v>105</v>
      </c>
      <c r="F4" s="103" t="s">
        <v>106</v>
      </c>
      <c r="G4" s="103" t="s">
        <v>107</v>
      </c>
      <c r="H4" s="103" t="s">
        <v>108</v>
      </c>
      <c r="I4" s="103" t="s">
        <v>109</v>
      </c>
      <c r="J4" s="100"/>
      <c r="K4" s="101"/>
      <c r="L4" s="2"/>
      <c r="M4" s="2"/>
      <c r="N4" s="87"/>
      <c r="O4" s="87"/>
      <c r="P4" s="87"/>
      <c r="Q4" s="2"/>
      <c r="R4" s="2"/>
      <c r="S4" s="2"/>
      <c r="T4" s="87"/>
      <c r="U4" s="87"/>
      <c r="V4" s="87"/>
      <c r="W4" s="2"/>
      <c r="X4" s="2"/>
      <c r="Y4" s="2"/>
      <c r="Z4" s="87"/>
      <c r="AA4" s="87"/>
      <c r="AB4" s="87"/>
      <c r="AC4" s="2"/>
      <c r="AD4" s="2"/>
      <c r="AE4" s="2"/>
      <c r="AF4" s="87"/>
      <c r="AG4" s="87"/>
      <c r="AH4" s="87"/>
      <c r="AI4" s="2"/>
      <c r="AJ4" s="2"/>
      <c r="AK4" s="2"/>
      <c r="AL4" s="87"/>
      <c r="AM4" s="87"/>
      <c r="AN4" s="87"/>
    </row>
    <row r="5" spans="2:43" ht="17.25" customHeight="1" thickTop="1">
      <c r="B5" s="98"/>
      <c r="C5" s="107"/>
      <c r="D5" s="114"/>
      <c r="E5" s="114"/>
      <c r="F5" s="114"/>
      <c r="G5" s="115"/>
      <c r="H5" s="114"/>
      <c r="I5" s="120"/>
      <c r="L5" s="87"/>
      <c r="M5" s="87"/>
      <c r="N5" s="2"/>
      <c r="O5" s="2"/>
      <c r="P5" s="2"/>
      <c r="R5" s="87"/>
      <c r="S5" s="87"/>
      <c r="T5" s="2"/>
      <c r="U5" s="2"/>
      <c r="V5" s="2"/>
      <c r="X5" s="87"/>
      <c r="Y5" s="87"/>
      <c r="Z5" s="2"/>
      <c r="AA5" s="2"/>
      <c r="AB5" s="2"/>
      <c r="AC5" s="87"/>
      <c r="AE5" s="87"/>
      <c r="AF5" s="2"/>
      <c r="AG5" s="2"/>
      <c r="AH5" s="2"/>
      <c r="AL5" s="2"/>
      <c r="AM5" s="2"/>
      <c r="AN5" s="2"/>
    </row>
    <row r="6" spans="2:43" ht="19.5" customHeight="1">
      <c r="B6" s="105" t="s">
        <v>92</v>
      </c>
      <c r="C6" s="108">
        <v>2497</v>
      </c>
      <c r="D6" s="116">
        <v>3</v>
      </c>
      <c r="E6" s="117">
        <v>8719</v>
      </c>
      <c r="F6" s="117">
        <v>-10756</v>
      </c>
      <c r="G6" s="116">
        <v>19</v>
      </c>
      <c r="H6" s="117">
        <v>18908</v>
      </c>
      <c r="I6" s="121">
        <f t="shared" ref="I6:I13" si="0">SUM(D6:H6)</f>
        <v>16893</v>
      </c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9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2"/>
    </row>
    <row r="7" spans="2:43">
      <c r="B7" s="73" t="s">
        <v>35</v>
      </c>
      <c r="C7" s="48" t="s">
        <v>27</v>
      </c>
      <c r="D7" s="117" t="s">
        <v>27</v>
      </c>
      <c r="E7" s="117" t="s">
        <v>27</v>
      </c>
      <c r="F7" s="117" t="s">
        <v>27</v>
      </c>
      <c r="G7" s="117" t="s">
        <v>27</v>
      </c>
      <c r="H7" s="117">
        <v>9752</v>
      </c>
      <c r="I7" s="120">
        <f t="shared" si="0"/>
        <v>9752</v>
      </c>
      <c r="S7" s="90"/>
      <c r="T7" s="88"/>
      <c r="U7" s="88"/>
      <c r="V7" s="88"/>
      <c r="W7" s="17"/>
      <c r="Y7" s="91"/>
      <c r="Z7" s="88"/>
      <c r="AA7" s="88"/>
      <c r="AB7" s="88"/>
      <c r="AC7" s="17"/>
      <c r="AE7" s="92"/>
      <c r="AF7" s="88"/>
      <c r="AG7" s="88"/>
      <c r="AH7" s="88"/>
      <c r="AI7" s="17"/>
      <c r="AK7" s="91"/>
      <c r="AL7" s="88"/>
      <c r="AM7" s="88"/>
      <c r="AN7" s="88"/>
      <c r="AO7" s="17"/>
    </row>
    <row r="8" spans="2:43">
      <c r="B8" s="73" t="s">
        <v>93</v>
      </c>
      <c r="C8" s="48" t="s">
        <v>27</v>
      </c>
      <c r="D8" s="117" t="s">
        <v>27</v>
      </c>
      <c r="E8" s="117" t="s">
        <v>27</v>
      </c>
      <c r="F8" s="117" t="s">
        <v>27</v>
      </c>
      <c r="G8" s="117">
        <v>-30</v>
      </c>
      <c r="H8" s="117" t="s">
        <v>27</v>
      </c>
      <c r="I8" s="120">
        <f t="shared" si="0"/>
        <v>-30</v>
      </c>
      <c r="J8" s="104"/>
      <c r="N8" s="88"/>
      <c r="O8" s="88"/>
      <c r="P8" s="88"/>
      <c r="Q8" s="92"/>
      <c r="S8" s="90"/>
      <c r="T8" s="88"/>
      <c r="U8" s="88"/>
      <c r="V8" s="88"/>
      <c r="W8" s="92"/>
      <c r="Y8" s="91"/>
      <c r="Z8" s="88"/>
      <c r="AA8" s="88"/>
      <c r="AB8" s="88"/>
      <c r="AC8" s="92"/>
      <c r="AE8" s="91"/>
      <c r="AF8" s="88"/>
      <c r="AG8" s="88"/>
      <c r="AH8" s="88"/>
      <c r="AI8" s="92"/>
      <c r="AK8" s="91"/>
      <c r="AL8" s="88"/>
      <c r="AM8" s="88"/>
      <c r="AN8" s="88"/>
      <c r="AO8" s="92"/>
    </row>
    <row r="9" spans="2:43">
      <c r="B9" s="73" t="s">
        <v>94</v>
      </c>
      <c r="C9" s="108">
        <v>35</v>
      </c>
      <c r="D9" s="117" t="s">
        <v>27</v>
      </c>
      <c r="E9" s="117">
        <v>281</v>
      </c>
      <c r="F9" s="117" t="s">
        <v>27</v>
      </c>
      <c r="G9" s="117" t="s">
        <v>27</v>
      </c>
      <c r="H9" s="117" t="s">
        <v>27</v>
      </c>
      <c r="I9" s="120">
        <f t="shared" si="0"/>
        <v>281</v>
      </c>
      <c r="N9" s="88"/>
      <c r="O9" s="88"/>
      <c r="P9" s="88"/>
      <c r="Q9" s="92"/>
      <c r="S9" s="90"/>
      <c r="T9" s="88"/>
      <c r="U9" s="88"/>
      <c r="V9" s="88"/>
      <c r="W9" s="92"/>
      <c r="Y9" s="91"/>
      <c r="Z9" s="88"/>
      <c r="AA9" s="88"/>
      <c r="AB9" s="88"/>
      <c r="AC9" s="92"/>
      <c r="AE9" s="91"/>
      <c r="AF9" s="88"/>
      <c r="AG9" s="88"/>
      <c r="AH9" s="88"/>
      <c r="AI9" s="92"/>
      <c r="AK9" s="91"/>
      <c r="AL9" s="88"/>
      <c r="AM9" s="88"/>
      <c r="AN9" s="88"/>
      <c r="AO9" s="92"/>
    </row>
    <row r="10" spans="2:43" ht="15" customHeight="1">
      <c r="B10" s="73" t="s">
        <v>95</v>
      </c>
      <c r="C10" s="108">
        <v>-8</v>
      </c>
      <c r="D10" s="117" t="s">
        <v>27</v>
      </c>
      <c r="E10" s="117">
        <v>-614</v>
      </c>
      <c r="F10" s="117">
        <v>-1290</v>
      </c>
      <c r="G10" s="117" t="s">
        <v>27</v>
      </c>
      <c r="H10" s="117" t="s">
        <v>27</v>
      </c>
      <c r="I10" s="120">
        <f t="shared" si="0"/>
        <v>-1904</v>
      </c>
      <c r="N10" s="88"/>
      <c r="O10" s="88"/>
      <c r="P10" s="88"/>
      <c r="Q10" s="92"/>
      <c r="S10" s="90"/>
      <c r="T10" s="88"/>
      <c r="U10" s="88"/>
      <c r="V10" s="88"/>
      <c r="W10" s="92"/>
      <c r="Y10" s="91"/>
      <c r="Z10" s="88"/>
      <c r="AA10" s="88"/>
      <c r="AB10" s="88"/>
      <c r="AC10" s="92"/>
      <c r="AE10" s="91"/>
      <c r="AF10" s="88"/>
      <c r="AG10" s="88"/>
      <c r="AH10" s="88"/>
      <c r="AI10" s="92"/>
      <c r="AK10" s="91"/>
      <c r="AL10" s="88"/>
      <c r="AM10" s="88"/>
      <c r="AN10" s="88"/>
      <c r="AO10" s="92"/>
    </row>
    <row r="11" spans="2:43" ht="15" customHeight="1">
      <c r="B11" s="59" t="s">
        <v>96</v>
      </c>
      <c r="C11" s="48" t="s">
        <v>27</v>
      </c>
      <c r="D11" s="117" t="s">
        <v>27</v>
      </c>
      <c r="E11" s="117" t="s">
        <v>27</v>
      </c>
      <c r="F11" s="117" t="s">
        <v>27</v>
      </c>
      <c r="G11" s="117" t="s">
        <v>27</v>
      </c>
      <c r="H11" s="117">
        <v>-399</v>
      </c>
      <c r="I11" s="120">
        <f t="shared" si="0"/>
        <v>-399</v>
      </c>
      <c r="N11" s="88"/>
      <c r="O11" s="88"/>
      <c r="P11" s="88"/>
      <c r="Q11" s="92"/>
      <c r="S11" s="90"/>
      <c r="T11" s="88"/>
      <c r="U11" s="88"/>
      <c r="V11" s="88"/>
      <c r="W11" s="92"/>
      <c r="Y11" s="91"/>
      <c r="Z11" s="88"/>
      <c r="AA11" s="88"/>
      <c r="AB11" s="88"/>
      <c r="AC11" s="92"/>
      <c r="AE11" s="91"/>
      <c r="AF11" s="88"/>
      <c r="AG11" s="88"/>
      <c r="AH11" s="88"/>
      <c r="AI11" s="92"/>
      <c r="AK11" s="91"/>
      <c r="AL11" s="88"/>
      <c r="AM11" s="88"/>
      <c r="AN11" s="88"/>
      <c r="AO11" s="92"/>
    </row>
    <row r="12" spans="2:43" ht="24.75">
      <c r="B12" s="73" t="s">
        <v>97</v>
      </c>
      <c r="C12" s="48" t="s">
        <v>27</v>
      </c>
      <c r="D12" s="117" t="s">
        <v>27</v>
      </c>
      <c r="E12" s="117">
        <v>18</v>
      </c>
      <c r="F12" s="117" t="s">
        <v>27</v>
      </c>
      <c r="G12" s="117" t="s">
        <v>27</v>
      </c>
      <c r="H12" s="117" t="s">
        <v>27</v>
      </c>
      <c r="I12" s="120">
        <f t="shared" si="0"/>
        <v>18</v>
      </c>
      <c r="N12" s="92"/>
      <c r="O12" s="92"/>
      <c r="P12" s="92"/>
      <c r="Q12" s="92"/>
      <c r="S12" s="93"/>
      <c r="T12" s="92"/>
      <c r="U12" s="92"/>
      <c r="V12" s="92"/>
      <c r="W12" s="92"/>
      <c r="Y12" s="92"/>
      <c r="Z12" s="92"/>
      <c r="AA12" s="92"/>
      <c r="AB12" s="92"/>
      <c r="AC12" s="92"/>
      <c r="AE12" s="92"/>
      <c r="AF12" s="92"/>
      <c r="AG12" s="92"/>
      <c r="AH12" s="92"/>
      <c r="AI12" s="92"/>
      <c r="AK12" s="92"/>
      <c r="AL12" s="92"/>
      <c r="AM12" s="92"/>
      <c r="AN12" s="92"/>
      <c r="AO12" s="92"/>
    </row>
    <row r="13" spans="2:43">
      <c r="B13" s="73" t="s">
        <v>98</v>
      </c>
      <c r="C13" s="48" t="s">
        <v>27</v>
      </c>
      <c r="D13" s="117" t="s">
        <v>27</v>
      </c>
      <c r="E13" s="117">
        <v>2001</v>
      </c>
      <c r="F13" s="117" t="s">
        <v>27</v>
      </c>
      <c r="G13" s="117" t="s">
        <v>27</v>
      </c>
      <c r="H13" s="117" t="s">
        <v>27</v>
      </c>
      <c r="I13" s="120">
        <f t="shared" si="0"/>
        <v>2001</v>
      </c>
      <c r="N13" s="88"/>
      <c r="O13" s="88"/>
      <c r="P13" s="88"/>
      <c r="Q13" s="92"/>
      <c r="S13" s="90"/>
      <c r="T13" s="88"/>
      <c r="U13" s="88"/>
      <c r="V13" s="88"/>
      <c r="W13" s="92"/>
      <c r="Y13" s="91"/>
      <c r="Z13" s="88"/>
      <c r="AA13" s="88"/>
      <c r="AB13" s="88"/>
      <c r="AC13" s="92"/>
      <c r="AE13" s="91"/>
      <c r="AF13" s="88"/>
      <c r="AG13" s="88"/>
      <c r="AH13" s="88"/>
      <c r="AI13" s="92"/>
      <c r="AK13" s="91"/>
      <c r="AL13" s="88"/>
      <c r="AM13" s="88"/>
      <c r="AN13" s="88"/>
      <c r="AO13" s="92"/>
    </row>
    <row r="14" spans="2:43" ht="15.75" thickBot="1">
      <c r="B14" s="59" t="s">
        <v>99</v>
      </c>
      <c r="C14" s="109" t="s">
        <v>27</v>
      </c>
      <c r="D14" s="117" t="s">
        <v>27</v>
      </c>
      <c r="E14" s="118">
        <v>-20</v>
      </c>
      <c r="F14" s="118">
        <v>12046</v>
      </c>
      <c r="G14" s="118" t="s">
        <v>27</v>
      </c>
      <c r="H14" s="118">
        <v>-12026</v>
      </c>
      <c r="I14" s="122" t="s">
        <v>27</v>
      </c>
      <c r="N14" s="88"/>
      <c r="O14" s="88"/>
      <c r="P14" s="88"/>
      <c r="Q14" s="92"/>
      <c r="S14" s="90"/>
      <c r="T14" s="88"/>
      <c r="U14" s="88"/>
      <c r="V14" s="88"/>
      <c r="W14" s="92"/>
      <c r="Y14" s="91"/>
      <c r="Z14" s="88"/>
      <c r="AA14" s="88"/>
      <c r="AB14" s="88"/>
      <c r="AC14" s="92"/>
      <c r="AE14" s="91"/>
      <c r="AF14" s="88"/>
      <c r="AG14" s="88"/>
      <c r="AH14" s="88"/>
      <c r="AI14" s="92"/>
      <c r="AK14" s="91"/>
      <c r="AL14" s="88"/>
      <c r="AM14" s="88"/>
      <c r="AN14" s="88"/>
      <c r="AO14" s="92"/>
    </row>
    <row r="15" spans="2:43">
      <c r="B15" s="105" t="s">
        <v>100</v>
      </c>
      <c r="C15" s="110">
        <v>2506</v>
      </c>
      <c r="D15" s="119">
        <v>3</v>
      </c>
      <c r="E15" s="119">
        <v>10385</v>
      </c>
      <c r="F15" s="119" t="s">
        <v>27</v>
      </c>
      <c r="G15" s="119">
        <v>-11</v>
      </c>
      <c r="H15" s="119">
        <v>16235</v>
      </c>
      <c r="I15" s="120">
        <f t="shared" ref="I15:I31" si="1">SUM(D15:H15)</f>
        <v>26612</v>
      </c>
      <c r="N15" s="88"/>
      <c r="O15" s="88"/>
      <c r="P15" s="88"/>
      <c r="Q15" s="92"/>
      <c r="S15" s="90"/>
      <c r="T15" s="88"/>
      <c r="U15" s="88"/>
      <c r="V15" s="88"/>
      <c r="W15" s="92"/>
      <c r="Y15" s="91"/>
      <c r="Z15" s="88"/>
      <c r="AA15" s="88"/>
      <c r="AB15" s="88"/>
      <c r="AC15" s="92"/>
      <c r="AE15" s="91"/>
      <c r="AF15" s="88"/>
      <c r="AG15" s="88"/>
      <c r="AH15" s="88"/>
      <c r="AI15" s="92"/>
      <c r="AK15" s="91"/>
      <c r="AL15" s="88"/>
      <c r="AM15" s="88"/>
      <c r="AN15" s="88"/>
      <c r="AO15" s="92"/>
    </row>
    <row r="16" spans="2:43">
      <c r="B16" s="73" t="s">
        <v>35</v>
      </c>
      <c r="C16" s="48" t="s">
        <v>27</v>
      </c>
      <c r="D16" s="117" t="s">
        <v>27</v>
      </c>
      <c r="E16" s="117" t="s">
        <v>27</v>
      </c>
      <c r="F16" s="117" t="s">
        <v>27</v>
      </c>
      <c r="G16" s="117" t="s">
        <v>27</v>
      </c>
      <c r="H16" s="117">
        <v>4368</v>
      </c>
      <c r="I16" s="120">
        <f t="shared" si="1"/>
        <v>4368</v>
      </c>
      <c r="J16" s="33"/>
      <c r="N16" s="88"/>
      <c r="O16" s="88"/>
      <c r="P16" s="88"/>
      <c r="Q16" s="92"/>
      <c r="S16" s="90"/>
      <c r="T16" s="88"/>
      <c r="U16" s="88"/>
      <c r="V16" s="88"/>
      <c r="W16" s="92"/>
      <c r="Y16" s="91"/>
      <c r="Z16" s="88"/>
      <c r="AA16" s="88"/>
      <c r="AB16" s="88"/>
      <c r="AC16" s="92"/>
      <c r="AE16" s="91"/>
      <c r="AF16" s="88"/>
      <c r="AG16" s="88"/>
      <c r="AH16" s="88"/>
      <c r="AI16" s="92"/>
      <c r="AK16" s="91"/>
      <c r="AL16" s="88"/>
      <c r="AM16" s="88"/>
      <c r="AN16" s="88"/>
      <c r="AO16" s="92"/>
    </row>
    <row r="17" spans="2:41">
      <c r="B17" s="73" t="s">
        <v>93</v>
      </c>
      <c r="C17" s="48" t="s">
        <v>27</v>
      </c>
      <c r="D17" s="117" t="s">
        <v>27</v>
      </c>
      <c r="E17" s="117" t="s">
        <v>27</v>
      </c>
      <c r="F17" s="117" t="s">
        <v>27</v>
      </c>
      <c r="G17" s="117">
        <v>-32</v>
      </c>
      <c r="H17" s="117" t="s">
        <v>27</v>
      </c>
      <c r="I17" s="120">
        <f t="shared" si="1"/>
        <v>-32</v>
      </c>
      <c r="N17" s="88"/>
      <c r="O17" s="88"/>
      <c r="P17" s="88"/>
      <c r="Q17" s="92"/>
      <c r="S17" s="90"/>
      <c r="T17" s="88"/>
      <c r="U17" s="88"/>
      <c r="V17" s="88"/>
      <c r="W17" s="92"/>
      <c r="Y17" s="91"/>
      <c r="Z17" s="88"/>
      <c r="AA17" s="88"/>
      <c r="AB17" s="88"/>
      <c r="AC17" s="92"/>
      <c r="AE17" s="91"/>
      <c r="AF17" s="88"/>
      <c r="AG17" s="88"/>
      <c r="AH17" s="88"/>
      <c r="AI17" s="92"/>
      <c r="AK17" s="91"/>
      <c r="AL17" s="88"/>
      <c r="AM17" s="88"/>
      <c r="AN17" s="88"/>
      <c r="AO17" s="92"/>
    </row>
    <row r="18" spans="2:41">
      <c r="B18" s="73" t="s">
        <v>94</v>
      </c>
      <c r="C18" s="48">
        <v>31</v>
      </c>
      <c r="D18" s="117" t="s">
        <v>27</v>
      </c>
      <c r="E18" s="117">
        <v>355</v>
      </c>
      <c r="F18" s="117" t="s">
        <v>27</v>
      </c>
      <c r="G18" s="117" t="s">
        <v>27</v>
      </c>
      <c r="H18" s="117" t="s">
        <v>27</v>
      </c>
      <c r="I18" s="120">
        <f t="shared" si="1"/>
        <v>355</v>
      </c>
      <c r="N18" s="88"/>
      <c r="O18" s="88"/>
      <c r="P18" s="88"/>
      <c r="Q18" s="92"/>
      <c r="S18" s="90"/>
      <c r="T18" s="88"/>
      <c r="U18" s="88"/>
      <c r="V18" s="88"/>
      <c r="W18" s="92"/>
      <c r="Y18" s="91"/>
      <c r="Z18" s="88"/>
      <c r="AA18" s="88"/>
      <c r="AB18" s="88"/>
      <c r="AC18" s="92"/>
      <c r="AE18" s="91"/>
      <c r="AF18" s="88"/>
      <c r="AG18" s="88"/>
      <c r="AH18" s="88"/>
      <c r="AI18" s="92"/>
      <c r="AK18" s="91"/>
      <c r="AL18" s="88"/>
      <c r="AM18" s="88"/>
      <c r="AN18" s="88"/>
      <c r="AO18" s="92"/>
    </row>
    <row r="19" spans="2:41">
      <c r="B19" s="73" t="s">
        <v>95</v>
      </c>
      <c r="C19" s="48">
        <v>-8</v>
      </c>
      <c r="D19" s="117" t="s">
        <v>27</v>
      </c>
      <c r="E19" s="117">
        <v>-1475</v>
      </c>
      <c r="F19" s="117" t="s">
        <v>27</v>
      </c>
      <c r="G19" s="117" t="s">
        <v>27</v>
      </c>
      <c r="H19" s="117" t="s">
        <v>27</v>
      </c>
      <c r="I19" s="120">
        <f t="shared" si="1"/>
        <v>-1475</v>
      </c>
      <c r="N19" s="88"/>
      <c r="O19" s="88"/>
      <c r="P19" s="88"/>
      <c r="Q19" s="92"/>
      <c r="S19" s="90"/>
      <c r="T19" s="88"/>
      <c r="U19" s="88"/>
      <c r="V19" s="88"/>
      <c r="W19" s="92"/>
      <c r="Y19" s="91"/>
      <c r="Z19" s="88"/>
      <c r="AA19" s="88"/>
      <c r="AB19" s="88"/>
      <c r="AC19" s="92"/>
      <c r="AE19" s="91"/>
      <c r="AF19" s="88"/>
      <c r="AG19" s="88"/>
      <c r="AH19" s="88"/>
      <c r="AI19" s="92"/>
      <c r="AK19" s="91"/>
      <c r="AL19" s="88"/>
      <c r="AM19" s="88"/>
      <c r="AN19" s="88"/>
      <c r="AO19" s="92"/>
    </row>
    <row r="20" spans="2:41">
      <c r="B20" s="73" t="s">
        <v>101</v>
      </c>
      <c r="C20" s="48">
        <v>-63</v>
      </c>
      <c r="D20" s="117">
        <v>-1</v>
      </c>
      <c r="E20" s="117">
        <v>-4</v>
      </c>
      <c r="F20" s="117" t="s">
        <v>27</v>
      </c>
      <c r="G20" s="117" t="s">
        <v>27</v>
      </c>
      <c r="H20" s="117">
        <v>-10034</v>
      </c>
      <c r="I20" s="120">
        <f t="shared" si="1"/>
        <v>-10039</v>
      </c>
      <c r="N20" s="88"/>
      <c r="O20" s="88"/>
      <c r="P20" s="88"/>
      <c r="Q20" s="92"/>
      <c r="S20" s="90"/>
      <c r="T20" s="88"/>
      <c r="U20" s="88"/>
      <c r="V20" s="88"/>
      <c r="W20" s="92"/>
      <c r="Y20" s="91"/>
      <c r="Z20" s="88"/>
      <c r="AA20" s="88"/>
      <c r="AB20" s="88"/>
      <c r="AC20" s="92"/>
      <c r="AE20" s="91"/>
      <c r="AF20" s="88"/>
      <c r="AG20" s="88"/>
      <c r="AH20" s="88"/>
      <c r="AI20" s="92"/>
      <c r="AK20" s="91"/>
      <c r="AL20" s="88"/>
      <c r="AM20" s="88"/>
      <c r="AN20" s="88"/>
      <c r="AO20" s="92"/>
    </row>
    <row r="21" spans="2:41" ht="24">
      <c r="B21" s="59" t="s">
        <v>96</v>
      </c>
      <c r="C21" s="48" t="s">
        <v>27</v>
      </c>
      <c r="D21" s="117" t="s">
        <v>27</v>
      </c>
      <c r="E21" s="117" t="s">
        <v>27</v>
      </c>
      <c r="F21" s="117" t="s">
        <v>27</v>
      </c>
      <c r="G21" s="117" t="s">
        <v>27</v>
      </c>
      <c r="H21" s="117">
        <v>-398</v>
      </c>
      <c r="I21" s="120">
        <f t="shared" si="1"/>
        <v>-398</v>
      </c>
      <c r="N21" s="88"/>
      <c r="O21" s="88"/>
      <c r="P21" s="88"/>
      <c r="Q21" s="92"/>
      <c r="S21" s="90"/>
      <c r="T21" s="88"/>
      <c r="U21" s="88"/>
      <c r="V21" s="88"/>
      <c r="W21" s="92"/>
      <c r="Y21" s="91"/>
      <c r="Z21" s="88"/>
      <c r="AA21" s="88"/>
      <c r="AB21" s="88"/>
      <c r="AC21" s="92"/>
      <c r="AE21" s="91"/>
      <c r="AF21" s="88"/>
      <c r="AG21" s="88"/>
      <c r="AH21" s="88"/>
      <c r="AI21" s="92"/>
      <c r="AK21" s="91"/>
      <c r="AL21" s="88"/>
      <c r="AM21" s="88"/>
      <c r="AN21" s="88"/>
      <c r="AO21" s="92"/>
    </row>
    <row r="22" spans="2:41" ht="15.75" thickBot="1">
      <c r="B22" s="73" t="s">
        <v>98</v>
      </c>
      <c r="C22" s="48" t="s">
        <v>27</v>
      </c>
      <c r="D22" s="117" t="s">
        <v>27</v>
      </c>
      <c r="E22" s="117">
        <v>2710</v>
      </c>
      <c r="F22" s="117" t="s">
        <v>27</v>
      </c>
      <c r="G22" s="117" t="s">
        <v>27</v>
      </c>
      <c r="H22" s="117" t="s">
        <v>27</v>
      </c>
      <c r="I22" s="123">
        <f t="shared" si="1"/>
        <v>2710</v>
      </c>
      <c r="N22" s="88"/>
      <c r="O22" s="88"/>
      <c r="P22" s="88"/>
      <c r="Q22" s="92"/>
      <c r="S22" s="90"/>
      <c r="T22" s="88"/>
      <c r="U22" s="88"/>
      <c r="V22" s="88"/>
      <c r="W22" s="92"/>
      <c r="Y22" s="91"/>
      <c r="Z22" s="88"/>
      <c r="AA22" s="88"/>
      <c r="AB22" s="88"/>
      <c r="AC22" s="92"/>
      <c r="AE22" s="91"/>
      <c r="AF22" s="88"/>
      <c r="AG22" s="88"/>
      <c r="AH22" s="88"/>
      <c r="AI22" s="92"/>
      <c r="AK22" s="91"/>
      <c r="AL22" s="88"/>
      <c r="AM22" s="88"/>
      <c r="AN22" s="88"/>
      <c r="AO22" s="92"/>
    </row>
    <row r="23" spans="2:41">
      <c r="B23" s="105" t="s">
        <v>102</v>
      </c>
      <c r="C23" s="110">
        <f>SUM(C15:C20)</f>
        <v>2466</v>
      </c>
      <c r="D23" s="119">
        <v>2</v>
      </c>
      <c r="E23" s="119">
        <v>11971</v>
      </c>
      <c r="F23" s="119" t="s">
        <v>27</v>
      </c>
      <c r="G23" s="119">
        <v>-43</v>
      </c>
      <c r="H23" s="119">
        <v>10171</v>
      </c>
      <c r="I23" s="120">
        <f t="shared" si="1"/>
        <v>22101</v>
      </c>
      <c r="N23" s="88"/>
      <c r="O23" s="88"/>
      <c r="P23" s="88"/>
      <c r="Q23" s="92"/>
      <c r="S23" s="90"/>
      <c r="T23" s="88"/>
      <c r="U23" s="88"/>
      <c r="V23" s="88"/>
      <c r="W23" s="92"/>
      <c r="Y23" s="91"/>
      <c r="Z23" s="88"/>
      <c r="AA23" s="88"/>
      <c r="AB23" s="88"/>
      <c r="AC23" s="92"/>
      <c r="AE23" s="91"/>
      <c r="AF23" s="88"/>
      <c r="AG23" s="88"/>
      <c r="AH23" s="88"/>
      <c r="AI23" s="92"/>
      <c r="AK23" s="91"/>
      <c r="AL23" s="88"/>
      <c r="AM23" s="88"/>
      <c r="AN23" s="88"/>
      <c r="AO23" s="92"/>
    </row>
    <row r="24" spans="2:41">
      <c r="B24" s="73" t="s">
        <v>35</v>
      </c>
      <c r="C24" s="48" t="s">
        <v>27</v>
      </c>
      <c r="D24" s="117" t="s">
        <v>27</v>
      </c>
      <c r="E24" s="117" t="s">
        <v>27</v>
      </c>
      <c r="F24" s="117" t="s">
        <v>27</v>
      </c>
      <c r="G24" s="117" t="s">
        <v>27</v>
      </c>
      <c r="H24" s="117">
        <v>29760</v>
      </c>
      <c r="I24" s="120">
        <f t="shared" si="1"/>
        <v>29760</v>
      </c>
      <c r="N24" s="92"/>
      <c r="O24" s="92"/>
      <c r="P24" s="92"/>
      <c r="Q24" s="92"/>
      <c r="S24" s="93"/>
      <c r="T24" s="92"/>
      <c r="U24" s="92"/>
      <c r="V24" s="92"/>
      <c r="W24" s="92"/>
      <c r="Y24" s="92"/>
      <c r="Z24" s="92"/>
      <c r="AA24" s="92"/>
      <c r="AB24" s="92"/>
      <c r="AC24" s="92"/>
      <c r="AE24" s="92"/>
      <c r="AF24" s="92"/>
      <c r="AG24" s="92"/>
      <c r="AH24" s="92"/>
      <c r="AI24" s="92"/>
      <c r="AK24" s="92"/>
      <c r="AL24" s="92"/>
      <c r="AM24" s="92"/>
      <c r="AN24" s="92"/>
      <c r="AO24" s="92"/>
    </row>
    <row r="25" spans="2:41">
      <c r="B25" s="73" t="s">
        <v>103</v>
      </c>
      <c r="C25" s="48" t="s">
        <v>27</v>
      </c>
      <c r="D25" s="117" t="s">
        <v>27</v>
      </c>
      <c r="E25" s="117" t="s">
        <v>27</v>
      </c>
      <c r="F25" s="117" t="s">
        <v>27</v>
      </c>
      <c r="G25" s="117">
        <v>70</v>
      </c>
      <c r="H25" s="116"/>
      <c r="I25" s="120">
        <f t="shared" si="1"/>
        <v>70</v>
      </c>
      <c r="N25" s="88"/>
      <c r="O25" s="88"/>
      <c r="P25" s="88"/>
      <c r="Q25" s="92"/>
      <c r="S25" s="90"/>
      <c r="T25" s="88"/>
      <c r="U25" s="88"/>
      <c r="V25" s="88"/>
      <c r="W25" s="92"/>
      <c r="Y25" s="91"/>
      <c r="Z25" s="88"/>
      <c r="AA25" s="88"/>
      <c r="AB25" s="88"/>
      <c r="AC25" s="92"/>
      <c r="AE25" s="91"/>
      <c r="AF25" s="88"/>
      <c r="AG25" s="88"/>
      <c r="AH25" s="88"/>
      <c r="AI25" s="92"/>
      <c r="AK25" s="91"/>
      <c r="AL25" s="88"/>
      <c r="AM25" s="88"/>
      <c r="AN25" s="88"/>
      <c r="AO25" s="92"/>
    </row>
    <row r="26" spans="2:41">
      <c r="B26" s="73" t="s">
        <v>94</v>
      </c>
      <c r="C26" s="48">
        <v>26</v>
      </c>
      <c r="D26" s="117" t="s">
        <v>27</v>
      </c>
      <c r="E26" s="117">
        <v>403</v>
      </c>
      <c r="F26" s="117" t="s">
        <v>27</v>
      </c>
      <c r="G26" s="117" t="s">
        <v>27</v>
      </c>
      <c r="H26" s="117" t="s">
        <v>27</v>
      </c>
      <c r="I26" s="120">
        <f t="shared" si="1"/>
        <v>403</v>
      </c>
      <c r="N26" s="92"/>
      <c r="O26" s="92"/>
      <c r="P26" s="92"/>
      <c r="Q26" s="92"/>
      <c r="S26" s="93"/>
      <c r="T26" s="92"/>
      <c r="U26" s="92"/>
      <c r="V26" s="92"/>
      <c r="W26" s="92"/>
      <c r="Y26" s="92"/>
      <c r="Z26" s="92"/>
      <c r="AA26" s="92"/>
      <c r="AB26" s="92"/>
      <c r="AC26" s="92"/>
      <c r="AE26" s="92"/>
      <c r="AF26" s="92"/>
      <c r="AG26" s="92"/>
      <c r="AH26" s="92"/>
      <c r="AI26" s="92"/>
      <c r="AK26" s="92"/>
      <c r="AL26" s="92"/>
      <c r="AM26" s="92"/>
      <c r="AN26" s="92"/>
      <c r="AO26" s="92"/>
    </row>
    <row r="27" spans="2:41">
      <c r="B27" s="73" t="s">
        <v>95</v>
      </c>
      <c r="C27" s="48">
        <v>-7</v>
      </c>
      <c r="D27" s="117" t="s">
        <v>27</v>
      </c>
      <c r="E27" s="117">
        <v>-2783</v>
      </c>
      <c r="F27" s="117" t="s">
        <v>27</v>
      </c>
      <c r="G27" s="117" t="s">
        <v>27</v>
      </c>
      <c r="H27" s="117" t="s">
        <v>27</v>
      </c>
      <c r="I27" s="120">
        <f t="shared" si="1"/>
        <v>-2783</v>
      </c>
      <c r="N27" s="88"/>
      <c r="O27" s="88"/>
      <c r="P27" s="88"/>
      <c r="Q27" s="92"/>
      <c r="S27" s="90"/>
      <c r="T27" s="88"/>
      <c r="U27" s="88"/>
      <c r="V27" s="88"/>
      <c r="W27" s="92"/>
      <c r="Y27" s="91"/>
      <c r="Z27" s="88"/>
      <c r="AA27" s="88"/>
      <c r="AB27" s="88"/>
      <c r="AC27" s="92"/>
      <c r="AE27" s="91"/>
      <c r="AF27" s="88"/>
      <c r="AG27" s="88"/>
      <c r="AH27" s="88"/>
      <c r="AI27" s="92"/>
      <c r="AK27" s="91"/>
      <c r="AL27" s="88"/>
      <c r="AM27" s="88"/>
      <c r="AN27" s="88"/>
      <c r="AO27" s="92"/>
    </row>
    <row r="28" spans="2:41">
      <c r="B28" s="73" t="s">
        <v>101</v>
      </c>
      <c r="C28" s="48">
        <v>-21</v>
      </c>
      <c r="D28" s="117" t="s">
        <v>27</v>
      </c>
      <c r="E28" s="117">
        <v>-27</v>
      </c>
      <c r="F28" s="117" t="s">
        <v>27</v>
      </c>
      <c r="G28" s="117" t="s">
        <v>27</v>
      </c>
      <c r="H28" s="117">
        <v>-9719</v>
      </c>
      <c r="I28" s="120">
        <f t="shared" si="1"/>
        <v>-9746</v>
      </c>
      <c r="N28" s="88"/>
      <c r="O28" s="88"/>
      <c r="P28" s="88"/>
      <c r="Q28" s="92"/>
      <c r="S28" s="90"/>
      <c r="T28" s="88"/>
      <c r="U28" s="88"/>
      <c r="V28" s="88"/>
      <c r="W28" s="92"/>
      <c r="Y28" s="91"/>
      <c r="Z28" s="88"/>
      <c r="AA28" s="88"/>
      <c r="AB28" s="88"/>
      <c r="AC28" s="92"/>
      <c r="AE28" s="91"/>
      <c r="AF28" s="88"/>
      <c r="AG28" s="88"/>
      <c r="AH28" s="88"/>
      <c r="AI28" s="92"/>
      <c r="AK28" s="91"/>
      <c r="AL28" s="88"/>
      <c r="AM28" s="88"/>
      <c r="AN28" s="88"/>
      <c r="AO28" s="92"/>
    </row>
    <row r="29" spans="2:41" ht="24">
      <c r="B29" s="59" t="s">
        <v>96</v>
      </c>
      <c r="C29" s="48" t="s">
        <v>27</v>
      </c>
      <c r="D29" s="117" t="s">
        <v>27</v>
      </c>
      <c r="E29" s="117" t="s">
        <v>27</v>
      </c>
      <c r="F29" s="117" t="s">
        <v>27</v>
      </c>
      <c r="G29" s="117" t="s">
        <v>27</v>
      </c>
      <c r="H29" s="117">
        <v>-395</v>
      </c>
      <c r="I29" s="120">
        <f t="shared" si="1"/>
        <v>-395</v>
      </c>
      <c r="N29" s="88"/>
      <c r="O29" s="88"/>
      <c r="P29" s="88"/>
      <c r="Q29" s="92"/>
      <c r="S29" s="90"/>
      <c r="T29" s="88"/>
      <c r="U29" s="88"/>
      <c r="V29" s="88"/>
      <c r="W29" s="92"/>
      <c r="Y29" s="91"/>
      <c r="Z29" s="88"/>
      <c r="AA29" s="88"/>
      <c r="AB29" s="88"/>
      <c r="AC29" s="92"/>
      <c r="AE29" s="91"/>
      <c r="AF29" s="88"/>
      <c r="AG29" s="88"/>
      <c r="AH29" s="88"/>
      <c r="AI29" s="92"/>
      <c r="AK29" s="88"/>
      <c r="AL29" s="88"/>
      <c r="AM29" s="88"/>
      <c r="AN29" s="88"/>
      <c r="AO29" s="92"/>
    </row>
    <row r="30" spans="2:41" ht="15.75" thickBot="1">
      <c r="B30" s="73" t="s">
        <v>98</v>
      </c>
      <c r="C30" s="48" t="s">
        <v>27</v>
      </c>
      <c r="D30" s="117" t="s">
        <v>27</v>
      </c>
      <c r="E30" s="118">
        <v>3568</v>
      </c>
      <c r="F30" s="118" t="s">
        <v>27</v>
      </c>
      <c r="G30" s="118" t="s">
        <v>27</v>
      </c>
      <c r="H30" s="118" t="s">
        <v>27</v>
      </c>
      <c r="I30" s="120">
        <f t="shared" si="1"/>
        <v>3568</v>
      </c>
      <c r="N30" s="88"/>
      <c r="O30" s="88"/>
      <c r="P30" s="88"/>
      <c r="Q30" s="92"/>
      <c r="S30" s="90"/>
      <c r="T30" s="88"/>
      <c r="U30" s="88"/>
      <c r="V30" s="88"/>
      <c r="W30" s="92"/>
      <c r="Y30" s="91"/>
      <c r="Z30" s="88"/>
      <c r="AA30" s="88"/>
      <c r="AB30" s="88"/>
      <c r="AC30" s="92"/>
      <c r="AE30" s="91"/>
      <c r="AF30" s="88"/>
      <c r="AG30" s="88"/>
      <c r="AH30" s="88"/>
      <c r="AI30" s="92"/>
      <c r="AK30" s="91"/>
      <c r="AL30" s="88"/>
      <c r="AM30" s="88"/>
      <c r="AN30" s="88"/>
      <c r="AO30" s="92"/>
    </row>
    <row r="31" spans="2:41" ht="15.75" thickBot="1">
      <c r="B31" s="105" t="s">
        <v>104</v>
      </c>
      <c r="C31" s="111">
        <f>SUM(C23:C30)</f>
        <v>2464</v>
      </c>
      <c r="D31" s="125">
        <v>2</v>
      </c>
      <c r="E31" s="125">
        <v>13132</v>
      </c>
      <c r="F31" s="126" t="s">
        <v>27</v>
      </c>
      <c r="G31" s="125">
        <v>27</v>
      </c>
      <c r="H31" s="125">
        <f>SUM(H23:H30)</f>
        <v>29817</v>
      </c>
      <c r="I31" s="124">
        <f t="shared" si="1"/>
        <v>42978</v>
      </c>
      <c r="N31" s="88"/>
      <c r="O31" s="88"/>
      <c r="P31" s="88"/>
      <c r="Q31" s="92"/>
      <c r="S31" s="90"/>
      <c r="T31" s="88"/>
      <c r="U31" s="88"/>
      <c r="V31" s="88"/>
      <c r="W31" s="92"/>
      <c r="Y31" s="91"/>
      <c r="Z31" s="88"/>
      <c r="AA31" s="88"/>
      <c r="AB31" s="88"/>
      <c r="AC31" s="92"/>
      <c r="AE31" s="91"/>
      <c r="AF31" s="88"/>
      <c r="AG31" s="88"/>
      <c r="AH31" s="88"/>
      <c r="AI31" s="92"/>
      <c r="AK31" s="91"/>
      <c r="AL31" s="88"/>
      <c r="AM31" s="88"/>
      <c r="AN31" s="88"/>
      <c r="AO31" s="92"/>
    </row>
    <row r="32" spans="2:41" ht="15.75" thickTop="1">
      <c r="H32" s="117">
        <f>'Income Statement'!C31</f>
        <v>32613.151778200536</v>
      </c>
      <c r="N32" s="88"/>
      <c r="O32" s="88"/>
      <c r="P32" s="88"/>
      <c r="Q32" s="92"/>
      <c r="S32" s="90"/>
      <c r="T32" s="88"/>
      <c r="U32" s="88"/>
      <c r="V32" s="88"/>
      <c r="W32" s="92"/>
      <c r="Y32" s="91"/>
      <c r="Z32" s="88"/>
      <c r="AA32" s="88"/>
      <c r="AB32" s="88"/>
      <c r="AC32" s="92"/>
      <c r="AE32" s="91"/>
      <c r="AF32" s="88"/>
      <c r="AG32" s="88"/>
      <c r="AH32" s="88"/>
      <c r="AI32" s="92"/>
      <c r="AK32" s="91"/>
      <c r="AL32" s="88"/>
      <c r="AM32" s="88"/>
      <c r="AN32" s="88"/>
      <c r="AO32" s="92"/>
    </row>
    <row r="33" spans="3:41">
      <c r="H33" s="221">
        <f>H29</f>
        <v>-395</v>
      </c>
      <c r="N33" s="88"/>
      <c r="O33" s="88"/>
      <c r="P33" s="88"/>
      <c r="Q33" s="92"/>
      <c r="S33" s="90"/>
      <c r="T33" s="88"/>
      <c r="U33" s="88"/>
      <c r="V33" s="88"/>
      <c r="W33" s="92"/>
      <c r="Y33" s="91"/>
      <c r="Z33" s="88"/>
      <c r="AA33" s="88"/>
      <c r="AB33" s="88"/>
      <c r="AC33" s="92"/>
      <c r="AE33" s="91"/>
      <c r="AF33" s="88"/>
      <c r="AG33" s="88"/>
      <c r="AH33" s="88"/>
      <c r="AI33" s="92"/>
      <c r="AK33" s="91"/>
      <c r="AL33" s="88"/>
      <c r="AM33" s="88"/>
      <c r="AN33" s="88"/>
      <c r="AO33" s="92"/>
    </row>
    <row r="34" spans="3:41">
      <c r="C34" s="73"/>
      <c r="D34" s="73"/>
      <c r="H34" s="117">
        <f>SUM(H31:H33)</f>
        <v>62035.151778200539</v>
      </c>
      <c r="N34" s="88"/>
      <c r="O34" s="88"/>
      <c r="P34" s="88"/>
      <c r="Q34" s="92"/>
      <c r="S34" s="90"/>
      <c r="T34" s="88"/>
      <c r="U34" s="88"/>
      <c r="V34" s="88"/>
      <c r="W34" s="92"/>
      <c r="Y34" s="91"/>
      <c r="Z34" s="88"/>
      <c r="AA34" s="88"/>
      <c r="AB34" s="88"/>
      <c r="AC34" s="92"/>
      <c r="AE34" s="91"/>
      <c r="AF34" s="88"/>
      <c r="AG34" s="88"/>
      <c r="AH34" s="88"/>
      <c r="AI34" s="92"/>
      <c r="AK34" s="91"/>
      <c r="AL34" s="88"/>
      <c r="AM34" s="88"/>
      <c r="AN34" s="88"/>
      <c r="AO34" s="92"/>
    </row>
    <row r="35" spans="3:41">
      <c r="C35" s="73"/>
      <c r="D35" s="73"/>
      <c r="H35" s="220"/>
      <c r="N35" s="88"/>
      <c r="O35" s="88"/>
      <c r="P35" s="88"/>
      <c r="Q35" s="94"/>
      <c r="S35" s="95"/>
      <c r="T35" s="88"/>
      <c r="U35" s="88"/>
      <c r="V35" s="88"/>
      <c r="W35" s="17"/>
      <c r="Y35" s="91"/>
      <c r="Z35" s="88"/>
      <c r="AA35" s="88"/>
      <c r="AB35" s="88"/>
      <c r="AC35" s="17"/>
      <c r="AE35" s="91"/>
      <c r="AF35" s="88"/>
      <c r="AG35" s="88"/>
      <c r="AH35" s="88"/>
      <c r="AI35" s="17"/>
      <c r="AK35" s="96"/>
      <c r="AL35" s="88"/>
      <c r="AM35" s="88"/>
      <c r="AN35" s="88"/>
      <c r="AO35" s="17"/>
    </row>
    <row r="36" spans="3:41">
      <c r="H36" s="220"/>
    </row>
    <row r="37" spans="3:41">
      <c r="H37" s="220"/>
    </row>
    <row r="39" spans="3:41">
      <c r="H39" s="41"/>
    </row>
    <row r="69" spans="43:43">
      <c r="AQ69" s="6"/>
    </row>
    <row r="70" spans="43:43">
      <c r="AQ70" s="3"/>
    </row>
    <row r="71" spans="43:43">
      <c r="AQ71" s="6"/>
    </row>
    <row r="72" spans="43:43" ht="19.5" customHeight="1">
      <c r="AQ72" s="3"/>
    </row>
    <row r="73" spans="43:43" ht="19.5" customHeight="1">
      <c r="AQ73" s="6"/>
    </row>
    <row r="75" spans="43:43" ht="19.5" customHeight="1">
      <c r="AQ75" s="3"/>
    </row>
    <row r="76" spans="43:43" ht="29.25" customHeight="1">
      <c r="AQ76" s="6"/>
    </row>
    <row r="77" spans="43:43">
      <c r="AQ77" s="3"/>
    </row>
    <row r="78" spans="43:43" ht="15.75" thickBot="1">
      <c r="AQ78" s="6"/>
    </row>
    <row r="79" spans="43:43">
      <c r="AQ79" s="15"/>
    </row>
    <row r="80" spans="43:43">
      <c r="AQ80" s="6"/>
    </row>
    <row r="81" spans="43:43">
      <c r="AQ81" s="3"/>
    </row>
    <row r="82" spans="43:43" ht="19.5" customHeight="1">
      <c r="AQ82" s="6"/>
    </row>
    <row r="83" spans="43:43" ht="19.5" customHeight="1">
      <c r="AQ83" s="3"/>
    </row>
    <row r="84" spans="43:43">
      <c r="AQ84" s="6"/>
    </row>
    <row r="85" spans="43:43" ht="19.5" customHeight="1">
      <c r="AQ85" s="3"/>
    </row>
    <row r="87" spans="43:43">
      <c r="AQ87" s="6"/>
    </row>
    <row r="88" spans="43:43" ht="15.75" thickBot="1"/>
    <row r="89" spans="43:43">
      <c r="AQ89" s="15"/>
    </row>
    <row r="90" spans="43:43">
      <c r="AQ90" s="6"/>
    </row>
    <row r="91" spans="43:43">
      <c r="AQ91" s="3"/>
    </row>
    <row r="92" spans="43:43" ht="19.5" customHeight="1">
      <c r="AQ92" s="6"/>
    </row>
    <row r="93" spans="43:43" ht="19.5" customHeight="1">
      <c r="AQ93" s="3"/>
    </row>
    <row r="94" spans="43:43">
      <c r="AQ94" s="6"/>
    </row>
    <row r="95" spans="43:43" ht="19.5" customHeight="1">
      <c r="AQ95" s="3"/>
    </row>
    <row r="96" spans="43:43">
      <c r="AQ9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AC58-2889-B944-BFEC-F4521923AD8B}">
  <dimension ref="A2:R35"/>
  <sheetViews>
    <sheetView zoomScale="70" zoomScaleNormal="70" workbookViewId="0">
      <selection activeCell="G41" sqref="G41"/>
    </sheetView>
  </sheetViews>
  <sheetFormatPr defaultColWidth="11.42578125" defaultRowHeight="15"/>
  <cols>
    <col min="1" max="1" width="8.85546875" customWidth="1"/>
    <col min="2" max="2" width="27" bestFit="1" customWidth="1"/>
    <col min="3" max="3" width="10.7109375" customWidth="1"/>
    <col min="4" max="4" width="9.42578125" customWidth="1"/>
    <col min="5" max="5" width="8.85546875" customWidth="1"/>
    <col min="6" max="6" width="9.42578125" customWidth="1"/>
    <col min="7" max="7" width="9.140625" customWidth="1"/>
    <col min="8" max="8" width="28.28515625" bestFit="1" customWidth="1"/>
    <col min="9" max="9" width="11.140625" bestFit="1" customWidth="1"/>
    <col min="10" max="10" width="6.42578125" bestFit="1" customWidth="1"/>
    <col min="11" max="11" width="6.85546875" bestFit="1" customWidth="1"/>
    <col min="12" max="12" width="7.42578125" bestFit="1" customWidth="1"/>
    <col min="13" max="13" width="7.28515625" customWidth="1"/>
    <col min="14" max="14" width="41.140625" bestFit="1" customWidth="1"/>
    <col min="15" max="15" width="7.42578125" bestFit="1" customWidth="1"/>
    <col min="16" max="16" width="7.140625" bestFit="1" customWidth="1"/>
    <col min="17" max="17" width="7.42578125" bestFit="1" customWidth="1"/>
    <col min="18" max="18" width="8.140625" bestFit="1" customWidth="1"/>
  </cols>
  <sheetData>
    <row r="2" spans="2:18"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7" t="s">
        <v>154</v>
      </c>
      <c r="O2" s="186"/>
      <c r="P2" s="186"/>
      <c r="Q2" s="186"/>
      <c r="R2" s="186"/>
    </row>
    <row r="3" spans="2:18">
      <c r="B3" s="187" t="s">
        <v>153</v>
      </c>
      <c r="G3" s="186"/>
      <c r="H3" s="187" t="s">
        <v>152</v>
      </c>
      <c r="I3" s="186"/>
      <c r="J3" s="186"/>
      <c r="K3" s="186"/>
      <c r="L3" s="186"/>
      <c r="M3" s="186"/>
      <c r="N3" s="187" t="s">
        <v>155</v>
      </c>
      <c r="O3" s="186"/>
      <c r="P3" s="186"/>
      <c r="Q3" s="187"/>
      <c r="R3" s="187"/>
    </row>
    <row r="4" spans="2:18">
      <c r="B4" s="187"/>
      <c r="C4" s="171">
        <v>2024</v>
      </c>
      <c r="D4" s="171">
        <v>2023</v>
      </c>
      <c r="E4" s="171">
        <v>2022</v>
      </c>
      <c r="F4" s="171">
        <v>2021</v>
      </c>
      <c r="G4" s="186"/>
      <c r="H4" s="186"/>
      <c r="I4" s="171" t="s">
        <v>150</v>
      </c>
      <c r="J4" s="171">
        <v>2023</v>
      </c>
      <c r="K4" s="171">
        <v>2022</v>
      </c>
      <c r="L4" s="171">
        <v>2021</v>
      </c>
      <c r="M4" s="186"/>
      <c r="N4" s="186"/>
      <c r="O4" s="171">
        <v>2024</v>
      </c>
      <c r="P4" s="171">
        <v>2023</v>
      </c>
      <c r="Q4" s="171">
        <v>2022</v>
      </c>
      <c r="R4" s="171">
        <v>2021</v>
      </c>
    </row>
    <row r="5" spans="2:18">
      <c r="B5" s="187" t="s">
        <v>114</v>
      </c>
      <c r="C5" s="171"/>
      <c r="D5" s="171"/>
      <c r="E5" s="171"/>
      <c r="F5" s="171"/>
      <c r="G5" s="186"/>
      <c r="H5" s="187" t="s">
        <v>114</v>
      </c>
      <c r="I5" s="171"/>
      <c r="J5" s="171"/>
      <c r="K5" s="171"/>
      <c r="L5" s="171"/>
      <c r="M5" s="186"/>
      <c r="N5" s="187" t="s">
        <v>114</v>
      </c>
      <c r="O5" s="171"/>
      <c r="P5" s="171"/>
      <c r="Q5" s="171"/>
      <c r="R5" s="171"/>
    </row>
    <row r="6" spans="2:18">
      <c r="B6" s="186" t="s">
        <v>115</v>
      </c>
      <c r="C6" s="177">
        <f>'Balance Sheet'!$D$21/'Balance Sheet'!$D$34</f>
        <v>4.1712915059730973</v>
      </c>
      <c r="D6" s="177">
        <f>'Balance Sheet'!$E$21/'Balance Sheet'!$E$34</f>
        <v>3.5156178576870332</v>
      </c>
      <c r="E6" s="177">
        <f>'Balance Sheet'!$F$21/'Balance Sheet'!$F$34</f>
        <v>6.6502883506343711</v>
      </c>
      <c r="F6" s="177">
        <f>'Balance Sheet'!$G$21/'Balance Sheet'!$G$34</f>
        <v>4.0904458598726112</v>
      </c>
      <c r="G6" s="186"/>
      <c r="H6" s="186" t="s">
        <v>115</v>
      </c>
      <c r="I6" s="177">
        <f>'[1]Balance Sheet'!$C$12/'[1]Balance Sheet'!$C$28</f>
        <v>2.8192090395480225</v>
      </c>
      <c r="J6" s="177">
        <f>'[1]Balance Sheet'!$D$12/'[1]Balance Sheet'!$D$28</f>
        <v>2.5068022125878309</v>
      </c>
      <c r="K6" s="177">
        <f>'[1]Balance Sheet'!$E$12/'[1]Balance Sheet'!$E$28</f>
        <v>2.358140995446695</v>
      </c>
      <c r="L6" s="177">
        <f>'[1]Balance Sheet'!$F$12/'[1]Balance Sheet'!$F$28</f>
        <v>2.0242924528301889</v>
      </c>
      <c r="M6" s="186"/>
      <c r="N6" s="186" t="s">
        <v>115</v>
      </c>
      <c r="O6" s="177">
        <f t="shared" ref="O6:R7" si="0">C6-I6</f>
        <v>1.3520824664250748</v>
      </c>
      <c r="P6" s="177">
        <f t="shared" si="0"/>
        <v>1.0088156450992023</v>
      </c>
      <c r="Q6" s="177">
        <f t="shared" si="0"/>
        <v>4.2921473551876765</v>
      </c>
      <c r="R6" s="177">
        <f t="shared" si="0"/>
        <v>2.0661534070424223</v>
      </c>
    </row>
    <row r="7" spans="2:18">
      <c r="B7" s="186" t="s">
        <v>116</v>
      </c>
      <c r="C7" s="177">
        <f>('Balance Sheet'!$D$21-'Balance Sheet'!$D$19)/'Balance Sheet'!$D$34</f>
        <v>3.6744426676700215</v>
      </c>
      <c r="D7" s="177">
        <f>('Balance Sheet'!$E$21-'Balance Sheet'!$E$19)/'Balance Sheet'!$E$34</f>
        <v>2.7295444156635686</v>
      </c>
      <c r="E7" s="177">
        <f>('Balance Sheet'!$F$21-'Balance Sheet'!$F$19)/'Balance Sheet'!$F$34</f>
        <v>6.0493656286043826</v>
      </c>
      <c r="F7" s="177">
        <f>('Balance Sheet'!$G$21-'Balance Sheet'!$G$19)/'Balance Sheet'!$G$34</f>
        <v>3.6252229299363057</v>
      </c>
      <c r="G7" s="186"/>
      <c r="H7" s="186" t="s">
        <v>116</v>
      </c>
      <c r="I7" s="177">
        <f>('[1]Balance Sheet'!$C$12-'[1]Balance Sheet'!$C$9)/'[1]Balance Sheet'!$C$28</f>
        <v>2.0135593220338981</v>
      </c>
      <c r="J7" s="177">
        <f>('[1]Balance Sheet'!$D$12-'[1]Balance Sheet'!$D$9)/'[1]Balance Sheet'!$D$28</f>
        <v>1.8563312901779041</v>
      </c>
      <c r="K7" s="177">
        <f>('[1]Balance Sheet'!$E$12-'[1]Balance Sheet'!$E$9)/'[1]Balance Sheet'!$E$28</f>
        <v>1.7660543256398178</v>
      </c>
      <c r="L7" s="177">
        <f>('[1]Balance Sheet'!$F$12-'[1]Balance Sheet'!$F$9)/'[1]Balance Sheet'!$F$28</f>
        <v>1.5632075471698113</v>
      </c>
      <c r="M7" s="188"/>
      <c r="N7" s="186" t="s">
        <v>116</v>
      </c>
      <c r="O7" s="177">
        <f t="shared" si="0"/>
        <v>1.6608833456361234</v>
      </c>
      <c r="P7" s="177">
        <f t="shared" si="0"/>
        <v>0.87321312548566454</v>
      </c>
      <c r="Q7" s="177">
        <f t="shared" si="0"/>
        <v>4.2833113029645649</v>
      </c>
      <c r="R7" s="177">
        <f t="shared" si="0"/>
        <v>2.0620153827664947</v>
      </c>
    </row>
    <row r="8" spans="2:18">
      <c r="B8" s="187"/>
      <c r="C8" s="177"/>
      <c r="D8" s="177"/>
      <c r="E8" s="177"/>
      <c r="F8" s="177"/>
      <c r="G8" s="186"/>
      <c r="H8" s="186"/>
      <c r="I8" s="171"/>
      <c r="J8" s="171"/>
      <c r="K8" s="171"/>
      <c r="L8" s="171"/>
      <c r="M8" s="188"/>
      <c r="N8" s="187"/>
      <c r="O8" s="177"/>
      <c r="P8" s="171"/>
      <c r="Q8" s="171"/>
      <c r="R8" s="171"/>
    </row>
    <row r="9" spans="2:18">
      <c r="B9" s="187" t="s">
        <v>117</v>
      </c>
      <c r="C9" s="177"/>
      <c r="D9" s="177"/>
      <c r="E9" s="177"/>
      <c r="F9" s="177"/>
      <c r="G9" s="186"/>
      <c r="H9" s="187" t="s">
        <v>117</v>
      </c>
      <c r="I9" s="171"/>
      <c r="J9" s="171"/>
      <c r="K9" s="171"/>
      <c r="L9" s="171"/>
      <c r="M9" s="188"/>
      <c r="N9" s="187" t="s">
        <v>117</v>
      </c>
      <c r="O9" s="171"/>
      <c r="P9" s="171"/>
      <c r="Q9" s="171"/>
      <c r="R9" s="171"/>
    </row>
    <row r="10" spans="2:18">
      <c r="B10" s="186" t="s">
        <v>118</v>
      </c>
      <c r="C10" s="177">
        <f>(AVERAGE('Balance Sheet'!$D$19:$E$19)/'Income Statement'!$D$17)*365</f>
        <v>114.64307201732748</v>
      </c>
      <c r="D10" s="177">
        <f>(AVERAGE('Balance Sheet'!$E$19:$F$19)/'Income Statement'!$E$17)*365</f>
        <v>121.95988982613187</v>
      </c>
      <c r="E10" s="177">
        <f>(AVERAGE('Balance Sheet'!$F$19:$G$19)/'Income Statement'!$F$17)*365</f>
        <v>85.671946180739482</v>
      </c>
      <c r="F10" s="177">
        <f>(AVERAGE('Balance Sheet'!$G$19:$H$19)/'Income Statement'!$G$17)*365</f>
        <v>106.14588310240484</v>
      </c>
      <c r="G10" s="186"/>
      <c r="H10" s="186" t="s">
        <v>118</v>
      </c>
      <c r="I10" s="177">
        <f>(AVERAGE('[1]Balance Sheet'!$C$9:'[1]Balance Sheet'!$D$9)/'[1]Income Statement'!$C$5)*365</f>
        <v>139.81589306216173</v>
      </c>
      <c r="J10" s="177">
        <f>(AVERAGE('[1]Balance Sheet'!$D$9:'[1]Balance Sheet'!$E$9)/'[1]Income Statement'!$D$5)*365</f>
        <v>121.29828150572831</v>
      </c>
      <c r="K10" s="177">
        <f>(AVERAGE('[1]Balance Sheet'!$E$9:'[1]Balance Sheet'!$F$9)/'[1]Income Statement'!$E$5)*365</f>
        <v>80.396599476842582</v>
      </c>
      <c r="L10" s="177">
        <f>(AVERAGE('[1]Balance Sheet'!$F$9:'[1]Balance Sheet'!$G$9)/'[1]Income Statement'!$F$5)*365</f>
        <v>71.970017636684304</v>
      </c>
      <c r="M10" s="188"/>
      <c r="N10" s="186" t="s">
        <v>118</v>
      </c>
      <c r="O10" s="177">
        <f t="shared" ref="O10:R13" si="1">C10-I10</f>
        <v>-25.172821044834251</v>
      </c>
      <c r="P10" s="177">
        <f t="shared" si="1"/>
        <v>0.66160832040355899</v>
      </c>
      <c r="Q10" s="177">
        <f t="shared" si="1"/>
        <v>5.2753467038969006</v>
      </c>
      <c r="R10" s="177">
        <f t="shared" si="1"/>
        <v>34.175865465720534</v>
      </c>
    </row>
    <row r="11" spans="2:18">
      <c r="B11" s="186" t="s">
        <v>119</v>
      </c>
      <c r="C11" s="177">
        <f>(AVERAGE('Balance Sheet'!$D$18:$E$18)/'Income Statement'!$D$16)*365</f>
        <v>41.4176323823906</v>
      </c>
      <c r="D11" s="177">
        <f>(AVERAGE('Balance Sheet'!$E$18:$F$18)/'Income Statement'!$E$16)*365</f>
        <v>57.353470008156009</v>
      </c>
      <c r="E11" s="177">
        <f>(AVERAGE('Balance Sheet'!$F$18:$G$18)/'Income Statement'!$F$16)*365</f>
        <v>48.001690569963586</v>
      </c>
      <c r="F11" s="177">
        <f>(AVERAGE('Balance Sheet'!$G$18:$H$18)/'Income Statement'!$G$16)*365</f>
        <v>53.168515742128939</v>
      </c>
      <c r="G11" s="186"/>
      <c r="H11" s="186" t="s">
        <v>119</v>
      </c>
      <c r="I11" s="177">
        <f>(AVERAGE('[1]Balance Sheet'!$C$8:'[1]Balance Sheet'!$D$8)/'[1]Income Statement'!$C$4)*365</f>
        <v>87.227723835710606</v>
      </c>
      <c r="J11" s="177">
        <f>(AVERAGE('[1]Balance Sheet'!$D$8:'[1]Balance Sheet'!$E$8)/'[1]Income Statement'!$D$4)*365</f>
        <v>76.460097001763671</v>
      </c>
      <c r="K11" s="177">
        <f>(AVERAGE('[1]Balance Sheet'!$E$8:'[1]Balance Sheet'!$F$8)/'[1]Income Statement'!$E$4)*365</f>
        <v>52.829964831998645</v>
      </c>
      <c r="L11" s="177">
        <f>(AVERAGE('[1]Balance Sheet'!$F$8:'[1]Balance Sheet'!$G$8)/'[1]Income Statement'!$F$4)*365</f>
        <v>52.993184860654743</v>
      </c>
      <c r="M11" s="186"/>
      <c r="N11" s="186" t="s">
        <v>119</v>
      </c>
      <c r="O11" s="177">
        <f t="shared" si="1"/>
        <v>-45.810091453320005</v>
      </c>
      <c r="P11" s="177">
        <f t="shared" si="1"/>
        <v>-19.106626993607662</v>
      </c>
      <c r="Q11" s="177">
        <f t="shared" si="1"/>
        <v>-4.8282742620350589</v>
      </c>
      <c r="R11" s="177">
        <f t="shared" si="1"/>
        <v>0.17533088147419562</v>
      </c>
    </row>
    <row r="12" spans="2:18">
      <c r="B12" s="186" t="s">
        <v>120</v>
      </c>
      <c r="C12" s="177">
        <f>((AVERAGE('Balance Sheet'!$D$31:$E$31)/'Income Statement'!$D$17)*365)</f>
        <v>42.734492509475963</v>
      </c>
      <c r="D12" s="177">
        <f>((AVERAGE('Balance Sheet'!$E$31:$F$31)/'Income Statement'!$E$17)*365)</f>
        <v>46.748149423308654</v>
      </c>
      <c r="E12" s="177">
        <f>((AVERAGE('Balance Sheet'!$F$31:$G$31)/'Income Statement'!$F$17)*365)</f>
        <v>56.689267930924885</v>
      </c>
      <c r="F12" s="177">
        <f>((AVERAGE('Balance Sheet'!$G$31:$H$31)/'Income Statement'!$G$17)*365)</f>
        <v>66.791686574295269</v>
      </c>
      <c r="G12" s="186"/>
      <c r="H12" s="186" t="s">
        <v>120</v>
      </c>
      <c r="I12" s="177">
        <f>((AVERAGE('[1]Balance Sheet'!$C$23:'[1]Balance Sheet'!$D$23)+AVERAGE('[1]Balance Sheet'!$C$25:'[1]Balance Sheet'!$D$25))/'[1]Income Statement'!$C$5)*365</f>
        <v>156.62313432835822</v>
      </c>
      <c r="J12" s="177">
        <f>((AVERAGE('[1]Balance Sheet'!$D$23:'[1]Balance Sheet'!$E$23)+AVERAGE('[1]Balance Sheet'!$D$25:'[1]Balance Sheet'!$E$25))/'[1]Income Statement'!$D$5)*365</f>
        <v>159.90405073649754</v>
      </c>
      <c r="K12" s="177">
        <f>((AVERAGE('[1]Balance Sheet'!$E$23:'[1]Balance Sheet'!$F$23)+AVERAGE('[1]Balance Sheet'!$E$25:'[1]Balance Sheet'!$F$25))/'[1]Income Statement'!$E$5)*365</f>
        <v>130.78839052161871</v>
      </c>
      <c r="L12" s="177">
        <f>((AVERAGE('[1]Balance Sheet'!$F$23:'[1]Balance Sheet'!$G$23)+AVERAGE('[1]Balance Sheet'!$F$25:'[1]Balance Sheet'!$G$25))/'[1]Income Statement'!$F$5)*365</f>
        <v>128.94091710758377</v>
      </c>
      <c r="M12" s="186"/>
      <c r="N12" s="186" t="s">
        <v>120</v>
      </c>
      <c r="O12" s="177">
        <f t="shared" si="1"/>
        <v>-113.88864181888226</v>
      </c>
      <c r="P12" s="177">
        <f t="shared" si="1"/>
        <v>-113.15590131318888</v>
      </c>
      <c r="Q12" s="177">
        <f t="shared" si="1"/>
        <v>-74.099122590693824</v>
      </c>
      <c r="R12" s="177">
        <f t="shared" si="1"/>
        <v>-62.149230533288502</v>
      </c>
    </row>
    <row r="13" spans="2:18">
      <c r="B13" s="186" t="s">
        <v>117</v>
      </c>
      <c r="C13" s="177">
        <f>$C$10+$C$11-$C$12</f>
        <v>113.32621189024212</v>
      </c>
      <c r="D13" s="177">
        <f>$D$10+$D$11-$D$12</f>
        <v>132.56521041097923</v>
      </c>
      <c r="E13" s="177">
        <f>$E$10+$E$11-$E$12</f>
        <v>76.984368819778169</v>
      </c>
      <c r="F13" s="177">
        <f>$F$10+$F$11-$F$12</f>
        <v>92.5227122702385</v>
      </c>
      <c r="G13" s="186"/>
      <c r="H13" s="186" t="s">
        <v>117</v>
      </c>
      <c r="I13" s="177">
        <f>I10+I11-I12</f>
        <v>70.420482569514121</v>
      </c>
      <c r="J13" s="177">
        <f>J10+J11-J12</f>
        <v>37.854327770994445</v>
      </c>
      <c r="K13" s="177">
        <f>K10+K11-K12</f>
        <v>2.4381737872225244</v>
      </c>
      <c r="L13" s="177">
        <f>L10+L11-L12</f>
        <v>-3.9777146102447318</v>
      </c>
      <c r="M13" s="188"/>
      <c r="N13" s="186" t="s">
        <v>117</v>
      </c>
      <c r="O13" s="177">
        <f t="shared" si="1"/>
        <v>42.905729320728</v>
      </c>
      <c r="P13" s="177">
        <f t="shared" si="1"/>
        <v>94.710882639984789</v>
      </c>
      <c r="Q13" s="177">
        <f t="shared" si="1"/>
        <v>74.546195032555644</v>
      </c>
      <c r="R13" s="177">
        <f t="shared" si="1"/>
        <v>96.500426880483232</v>
      </c>
    </row>
    <row r="14" spans="2:18">
      <c r="B14" s="187"/>
      <c r="C14" s="177"/>
      <c r="D14" s="177"/>
      <c r="E14" s="177"/>
      <c r="F14" s="177"/>
      <c r="G14" s="186"/>
      <c r="H14" s="186"/>
      <c r="I14" s="171"/>
      <c r="J14" s="171"/>
      <c r="K14" s="171"/>
      <c r="L14" s="171"/>
      <c r="M14" s="188"/>
      <c r="N14" s="187"/>
      <c r="O14" s="177"/>
      <c r="P14" s="171"/>
      <c r="Q14" s="171"/>
      <c r="R14" s="171"/>
    </row>
    <row r="15" spans="2:18">
      <c r="B15" s="187" t="s">
        <v>121</v>
      </c>
      <c r="C15" s="177"/>
      <c r="D15" s="177"/>
      <c r="E15" s="177"/>
      <c r="F15" s="177"/>
      <c r="G15" s="186"/>
      <c r="H15" s="187" t="s">
        <v>121</v>
      </c>
      <c r="I15" s="171"/>
      <c r="J15" s="171"/>
      <c r="K15" s="171"/>
      <c r="L15" s="171"/>
      <c r="M15" s="188"/>
      <c r="N15" s="187" t="s">
        <v>121</v>
      </c>
      <c r="O15" s="171"/>
      <c r="P15" s="171"/>
      <c r="Q15" s="171"/>
      <c r="R15" s="171"/>
    </row>
    <row r="16" spans="2:18">
      <c r="B16" s="186" t="s">
        <v>122</v>
      </c>
      <c r="C16" s="177">
        <f>'Balance Sheet'!$D$39/'Balance Sheet'!$D$48</f>
        <v>0.52934059286146395</v>
      </c>
      <c r="D16" s="177">
        <f>'Balance Sheet'!$E$39/'Balance Sheet'!$E$48</f>
        <v>0.8633545993393964</v>
      </c>
      <c r="E16" s="177">
        <f>'Balance Sheet'!$F$39/'Balance Sheet'!$F$48</f>
        <v>0.66041635352472572</v>
      </c>
      <c r="F16" s="177">
        <f>'Balance Sheet'!$G$39/'Balance Sheet'!$G$48</f>
        <v>0.7043153969099627</v>
      </c>
      <c r="G16" s="186"/>
      <c r="H16" s="186" t="s">
        <v>122</v>
      </c>
      <c r="I16" s="177">
        <f>('[1]Balance Sheet'!$C$28+'[1]Balance Sheet'!$C$33)/'[1]Balance Sheet'!$C$41</f>
        <v>0.20071456365630197</v>
      </c>
      <c r="J16" s="177">
        <f>('[1]Balance Sheet'!$D$28+'[1]Balance Sheet'!$D$33)/'[1]Balance Sheet'!$D$41</f>
        <v>0.21457453660631218</v>
      </c>
      <c r="K16" s="177">
        <f>('[1]Balance Sheet'!$E$28+'[1]Balance Sheet'!$E$33)/'[1]Balance Sheet'!$E$41</f>
        <v>0.234337899543379</v>
      </c>
      <c r="L16" s="177">
        <f>('[1]Balance Sheet'!$F$28+'[1]Balance Sheet'!$F$33)/'[1]Balance Sheet'!$F$41</f>
        <v>0.65652927837801789</v>
      </c>
      <c r="M16" s="188"/>
      <c r="N16" s="186" t="s">
        <v>122</v>
      </c>
      <c r="O16" s="177">
        <f t="shared" ref="O16:R18" si="2">C16-I16</f>
        <v>0.32862602920516198</v>
      </c>
      <c r="P16" s="177">
        <f t="shared" si="2"/>
        <v>0.6487800627330842</v>
      </c>
      <c r="Q16" s="177">
        <f t="shared" si="2"/>
        <v>0.42607845398134669</v>
      </c>
      <c r="R16" s="177">
        <f t="shared" si="2"/>
        <v>4.778611853194481E-2</v>
      </c>
    </row>
    <row r="17" spans="2:18">
      <c r="B17" s="186" t="s">
        <v>123</v>
      </c>
      <c r="C17" s="178">
        <f>'Balance Sheet'!$D$39/'Balance Sheet'!$D$28</f>
        <v>0.346123417721519</v>
      </c>
      <c r="D17" s="178">
        <f>'Balance Sheet'!$E$39/'Balance Sheet'!$E$28</f>
        <v>0.46333349521635664</v>
      </c>
      <c r="E17" s="178">
        <f>'Balance Sheet'!$F$39/'Balance Sheet'!$F$28</f>
        <v>0.39774141715889288</v>
      </c>
      <c r="F17" s="178">
        <f>'Balance Sheet'!$G$39/'Balance Sheet'!$G$28</f>
        <v>0.41325414191934978</v>
      </c>
      <c r="G17" s="186"/>
      <c r="H17" s="186" t="s">
        <v>123</v>
      </c>
      <c r="I17" s="178">
        <f>('[1]Balance Sheet'!$C$28+'[1]Balance Sheet'!$C$33)/'[1]Balance Sheet'!$C$20</f>
        <v>0.1671625961170197</v>
      </c>
      <c r="J17" s="178">
        <f>('[1]Balance Sheet'!$D$28+'[1]Balance Sheet'!$D$33)/'[1]Balance Sheet'!$D$20</f>
        <v>0.17666642115342124</v>
      </c>
      <c r="K17" s="178">
        <f>('[1]Balance Sheet'!$E$28+'[1]Balance Sheet'!$E$33)/'[1]Balance Sheet'!$E$20</f>
        <v>0.18984906777153004</v>
      </c>
      <c r="L17" s="178">
        <f>('[1]Balance Sheet'!$F$28+'[1]Balance Sheet'!$F$33)/'[1]Balance Sheet'!$F$20</f>
        <v>0.39632820677993397</v>
      </c>
      <c r="M17" s="188"/>
      <c r="N17" s="186" t="s">
        <v>123</v>
      </c>
      <c r="O17" s="177">
        <f t="shared" si="2"/>
        <v>0.1789608216044993</v>
      </c>
      <c r="P17" s="177">
        <f t="shared" si="2"/>
        <v>0.2866670740629354</v>
      </c>
      <c r="Q17" s="177">
        <f t="shared" si="2"/>
        <v>0.20789234938736284</v>
      </c>
      <c r="R17" s="177">
        <f t="shared" si="2"/>
        <v>1.6925935139415815E-2</v>
      </c>
    </row>
    <row r="18" spans="2:18">
      <c r="B18" s="186" t="s">
        <v>124</v>
      </c>
      <c r="C18" s="177">
        <f>'Balance Sheet'!$D$28/'Balance Sheet'!$D$48</f>
        <v>1.5293405928614641</v>
      </c>
      <c r="D18" s="177">
        <f>'Balance Sheet'!$E$28/'Balance Sheet'!$E$48</f>
        <v>1.8633545993393965</v>
      </c>
      <c r="E18" s="177">
        <f>'Balance Sheet'!$F$28/'Balance Sheet'!$F$48</f>
        <v>1.6604163535247256</v>
      </c>
      <c r="F18" s="177">
        <f>'Balance Sheet'!$G$28/'Balance Sheet'!$G$48</f>
        <v>1.7043153969099627</v>
      </c>
      <c r="G18" s="186"/>
      <c r="H18" s="186" t="s">
        <v>124</v>
      </c>
      <c r="I18" s="177">
        <f>'[1]Balance Sheet'!$C$20/'[1]Balance Sheet'!$C$41</f>
        <v>1.2007145636563019</v>
      </c>
      <c r="J18" s="177">
        <f>'[1]Balance Sheet'!$D$20/'[1]Balance Sheet'!$D$41</f>
        <v>1.2145745366063121</v>
      </c>
      <c r="K18" s="177">
        <f>'[1]Balance Sheet'!$E$20/'[1]Balance Sheet'!$E$41</f>
        <v>1.2343378995433789</v>
      </c>
      <c r="L18" s="177">
        <f>'[1]Balance Sheet'!$F$20/'[1]Balance Sheet'!$F$41</f>
        <v>1.6565292783780179</v>
      </c>
      <c r="M18" s="189"/>
      <c r="N18" s="186" t="s">
        <v>124</v>
      </c>
      <c r="O18" s="179">
        <f t="shared" si="2"/>
        <v>0.32862602920516215</v>
      </c>
      <c r="P18" s="179">
        <f t="shared" si="2"/>
        <v>0.64878006273308442</v>
      </c>
      <c r="Q18" s="179">
        <f t="shared" si="2"/>
        <v>0.42607845398134669</v>
      </c>
      <c r="R18" s="179">
        <f t="shared" si="2"/>
        <v>4.778611853194481E-2</v>
      </c>
    </row>
    <row r="19" spans="2:18">
      <c r="B19" s="186" t="s">
        <v>125</v>
      </c>
      <c r="C19" s="177">
        <f>'Income Statement'!$D$24/ABS('Income Statement'!$D$26)</f>
        <v>128.29571984435799</v>
      </c>
      <c r="D19" s="177">
        <f>'Income Statement'!$E$24/ABS('Income Statement'!$E$26)</f>
        <v>16.122137404580151</v>
      </c>
      <c r="E19" s="177">
        <f>'Income Statement'!$F$24/ABS('Income Statement'!$F$26)</f>
        <v>42.546610169491522</v>
      </c>
      <c r="F19" s="177">
        <f>'Income Statement'!$G$24/ABS('Income Statement'!$G$26)</f>
        <v>24.630434782608695</v>
      </c>
      <c r="H19" s="186" t="s">
        <v>125</v>
      </c>
      <c r="I19" s="177">
        <f>'[1]Income Statement'!$C$28/'[1]Income Statement'!$C$26</f>
        <v>10.553398058252426</v>
      </c>
      <c r="J19" s="177">
        <f>'[1]Income Statement'!$D$28/'[1]Income Statement'!$D$26</f>
        <v>5.6415094339622645</v>
      </c>
      <c r="K19" s="177">
        <f>'[1]Income Statement'!$E$28/'[1]Income Statement'!$E$26</f>
        <v>14.454545454545455</v>
      </c>
      <c r="L19" s="177">
        <f>'[1]Income Statement'!$F$28/'[1]Income Statement'!$F$26</f>
        <v>108.91176470588235</v>
      </c>
      <c r="M19" s="188"/>
      <c r="N19" s="186" t="s">
        <v>125</v>
      </c>
      <c r="O19" s="179">
        <f>C19-I19</f>
        <v>117.74232178610556</v>
      </c>
      <c r="P19" s="179">
        <f t="shared" ref="P19:R19" si="3">D19-J19</f>
        <v>10.480627970617887</v>
      </c>
      <c r="Q19" s="179">
        <f t="shared" si="3"/>
        <v>28.092064714946069</v>
      </c>
      <c r="R19" s="179">
        <f t="shared" si="3"/>
        <v>-84.28132992327366</v>
      </c>
    </row>
    <row r="20" spans="2:18">
      <c r="B20" s="186" t="s">
        <v>126</v>
      </c>
      <c r="C20" s="192" t="s">
        <v>27</v>
      </c>
      <c r="D20" s="192" t="s">
        <v>27</v>
      </c>
      <c r="E20" s="192" t="s">
        <v>27</v>
      </c>
      <c r="F20" s="192" t="s">
        <v>27</v>
      </c>
      <c r="G20" s="177"/>
      <c r="H20" s="186" t="s">
        <v>126</v>
      </c>
      <c r="I20" s="177">
        <f>'[1]Income Statement'!$C$29/'[1]Income Statement'!$C$26</f>
        <v>42.368932038834949</v>
      </c>
      <c r="J20" s="177">
        <f>'[1]Income Statement'!$D$29/'[1]Income Statement'!$D$26</f>
        <v>39.141509433962263</v>
      </c>
      <c r="K20" s="177">
        <f>'[1]Income Statement'!$E$29/'[1]Income Statement'!$E$26</f>
        <v>62.886363636363633</v>
      </c>
      <c r="L20" s="177">
        <f>'[1]Income Statement'!$F$29/'[1]Income Statement'!$F$26</f>
        <v>122.52941176470588</v>
      </c>
      <c r="M20" s="188"/>
      <c r="N20" s="186" t="s">
        <v>126</v>
      </c>
      <c r="O20" s="192" t="s">
        <v>27</v>
      </c>
      <c r="P20" s="192" t="s">
        <v>27</v>
      </c>
      <c r="Q20" s="192" t="s">
        <v>27</v>
      </c>
      <c r="R20" s="192" t="s">
        <v>27</v>
      </c>
    </row>
    <row r="21" spans="2:18">
      <c r="B21" s="187"/>
      <c r="C21" s="177"/>
      <c r="D21" s="177"/>
      <c r="E21" s="177"/>
      <c r="F21" s="177"/>
      <c r="G21" s="186"/>
      <c r="H21" s="186"/>
      <c r="I21" s="171"/>
      <c r="J21" s="171"/>
      <c r="K21" s="171"/>
      <c r="L21" s="171"/>
      <c r="M21" s="188"/>
      <c r="N21" s="187"/>
      <c r="O21" s="177"/>
      <c r="P21" s="171"/>
      <c r="Q21" s="171"/>
      <c r="R21" s="171"/>
    </row>
    <row r="22" spans="2:18">
      <c r="B22" s="187" t="s">
        <v>127</v>
      </c>
      <c r="C22" s="177"/>
      <c r="D22" s="177"/>
      <c r="E22" s="177"/>
      <c r="F22" s="177"/>
      <c r="G22" s="186"/>
      <c r="H22" s="187" t="s">
        <v>127</v>
      </c>
      <c r="I22" s="171"/>
      <c r="J22" s="171"/>
      <c r="K22" s="171"/>
      <c r="L22" s="171"/>
      <c r="M22" s="186"/>
      <c r="N22" s="187" t="s">
        <v>127</v>
      </c>
      <c r="O22" s="171"/>
      <c r="P22" s="171"/>
      <c r="Q22" s="171"/>
      <c r="R22" s="171"/>
    </row>
    <row r="23" spans="2:18">
      <c r="B23" s="186" t="s">
        <v>128</v>
      </c>
      <c r="C23" s="177">
        <f>'Income Statement'!$D$17/AVERAGE('Balance Sheet'!$D$19:$E$19)</f>
        <v>3.1837946556843213</v>
      </c>
      <c r="D23" s="177">
        <f>'Income Statement'!$E$17/AVERAGE('Balance Sheet'!$D$19:$E$19)</f>
        <v>2.2254573316732116</v>
      </c>
      <c r="E23" s="177">
        <f>'Income Statement'!$F$17/AVERAGE('Balance Sheet'!$E$19:$F$19)</f>
        <v>2.4314786192684181</v>
      </c>
      <c r="F23" s="177">
        <f>'Income Statement'!$G$17/AVERAGE('Balance Sheet'!$F$19:$G$19)</f>
        <v>2.8341232227488153</v>
      </c>
      <c r="G23" s="186"/>
      <c r="H23" s="186" t="s">
        <v>128</v>
      </c>
      <c r="I23" s="177">
        <f>'[1]Income Statement'!$C$5/AVERAGE('[1]Balance Sheet'!$C$9:'[1]Balance Sheet'!$D$9)</f>
        <v>2.610575893812888</v>
      </c>
      <c r="J23" s="177">
        <f>'[1]Income Statement'!$D$5/AVERAGE('[1]Balance Sheet'!$D$9:'[1]Balance Sheet'!$E$9)</f>
        <v>3.0091110563900516</v>
      </c>
      <c r="K23" s="177">
        <f>'[1]Income Statement'!$E$5/AVERAGE('[1]Balance Sheet'!$E$9:'[1]Balance Sheet'!$F$9)</f>
        <v>4.5399930143206424</v>
      </c>
      <c r="L23" s="177">
        <f>'[1]Income Statement'!$F$5/AVERAGE('[1]Balance Sheet'!$F$9:'[1]Balance Sheet'!$G$9)</f>
        <v>5.0715563506261176</v>
      </c>
      <c r="M23" s="186"/>
      <c r="N23" s="186" t="s">
        <v>128</v>
      </c>
      <c r="O23" s="177">
        <f t="shared" ref="O23:R24" si="4">C23-I23</f>
        <v>0.57321876187143328</v>
      </c>
      <c r="P23" s="177">
        <f t="shared" si="4"/>
        <v>-0.78365372471684003</v>
      </c>
      <c r="Q23" s="177">
        <f t="shared" si="4"/>
        <v>-2.1085143950522243</v>
      </c>
      <c r="R23" s="177">
        <f t="shared" si="4"/>
        <v>-2.2374331278773023</v>
      </c>
    </row>
    <row r="24" spans="2:18">
      <c r="B24" s="186" t="s">
        <v>129</v>
      </c>
      <c r="C24" s="177">
        <f>'Income Statement'!$D$16/AVERAGE('Balance Sheet'!$D$28:$E$28)</f>
        <v>1.1396875876905808</v>
      </c>
      <c r="D24" s="177">
        <f>'Income Statement'!$E$16/AVERAGE('Balance Sheet'!$E$32:$L$32)</f>
        <v>22.347120670448369</v>
      </c>
      <c r="E24" s="177">
        <f>'Income Statement'!$F$16/AVERAGE('Balance Sheet'!$F$37:$M$37)</f>
        <v>55.148474791419865</v>
      </c>
      <c r="F24" s="177">
        <f>'Income Statement'!$G$16/AVERAGE('Balance Sheet'!$G$37:$N$37)</f>
        <v>60.628955187211147</v>
      </c>
      <c r="G24" s="186"/>
      <c r="H24" s="186" t="s">
        <v>129</v>
      </c>
      <c r="I24" s="177">
        <f>'[1]Income Statement'!$C$4/AVERAGE('[1]Balance Sheet'!$C$20,'[1]Balance Sheet'!$D$20)</f>
        <v>0.3428714526666225</v>
      </c>
      <c r="J24" s="177">
        <f>'[1]Income Statement'!$D$4/AVERAGE('[1]Balance Sheet'!$D$20,'[1]Balance Sheet'!$E$20)</f>
        <v>0.33484663935333853</v>
      </c>
      <c r="K24" s="177">
        <f>'[1]Income Statement'!$E$4/AVERAGE('[1]Balance Sheet'!$E$20,'[1]Balance Sheet'!$F$20)</f>
        <v>0.59003237540469256</v>
      </c>
      <c r="L24" s="177">
        <f>'[1]Income Statement'!$F$4/AVERAGE('[1]Balance Sheet'!$F$20,'[1]Balance Sheet'!$G$20)</f>
        <v>1.5372527009962116</v>
      </c>
      <c r="M24" s="188"/>
      <c r="N24" s="186" t="s">
        <v>129</v>
      </c>
      <c r="O24" s="177">
        <f t="shared" si="4"/>
        <v>0.79681613502395821</v>
      </c>
      <c r="P24" s="177">
        <f t="shared" si="4"/>
        <v>22.012274031095032</v>
      </c>
      <c r="Q24" s="177">
        <f t="shared" si="4"/>
        <v>54.558442416015176</v>
      </c>
      <c r="R24" s="177">
        <f t="shared" si="4"/>
        <v>59.091702486214935</v>
      </c>
    </row>
    <row r="25" spans="2:18">
      <c r="B25" s="187"/>
      <c r="C25" s="177"/>
      <c r="D25" s="177"/>
      <c r="E25" s="177"/>
      <c r="F25" s="177"/>
      <c r="G25" s="186"/>
      <c r="H25" s="186"/>
      <c r="I25" s="171"/>
      <c r="J25" s="171"/>
      <c r="K25" s="171"/>
      <c r="L25" s="171"/>
      <c r="M25" s="188"/>
      <c r="N25" s="187"/>
      <c r="O25" s="177"/>
      <c r="P25" s="171"/>
      <c r="Q25" s="171"/>
      <c r="R25" s="171"/>
    </row>
    <row r="26" spans="2:18">
      <c r="B26" s="187" t="s">
        <v>130</v>
      </c>
      <c r="C26" s="177"/>
      <c r="D26" s="177"/>
      <c r="E26" s="177"/>
      <c r="F26" s="177"/>
      <c r="G26" s="186"/>
      <c r="H26" s="187" t="s">
        <v>130</v>
      </c>
      <c r="I26" s="171"/>
      <c r="J26" s="171"/>
      <c r="K26" s="171"/>
      <c r="L26" s="171"/>
      <c r="M26" s="186"/>
      <c r="N26" s="187" t="s">
        <v>130</v>
      </c>
      <c r="O26" s="171"/>
      <c r="P26" s="171"/>
      <c r="Q26" s="171"/>
      <c r="R26" s="171"/>
    </row>
    <row r="27" spans="2:18">
      <c r="B27" s="186" t="s">
        <v>131</v>
      </c>
      <c r="C27" s="182">
        <f>'Income Statement'!$D$31/'Income Statement'!$D$16</f>
        <v>0.4884934834706674</v>
      </c>
      <c r="D27" s="182">
        <f>'Income Statement'!$E$31/'Income Statement'!$E$16</f>
        <v>0.16193371394676356</v>
      </c>
      <c r="E27" s="182">
        <f>'Income Statement'!$F$31/'Income Statement'!$F$16</f>
        <v>0.36233930296499961</v>
      </c>
      <c r="F27" s="182">
        <f>'Income Statement'!$G$31/'Income Statement'!$G$16</f>
        <v>0.25979010494752625</v>
      </c>
      <c r="G27" s="186"/>
      <c r="H27" s="186" t="s">
        <v>131</v>
      </c>
      <c r="I27" s="180">
        <f>('[1]Income Statement'!$C$23)/'[1]Income Statement'!$C$4</f>
        <v>5.8171507131809588E-2</v>
      </c>
      <c r="J27" s="180">
        <f>('[1]Income Statement'!$D$23)/'[1]Income Statement'!$D$4</f>
        <v>3.7654320987654324E-2</v>
      </c>
      <c r="K27" s="180">
        <f>('[1]Income Statement'!$E$23)/'[1]Income Statement'!$E$4</f>
        <v>5.5929833481632135E-2</v>
      </c>
      <c r="L27" s="180">
        <f>('[1]Income Statement'!$F$23)/'[1]Income Statement'!$F$4</f>
        <v>0.19240598758671049</v>
      </c>
      <c r="M27" s="186"/>
      <c r="N27" s="186" t="s">
        <v>131</v>
      </c>
      <c r="O27" s="181">
        <f t="shared" ref="O27:R30" si="5">C27-I27</f>
        <v>0.43032197633885783</v>
      </c>
      <c r="P27" s="181">
        <f t="shared" si="5"/>
        <v>0.12427939295910924</v>
      </c>
      <c r="Q27" s="181">
        <f t="shared" si="5"/>
        <v>0.30640946948336745</v>
      </c>
      <c r="R27" s="181">
        <f t="shared" si="5"/>
        <v>6.738411736081576E-2</v>
      </c>
    </row>
    <row r="28" spans="2:18">
      <c r="B28" s="186" t="s">
        <v>132</v>
      </c>
      <c r="C28" s="182">
        <f>'Income Statement'!$D$31/'Balance Sheet'!$D$48</f>
        <v>0.69244729861789756</v>
      </c>
      <c r="D28" s="182">
        <f>'Income Statement'!$E$31/'Balance Sheet'!$E$48</f>
        <v>0.19763811592235644</v>
      </c>
      <c r="E28" s="182">
        <f>'Income Statement'!$F$31/'Balance Sheet'!$F$48</f>
        <v>0.36645122501127309</v>
      </c>
      <c r="F28" s="182">
        <f>'Income Statement'!$G$31/'Balance Sheet'!$G$48</f>
        <v>0.25643757769490322</v>
      </c>
      <c r="G28" s="186"/>
      <c r="H28" s="186" t="s">
        <v>132</v>
      </c>
      <c r="I28" s="182">
        <f>('[1]Income Statement'!$C$23)/'[1]Balance Sheet'!$C$41</f>
        <v>2.3948494817644769E-2</v>
      </c>
      <c r="J28" s="182">
        <f>('[1]Income Statement'!$D$23)/'[1]Balance Sheet'!$D$41</f>
        <v>1.5279467544550203E-2</v>
      </c>
      <c r="K28" s="182">
        <f>('[1]Income Statement'!$E$23)/'[1]Balance Sheet'!$E$41</f>
        <v>2.4109589041095891E-2</v>
      </c>
      <c r="L28" s="182">
        <f>('[1]Income Statement'!$F$23)/'[1]Balance Sheet'!$F$41</f>
        <v>0.42176870748299322</v>
      </c>
      <c r="M28" s="190"/>
      <c r="N28" s="186" t="s">
        <v>132</v>
      </c>
      <c r="O28" s="183">
        <f t="shared" si="5"/>
        <v>0.66849880380025284</v>
      </c>
      <c r="P28" s="183">
        <f t="shared" si="5"/>
        <v>0.18235864837780624</v>
      </c>
      <c r="Q28" s="183">
        <f t="shared" si="5"/>
        <v>0.34234163597017719</v>
      </c>
      <c r="R28" s="183">
        <f t="shared" si="5"/>
        <v>-0.16533112978809</v>
      </c>
    </row>
    <row r="29" spans="2:18">
      <c r="B29" s="186" t="s">
        <v>133</v>
      </c>
      <c r="C29" s="182">
        <f>'Income Statement'!$D$31/'Balance Sheet'!$D$28</f>
        <v>0.45277507302823761</v>
      </c>
      <c r="D29" s="182">
        <f>'Income Statement'!$E$31/'Balance Sheet'!$E$28</f>
        <v>0.10606575688407557</v>
      </c>
      <c r="E29" s="182">
        <f>'Income Statement'!$F$31/'Balance Sheet'!$F$28</f>
        <v>0.22069839545567702</v>
      </c>
      <c r="F29" s="182">
        <f>'Income Statement'!$G$31/'Balance Sheet'!$G$28</f>
        <v>0.15046368656871939</v>
      </c>
      <c r="G29" s="186"/>
      <c r="H29" s="186" t="s">
        <v>133</v>
      </c>
      <c r="I29" s="182">
        <f>('[1]Income Statement'!$C$23)/'[1]Balance Sheet'!$C$20</f>
        <v>1.9945202250832277E-2</v>
      </c>
      <c r="J29" s="182">
        <f>('[1]Income Statement'!$D$23)/'[1]Balance Sheet'!$D$20</f>
        <v>1.2580098696324666E-2</v>
      </c>
      <c r="K29" s="182">
        <f>('[1]Income Statement'!$E$23)/'[1]Balance Sheet'!$E$20</f>
        <v>1.9532406037289139E-2</v>
      </c>
      <c r="L29" s="182">
        <f>('[1]Income Statement'!$F$23)/'[1]Balance Sheet'!$F$20</f>
        <v>0.254609871970368</v>
      </c>
      <c r="M29" s="191"/>
      <c r="N29" s="186" t="s">
        <v>133</v>
      </c>
      <c r="O29" s="184">
        <f t="shared" si="5"/>
        <v>0.43282987077740531</v>
      </c>
      <c r="P29" s="184">
        <f t="shared" si="5"/>
        <v>9.3485658187750911E-2</v>
      </c>
      <c r="Q29" s="184">
        <f t="shared" si="5"/>
        <v>0.20116598941838787</v>
      </c>
      <c r="R29" s="184">
        <f t="shared" si="5"/>
        <v>-0.10414618540164861</v>
      </c>
    </row>
    <row r="30" spans="2:18">
      <c r="B30" s="186" t="s">
        <v>134</v>
      </c>
      <c r="C30" s="180">
        <f>'Income Statement'!$D$31/('Balance Sheet'!$D$48+'Balance Sheet'!$D$38)</f>
        <v>0.5401383015409188</v>
      </c>
      <c r="D30" s="180">
        <f>'Income Statement'!$E$31/('Balance Sheet'!$E$48+'Balance Sheet'!$E$38)</f>
        <v>0.12617348854675178</v>
      </c>
      <c r="E30" s="180">
        <f>'Income Statement'!$F$31/('Balance Sheet'!$F$48+'Balance Sheet'!$F$38)</f>
        <v>0.24470541001706314</v>
      </c>
      <c r="F30" s="180">
        <f>'Income Statement'!$G$31/('Balance Sheet'!$G$48+'Balance Sheet'!$G$38)</f>
        <v>0.17421378589238318</v>
      </c>
      <c r="G30" s="186"/>
      <c r="H30" s="186" t="s">
        <v>134</v>
      </c>
      <c r="I30" s="182">
        <f>('[1]Income Statement'!$C$23/('[1]Balance Sheet'!$C$42))</f>
        <v>1.9945202250832277E-2</v>
      </c>
      <c r="J30" s="182">
        <f>('[1]Income Statement'!$D$23/('[1]Balance Sheet'!$D$42))</f>
        <v>1.2580098696324666E-2</v>
      </c>
      <c r="K30" s="182">
        <f>('[1]Income Statement'!$E$23/('[1]Balance Sheet'!$E$42))</f>
        <v>1.9532406037289139E-2</v>
      </c>
      <c r="L30" s="182">
        <f>('[1]Income Statement'!$F$23/('[1]Balance Sheet'!$F$42))</f>
        <v>0.254609871970368</v>
      </c>
      <c r="M30" s="191"/>
      <c r="N30" s="186" t="s">
        <v>134</v>
      </c>
      <c r="O30" s="184">
        <f t="shared" si="5"/>
        <v>0.5201930992900865</v>
      </c>
      <c r="P30" s="184">
        <f t="shared" si="5"/>
        <v>0.11359338985042712</v>
      </c>
      <c r="Q30" s="184">
        <f t="shared" si="5"/>
        <v>0.22517300397977399</v>
      </c>
      <c r="R30" s="184">
        <f t="shared" si="5"/>
        <v>-8.0396086077984819E-2</v>
      </c>
    </row>
    <row r="31" spans="2:18">
      <c r="B31" s="187"/>
      <c r="C31" s="177"/>
      <c r="D31" s="177"/>
      <c r="E31" s="177"/>
      <c r="F31" s="177"/>
      <c r="G31" s="186"/>
      <c r="H31" s="186"/>
      <c r="I31" s="171"/>
      <c r="J31" s="171"/>
      <c r="K31" s="171"/>
      <c r="L31" s="171"/>
      <c r="M31" s="191"/>
      <c r="N31" s="187"/>
      <c r="O31" s="184"/>
      <c r="P31" s="171"/>
      <c r="Q31" s="171"/>
      <c r="R31" s="171"/>
    </row>
    <row r="32" spans="2:18">
      <c r="B32" s="187" t="s">
        <v>135</v>
      </c>
      <c r="C32" s="177"/>
      <c r="D32" s="177"/>
      <c r="E32" s="177"/>
      <c r="F32" s="177"/>
      <c r="G32" s="186"/>
      <c r="H32" s="187" t="s">
        <v>135</v>
      </c>
      <c r="I32" s="171"/>
      <c r="J32" s="171"/>
      <c r="K32" s="171"/>
      <c r="L32" s="171"/>
      <c r="M32" s="186"/>
      <c r="N32" s="187" t="s">
        <v>135</v>
      </c>
      <c r="O32" s="171"/>
      <c r="P32" s="171"/>
      <c r="Q32" s="171"/>
      <c r="R32" s="171"/>
    </row>
    <row r="33" spans="1:18">
      <c r="B33" s="186" t="s">
        <v>136</v>
      </c>
      <c r="C33" s="192">
        <f>-'Shareholders'' Equ'!$I$29/'Income Statement'!$D$31</f>
        <v>1.3272849462365592E-2</v>
      </c>
      <c r="D33" s="192">
        <f>-'Shareholders'' Equ'!$I$21/'Income Statement'!$E$31</f>
        <v>9.1117216117216113E-2</v>
      </c>
      <c r="E33" s="192">
        <f>-'Shareholders'' Equ'!$I$11/'Income Statement'!$F$31</f>
        <v>4.0914684167350286E-2</v>
      </c>
      <c r="F33" s="192" t="s">
        <v>27</v>
      </c>
      <c r="G33" s="186"/>
      <c r="H33" s="186" t="s">
        <v>136</v>
      </c>
      <c r="I33" s="182">
        <v>0</v>
      </c>
      <c r="J33" s="182">
        <v>0</v>
      </c>
      <c r="K33" s="182">
        <v>0</v>
      </c>
      <c r="L33" s="182">
        <v>0</v>
      </c>
      <c r="M33" s="186"/>
      <c r="N33" s="186" t="s">
        <v>136</v>
      </c>
      <c r="O33" s="171"/>
      <c r="P33" s="171"/>
      <c r="Q33" s="171"/>
      <c r="R33" s="171"/>
    </row>
    <row r="34" spans="1:18" ht="15.75">
      <c r="A34" s="112"/>
      <c r="B34" s="186" t="s">
        <v>137</v>
      </c>
      <c r="C34" s="193">
        <f>'Income Statement'!$D$31/'Shareholders'' Equ'!$C$31</f>
        <v>12.077922077922079</v>
      </c>
      <c r="D34" s="193">
        <f>'Income Statement'!$E$31/'Shareholders'' Equ'!$C$23</f>
        <v>1.7712895377128954</v>
      </c>
      <c r="E34" s="193">
        <f>'Income Statement'!$F$31/'Shareholders'' Equ'!$C$15</f>
        <v>3.89146049481245</v>
      </c>
      <c r="F34" s="193">
        <f>'Income Statement'!$G$31/'Shareholders'' Equ'!$C$6</f>
        <v>1.734881858229876</v>
      </c>
      <c r="G34" s="186"/>
      <c r="H34" s="186" t="s">
        <v>151</v>
      </c>
      <c r="I34" s="171">
        <f>'[1]Income Statement'!$C$17</f>
        <v>0.84</v>
      </c>
      <c r="J34" s="171">
        <f>'[1]Income Statement'!$D$17</f>
        <v>0.53</v>
      </c>
      <c r="K34" s="171">
        <f>'[1]Income Statement'!$E$17</f>
        <v>0.85</v>
      </c>
      <c r="L34" s="171">
        <f>'[1]Income Statement'!$F$17</f>
        <v>2.61</v>
      </c>
      <c r="M34" s="191"/>
      <c r="N34" s="186" t="s">
        <v>151</v>
      </c>
      <c r="O34" s="185">
        <f>C34-I34</f>
        <v>11.237922077922079</v>
      </c>
      <c r="P34" s="185">
        <f>D34-J34</f>
        <v>1.2412895377128954</v>
      </c>
      <c r="Q34" s="185">
        <f>E34-K34</f>
        <v>3.04146049481245</v>
      </c>
      <c r="R34" s="185">
        <f>F34-L34</f>
        <v>-0.87511814177012393</v>
      </c>
    </row>
    <row r="35" spans="1:18" ht="15.75">
      <c r="A35" s="1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6AB5-13F5-3B49-9722-98CA8F59988C}">
  <dimension ref="B2:Q95"/>
  <sheetViews>
    <sheetView tabSelected="1" zoomScale="55" zoomScaleNormal="55" workbookViewId="0">
      <selection activeCell="G87" sqref="G87"/>
    </sheetView>
  </sheetViews>
  <sheetFormatPr defaultColWidth="11.42578125" defaultRowHeight="15"/>
  <cols>
    <col min="2" max="2" width="52.140625" customWidth="1"/>
    <col min="3" max="3" width="15.42578125" bestFit="1" customWidth="1"/>
    <col min="4" max="6" width="11.5703125" bestFit="1" customWidth="1"/>
    <col min="7" max="7" width="14" customWidth="1"/>
    <col min="8" max="8" width="13.140625" customWidth="1"/>
    <col min="14" max="14" width="18.5703125" bestFit="1" customWidth="1"/>
    <col min="15" max="15" width="33.5703125" bestFit="1" customWidth="1"/>
    <col min="16" max="16" width="18.5703125" bestFit="1" customWidth="1"/>
  </cols>
  <sheetData>
    <row r="2" spans="2:12" ht="26.25">
      <c r="B2" s="237" t="s">
        <v>159</v>
      </c>
    </row>
    <row r="4" spans="2:12" ht="44.25" customHeight="1">
      <c r="B4" s="230" t="s">
        <v>172</v>
      </c>
      <c r="C4" s="231" t="s">
        <v>160</v>
      </c>
      <c r="D4" s="231" t="s">
        <v>161</v>
      </c>
      <c r="E4" s="231" t="s">
        <v>162</v>
      </c>
      <c r="F4" s="231" t="s">
        <v>163</v>
      </c>
      <c r="G4" s="231" t="s">
        <v>164</v>
      </c>
      <c r="H4" s="231" t="s">
        <v>165</v>
      </c>
      <c r="I4" s="231" t="s">
        <v>166</v>
      </c>
      <c r="J4" s="231" t="s">
        <v>167</v>
      </c>
      <c r="K4" s="231" t="s">
        <v>168</v>
      </c>
      <c r="L4" s="231" t="s">
        <v>169</v>
      </c>
    </row>
    <row r="5" spans="2:12">
      <c r="B5" s="69" t="s">
        <v>70</v>
      </c>
      <c r="C5" s="223">
        <f>'Income Statement'!G16</f>
        <v>16675</v>
      </c>
      <c r="D5" s="223">
        <f>'Income Statement'!F16</f>
        <v>26914</v>
      </c>
      <c r="E5" s="223">
        <f>'Income Statement'!E16</f>
        <v>26974</v>
      </c>
      <c r="F5" s="223">
        <f>'Income Statement'!D16</f>
        <v>60922</v>
      </c>
      <c r="G5" s="223">
        <f>'Income Statement'!C16</f>
        <v>115751.79999999999</v>
      </c>
      <c r="H5" s="232">
        <f>C5/C5</f>
        <v>1</v>
      </c>
      <c r="I5" s="232">
        <f t="shared" ref="I5:L5" si="0">D5/D5</f>
        <v>1</v>
      </c>
      <c r="J5" s="232">
        <f t="shared" si="0"/>
        <v>1</v>
      </c>
      <c r="K5" s="232">
        <f t="shared" si="0"/>
        <v>1</v>
      </c>
      <c r="L5" s="232">
        <f t="shared" si="0"/>
        <v>1</v>
      </c>
    </row>
    <row r="6" spans="2:12">
      <c r="B6" s="172" t="s">
        <v>71</v>
      </c>
      <c r="C6" s="224">
        <f>'Income Statement'!G17</f>
        <v>6279</v>
      </c>
      <c r="D6" s="224">
        <f>'Income Statement'!F17</f>
        <v>9439</v>
      </c>
      <c r="E6" s="224">
        <f>'Income Statement'!E17</f>
        <v>11618</v>
      </c>
      <c r="F6" s="224">
        <f>'Income Statement'!D17</f>
        <v>16621</v>
      </c>
      <c r="G6" s="224">
        <f>'Income Statement'!C17</f>
        <v>41670.647999999994</v>
      </c>
      <c r="H6" s="227">
        <f>C6/C5</f>
        <v>0.37655172413793103</v>
      </c>
      <c r="I6" s="227">
        <f t="shared" ref="I6:L6" si="1">D6/D5</f>
        <v>0.35070966783086871</v>
      </c>
      <c r="J6" s="227">
        <f t="shared" si="1"/>
        <v>0.43071105509008673</v>
      </c>
      <c r="K6" s="227">
        <f t="shared" si="1"/>
        <v>0.27282426709563046</v>
      </c>
      <c r="L6" s="227">
        <f t="shared" si="1"/>
        <v>0.36</v>
      </c>
    </row>
    <row r="7" spans="2:12">
      <c r="B7" s="69" t="s">
        <v>72</v>
      </c>
      <c r="C7" s="223">
        <f>'Income Statement'!G18</f>
        <v>10396</v>
      </c>
      <c r="D7" s="223">
        <f>'Income Statement'!F18</f>
        <v>17475</v>
      </c>
      <c r="E7" s="223">
        <f>'Income Statement'!E18</f>
        <v>15356</v>
      </c>
      <c r="F7" s="223">
        <f>'Income Statement'!D18</f>
        <v>44301</v>
      </c>
      <c r="G7" s="223">
        <f>'Income Statement'!C18</f>
        <v>74081.152000000002</v>
      </c>
      <c r="H7" s="233">
        <f>C7/C5</f>
        <v>0.62344827586206897</v>
      </c>
      <c r="I7" s="233">
        <f t="shared" ref="I7:L7" si="2">D7/D5</f>
        <v>0.64929033216913135</v>
      </c>
      <c r="J7" s="233">
        <f t="shared" si="2"/>
        <v>0.56928894490991322</v>
      </c>
      <c r="K7" s="233">
        <f t="shared" si="2"/>
        <v>0.72717573290436954</v>
      </c>
      <c r="L7" s="233">
        <f t="shared" si="2"/>
        <v>0.64000000000000012</v>
      </c>
    </row>
    <row r="8" spans="2:12">
      <c r="B8" s="69"/>
      <c r="C8" s="223"/>
      <c r="D8" s="223"/>
      <c r="E8" s="223"/>
      <c r="F8" s="223"/>
      <c r="G8" s="223"/>
      <c r="H8" s="233"/>
      <c r="I8" s="234"/>
      <c r="J8" s="233"/>
      <c r="K8" s="233"/>
      <c r="L8" s="233"/>
    </row>
    <row r="9" spans="2:12">
      <c r="B9" s="60" t="s">
        <v>75</v>
      </c>
      <c r="C9" s="223">
        <f>'Income Statement'!G20</f>
        <v>3924</v>
      </c>
      <c r="D9" s="223">
        <f>'Income Statement'!F20</f>
        <v>5268</v>
      </c>
      <c r="E9" s="223">
        <f>'Income Statement'!E20</f>
        <v>7339</v>
      </c>
      <c r="F9" s="223">
        <f>'Income Statement'!D20</f>
        <v>8675</v>
      </c>
      <c r="G9" s="223">
        <f>'Income Statement'!C20</f>
        <v>26622.913999999997</v>
      </c>
      <c r="H9" s="233">
        <f>C9/C5</f>
        <v>0.2353223388305847</v>
      </c>
      <c r="I9" s="233">
        <f t="shared" ref="I9:L9" si="3">D9/D5</f>
        <v>0.19573456193802483</v>
      </c>
      <c r="J9" s="233">
        <f t="shared" si="3"/>
        <v>0.27207681471046191</v>
      </c>
      <c r="K9" s="233">
        <f t="shared" si="3"/>
        <v>0.14239519385443683</v>
      </c>
      <c r="L9" s="233">
        <f t="shared" si="3"/>
        <v>0.23</v>
      </c>
    </row>
    <row r="10" spans="2:12">
      <c r="B10" s="172" t="s">
        <v>76</v>
      </c>
      <c r="C10" s="223">
        <f>'Income Statement'!G21</f>
        <v>1940</v>
      </c>
      <c r="D10" s="223">
        <f>'Income Statement'!F21</f>
        <v>2166</v>
      </c>
      <c r="E10" s="223">
        <f>'Income Statement'!E21</f>
        <v>2440</v>
      </c>
      <c r="F10" s="223">
        <f>'Income Statement'!D21</f>
        <v>2654</v>
      </c>
      <c r="G10" s="223">
        <f>'Income Statement'!C21</f>
        <v>11575.18</v>
      </c>
      <c r="H10" s="233">
        <f>C10/C5</f>
        <v>0.11634182908545727</v>
      </c>
      <c r="I10" s="233">
        <f>D10/D5</f>
        <v>8.0478561343538674E-2</v>
      </c>
      <c r="J10" s="233">
        <f>E10/E5</f>
        <v>9.0457477570994288E-2</v>
      </c>
      <c r="K10" s="233">
        <f>F10/F5</f>
        <v>4.3563901382095135E-2</v>
      </c>
      <c r="L10" s="233">
        <f>G10/G5</f>
        <v>0.10000000000000002</v>
      </c>
    </row>
    <row r="11" spans="2:12">
      <c r="B11" s="60" t="s">
        <v>41</v>
      </c>
      <c r="C11" s="223" t="str">
        <f>'Income Statement'!C22</f>
        <v xml:space="preserve">— </v>
      </c>
      <c r="D11" s="223" t="str">
        <f>'Income Statement'!D22</f>
        <v xml:space="preserve">— </v>
      </c>
      <c r="E11" s="223">
        <f>'Income Statement'!E22</f>
        <v>1353</v>
      </c>
      <c r="F11" s="223" t="str">
        <f>'Income Statement'!F22</f>
        <v xml:space="preserve">— </v>
      </c>
      <c r="G11" s="223" t="str">
        <f>'Income Statement'!G22</f>
        <v xml:space="preserve">— </v>
      </c>
      <c r="H11" s="233"/>
      <c r="I11" s="234"/>
      <c r="J11" s="233"/>
      <c r="K11" s="233"/>
      <c r="L11" s="233"/>
    </row>
    <row r="12" spans="2:12">
      <c r="B12" s="60" t="s">
        <v>78</v>
      </c>
      <c r="C12" s="225">
        <f>'Income Statement'!G23</f>
        <v>5864</v>
      </c>
      <c r="D12" s="225">
        <f>'Income Statement'!F23</f>
        <v>7434</v>
      </c>
      <c r="E12" s="225">
        <f>'Income Statement'!E23</f>
        <v>11132</v>
      </c>
      <c r="F12" s="225">
        <f>'Income Statement'!D23</f>
        <v>11329</v>
      </c>
      <c r="G12" s="225">
        <f>'Income Statement'!C23</f>
        <v>38198.093999999997</v>
      </c>
      <c r="H12" s="228">
        <f>C12/C5</f>
        <v>0.35166416791604199</v>
      </c>
      <c r="I12" s="228">
        <f t="shared" ref="I12:L12" si="4">D12/D5</f>
        <v>0.2762131232815635</v>
      </c>
      <c r="J12" s="228">
        <f t="shared" si="4"/>
        <v>0.41269370504930675</v>
      </c>
      <c r="K12" s="228">
        <f t="shared" si="4"/>
        <v>0.18595909523653195</v>
      </c>
      <c r="L12" s="228">
        <f t="shared" si="4"/>
        <v>0.33</v>
      </c>
    </row>
    <row r="13" spans="2:12">
      <c r="B13" s="38"/>
      <c r="C13" s="235"/>
      <c r="D13" s="235"/>
      <c r="E13" s="235"/>
      <c r="F13" s="235"/>
      <c r="G13" s="235"/>
      <c r="H13" s="235"/>
      <c r="I13" s="235"/>
      <c r="J13" s="235"/>
      <c r="K13" s="235"/>
      <c r="L13" s="235"/>
    </row>
    <row r="14" spans="2:12">
      <c r="B14" s="69" t="s">
        <v>79</v>
      </c>
      <c r="C14" s="223">
        <f>'Income Statement'!G24</f>
        <v>4532</v>
      </c>
      <c r="D14" s="223">
        <f>'Income Statement'!F24</f>
        <v>10041</v>
      </c>
      <c r="E14" s="223">
        <f>'Income Statement'!E24</f>
        <v>4224</v>
      </c>
      <c r="F14" s="223">
        <f>'Income Statement'!D24</f>
        <v>32972</v>
      </c>
      <c r="G14" s="223">
        <f>'Income Statement'!C24</f>
        <v>35883.058000000005</v>
      </c>
      <c r="H14" s="233">
        <f>C14/C5</f>
        <v>0.27178410794602698</v>
      </c>
      <c r="I14" s="233">
        <f>D14/D5</f>
        <v>0.37307720888756779</v>
      </c>
      <c r="J14" s="233">
        <f>E14/E5</f>
        <v>0.1565952398606065</v>
      </c>
      <c r="K14" s="233">
        <f>F14/F5</f>
        <v>0.54121663766783756</v>
      </c>
      <c r="L14" s="233">
        <f>G14/G5</f>
        <v>0.31000000000000005</v>
      </c>
    </row>
    <row r="15" spans="2:12">
      <c r="B15" s="172" t="s">
        <v>80</v>
      </c>
      <c r="C15" s="223">
        <f>'Income Statement'!G25</f>
        <v>57</v>
      </c>
      <c r="D15" s="223">
        <f>'Income Statement'!F25</f>
        <v>29</v>
      </c>
      <c r="E15" s="223">
        <f>'Income Statement'!E25</f>
        <v>267</v>
      </c>
      <c r="F15" s="223">
        <f>'Income Statement'!D25</f>
        <v>866</v>
      </c>
      <c r="G15" s="223">
        <f>'Income Statement'!C25</f>
        <v>1860.2773679551492</v>
      </c>
      <c r="H15" s="233">
        <f>C15/C5</f>
        <v>3.4182908545727139E-3</v>
      </c>
      <c r="I15" s="233">
        <f>D15/D5</f>
        <v>1.0775061306383296E-3</v>
      </c>
      <c r="J15" s="233">
        <f>E15/E5</f>
        <v>9.8984207014161784E-3</v>
      </c>
      <c r="K15" s="233">
        <f>F15/F5</f>
        <v>1.421489773809133E-2</v>
      </c>
      <c r="L15" s="233">
        <f>G15/G5</f>
        <v>1.6071260818018806E-2</v>
      </c>
    </row>
    <row r="16" spans="2:12">
      <c r="B16" s="172" t="s">
        <v>81</v>
      </c>
      <c r="C16" s="223">
        <f>'Income Statement'!G26</f>
        <v>-184</v>
      </c>
      <c r="D16" s="223">
        <f>'Income Statement'!F26</f>
        <v>-236</v>
      </c>
      <c r="E16" s="223">
        <f>'Income Statement'!E26</f>
        <v>-262</v>
      </c>
      <c r="F16" s="223">
        <f>'Income Statement'!D26</f>
        <v>-257</v>
      </c>
      <c r="G16" s="223">
        <f>'Income Statement'!C26</f>
        <v>-1134.3676399999999</v>
      </c>
      <c r="H16" s="233">
        <f>C16/C5</f>
        <v>-1.1034482758620689E-2</v>
      </c>
      <c r="I16" s="233">
        <f>D16/D5</f>
        <v>-8.7686705803670956E-3</v>
      </c>
      <c r="J16" s="233">
        <f>E16/E5</f>
        <v>-9.7130570178690593E-3</v>
      </c>
      <c r="K16" s="233">
        <f>F16/F5</f>
        <v>-4.2185089130363411E-3</v>
      </c>
      <c r="L16" s="233">
        <f>G16/G5</f>
        <v>-9.7999999999999997E-3</v>
      </c>
    </row>
    <row r="17" spans="2:17">
      <c r="B17" s="172" t="s">
        <v>82</v>
      </c>
      <c r="C17" s="223">
        <f>'Income Statement'!G27</f>
        <v>4</v>
      </c>
      <c r="D17" s="223">
        <f>'Income Statement'!F27</f>
        <v>107</v>
      </c>
      <c r="E17" s="223">
        <f>'Income Statement'!E27</f>
        <v>-48</v>
      </c>
      <c r="F17" s="223">
        <f>'Income Statement'!D27</f>
        <v>237</v>
      </c>
      <c r="G17" s="223">
        <f>'Income Statement'!C27</f>
        <v>451.43201999999991</v>
      </c>
      <c r="H17" s="233">
        <f>C17/C5</f>
        <v>2.39880059970015E-4</v>
      </c>
      <c r="I17" s="233">
        <f>D17/D5</f>
        <v>3.9756260682172846E-3</v>
      </c>
      <c r="J17" s="233">
        <f>E17/E5</f>
        <v>-1.7794913620523467E-3</v>
      </c>
      <c r="K17" s="233">
        <f>F17/F5</f>
        <v>3.8902202816716459E-3</v>
      </c>
      <c r="L17" s="233">
        <f>G17/G5</f>
        <v>3.8999999999999998E-3</v>
      </c>
    </row>
    <row r="18" spans="2:17">
      <c r="B18" s="172" t="s">
        <v>83</v>
      </c>
      <c r="C18" s="225">
        <f>'Income Statement'!G28</f>
        <v>-123</v>
      </c>
      <c r="D18" s="225">
        <f>'Income Statement'!F28</f>
        <v>-100</v>
      </c>
      <c r="E18" s="225">
        <f>'Income Statement'!E28</f>
        <v>-43</v>
      </c>
      <c r="F18" s="225">
        <f>'Income Statement'!D28</f>
        <v>846</v>
      </c>
      <c r="G18" s="225">
        <f>'Income Statement'!C28</f>
        <v>846</v>
      </c>
      <c r="H18" s="228">
        <f>C18/C5</f>
        <v>-7.3763118440779612E-3</v>
      </c>
      <c r="I18" s="228">
        <f>D18/D5</f>
        <v>-3.7155383815114808E-3</v>
      </c>
      <c r="J18" s="228">
        <f>E18/E5</f>
        <v>-1.5941276785052274E-3</v>
      </c>
      <c r="K18" s="228">
        <f>F18/F5</f>
        <v>1.3886609106726634E-2</v>
      </c>
      <c r="L18" s="228">
        <f>G18/G5</f>
        <v>7.3087416351192815E-3</v>
      </c>
    </row>
    <row r="19" spans="2:17">
      <c r="B19" s="219" t="s">
        <v>84</v>
      </c>
      <c r="C19" s="223">
        <f>'Income Statement'!G29</f>
        <v>4409</v>
      </c>
      <c r="D19" s="223">
        <f>'Income Statement'!F29</f>
        <v>9941</v>
      </c>
      <c r="E19" s="223">
        <f>'Income Statement'!E29</f>
        <v>4181</v>
      </c>
      <c r="F19" s="223">
        <f>'Income Statement'!D29</f>
        <v>33818</v>
      </c>
      <c r="G19" s="223">
        <f>'Income Statement'!C29</f>
        <v>37060.399747955154</v>
      </c>
      <c r="H19" s="233">
        <f>C19/C5</f>
        <v>0.26440779610194903</v>
      </c>
      <c r="I19" s="233">
        <f>D19/D5</f>
        <v>0.36936167050605634</v>
      </c>
      <c r="J19" s="233">
        <f>E19/E5</f>
        <v>0.15500111218210127</v>
      </c>
      <c r="K19" s="233">
        <f>F19/F5</f>
        <v>0.55510324677456424</v>
      </c>
      <c r="L19" s="233">
        <f>G19/G5</f>
        <v>0.32017126081801889</v>
      </c>
    </row>
    <row r="20" spans="2:17" ht="15.75" thickBot="1">
      <c r="B20" s="69" t="s">
        <v>85</v>
      </c>
      <c r="C20" s="226">
        <f>'Income Statement'!G30</f>
        <v>77</v>
      </c>
      <c r="D20" s="226">
        <f>'Income Statement'!F30</f>
        <v>189</v>
      </c>
      <c r="E20" s="226">
        <f>'Income Statement'!E30</f>
        <v>-187</v>
      </c>
      <c r="F20" s="226">
        <f>'Income Statement'!D30</f>
        <v>4058</v>
      </c>
      <c r="G20" s="226">
        <f>'Income Statement'!C30</f>
        <v>4447.2479697546187</v>
      </c>
      <c r="H20" s="229">
        <f>C20/C5</f>
        <v>4.6176911544227889E-3</v>
      </c>
      <c r="I20" s="229">
        <f>D20/D5</f>
        <v>7.0223675410566993E-3</v>
      </c>
      <c r="J20" s="229">
        <f>E20/E5</f>
        <v>-6.9326017646622676E-3</v>
      </c>
      <c r="K20" s="229">
        <f>F20/F5</f>
        <v>6.6609763303896785E-2</v>
      </c>
      <c r="L20" s="229">
        <f>G20/G5</f>
        <v>3.842055129816227E-2</v>
      </c>
    </row>
    <row r="21" spans="2:17" ht="15.75" thickTop="1">
      <c r="B21" s="69" t="s">
        <v>35</v>
      </c>
      <c r="C21" s="223">
        <f>'Income Statement'!G31</f>
        <v>4332</v>
      </c>
      <c r="D21" s="223">
        <f>'Income Statement'!F31</f>
        <v>9752</v>
      </c>
      <c r="E21" s="223">
        <f>'Income Statement'!E31</f>
        <v>4368</v>
      </c>
      <c r="F21" s="223">
        <f>'Income Statement'!D31</f>
        <v>29760</v>
      </c>
      <c r="G21" s="223">
        <f>'Income Statement'!C31</f>
        <v>32613.151778200536</v>
      </c>
      <c r="H21" s="233">
        <f>C21/C5</f>
        <v>0.25979010494752625</v>
      </c>
      <c r="I21" s="233">
        <f>D21/D5</f>
        <v>0.36233930296499961</v>
      </c>
      <c r="J21" s="233">
        <f>E21/E5</f>
        <v>0.16193371394676356</v>
      </c>
      <c r="K21" s="233">
        <f>F21/F5</f>
        <v>0.4884934834706674</v>
      </c>
      <c r="L21" s="233">
        <f>G21/G5</f>
        <v>0.28175070951985659</v>
      </c>
    </row>
    <row r="24" spans="2:17" ht="24">
      <c r="O24" s="240" t="s">
        <v>170</v>
      </c>
    </row>
    <row r="25" spans="2:17" ht="47.25" customHeight="1">
      <c r="B25" s="230" t="s">
        <v>173</v>
      </c>
      <c r="C25" s="231" t="s">
        <v>160</v>
      </c>
      <c r="D25" s="231" t="s">
        <v>161</v>
      </c>
      <c r="E25" s="231" t="s">
        <v>162</v>
      </c>
      <c r="F25" s="231" t="s">
        <v>163</v>
      </c>
      <c r="G25" s="231" t="s">
        <v>164</v>
      </c>
      <c r="H25" s="231" t="s">
        <v>165</v>
      </c>
      <c r="I25" s="231" t="s">
        <v>166</v>
      </c>
      <c r="J25" s="231" t="s">
        <v>167</v>
      </c>
      <c r="K25" s="231" t="s">
        <v>168</v>
      </c>
      <c r="L25" s="231" t="s">
        <v>169</v>
      </c>
      <c r="M25" s="249">
        <v>2021</v>
      </c>
      <c r="N25" s="250">
        <v>2022</v>
      </c>
      <c r="O25" s="250">
        <v>2023</v>
      </c>
      <c r="P25" s="250">
        <v>24</v>
      </c>
      <c r="Q25" s="251">
        <v>25</v>
      </c>
    </row>
    <row r="26" spans="2:17">
      <c r="B26" s="59" t="s">
        <v>2</v>
      </c>
      <c r="C26" s="223">
        <f>'Balance Sheet'!G16</f>
        <v>847</v>
      </c>
      <c r="D26" s="223">
        <f>'Balance Sheet'!F16</f>
        <v>1990</v>
      </c>
      <c r="E26" s="223">
        <f>'Balance Sheet'!E16</f>
        <v>3389</v>
      </c>
      <c r="F26" s="223">
        <f>'Balance Sheet'!D16</f>
        <v>7280</v>
      </c>
      <c r="G26" s="223">
        <f>'Balance Sheet'!C16</f>
        <v>7280</v>
      </c>
      <c r="H26" s="233">
        <f>Table57[[#This Row],[2021]]/C40</f>
        <v>2.9418915633357648E-2</v>
      </c>
      <c r="I26" s="233">
        <f>Table57[[#This Row],[2022]]/D40</f>
        <v>4.5035870278588727E-2</v>
      </c>
      <c r="J26" s="233">
        <f>Table57[[#This Row],[2023]]/E40</f>
        <v>8.2293234908455151E-2</v>
      </c>
      <c r="K26" s="233">
        <f>Table57[[#This Row],[2024]]/F40</f>
        <v>0.11075949367088607</v>
      </c>
      <c r="L26" s="233">
        <f>Table57[[#This Row],[2025]]/G40</f>
        <v>7.3590371897123544E-2</v>
      </c>
      <c r="M26" s="252">
        <f>Table57[[#This Row],[2021]]/$C$7</f>
        <v>8.1473643709118887E-2</v>
      </c>
      <c r="N26" s="233">
        <f>Table57[[#This Row],[2022]]/$D$7</f>
        <v>0.11387696709585121</v>
      </c>
      <c r="O26" s="233">
        <f>Table57[[#This Row],[2023]]/$E$7</f>
        <v>0.22069549361812973</v>
      </c>
      <c r="P26" s="233">
        <f>Table57[[#This Row],[2024]]/$F$7</f>
        <v>0.16433037628947428</v>
      </c>
      <c r="Q26" s="253">
        <f>Table57[[#This Row],[2025]]/$G$7</f>
        <v>9.8270610046668816E-2</v>
      </c>
    </row>
    <row r="27" spans="2:17">
      <c r="B27" s="59" t="s">
        <v>158</v>
      </c>
      <c r="C27" s="223">
        <f>'Balance Sheet'!G17</f>
        <v>10714</v>
      </c>
      <c r="D27" s="223">
        <f>'Balance Sheet'!F17</f>
        <v>19218</v>
      </c>
      <c r="E27" s="223">
        <f>'Balance Sheet'!E17</f>
        <v>9907</v>
      </c>
      <c r="F27" s="223">
        <f>'Balance Sheet'!D17</f>
        <v>18704</v>
      </c>
      <c r="G27" s="223">
        <f>'Balance Sheet'!C17</f>
        <v>40959.92546353837</v>
      </c>
      <c r="H27" s="233">
        <f>Table57[[#This Row],[2021]]/C40</f>
        <v>0.37213017957000449</v>
      </c>
      <c r="I27" s="233">
        <f>Table57[[#This Row],[2022]]/D40</f>
        <v>0.43492429900196888</v>
      </c>
      <c r="J27" s="233">
        <f>Table57[[#This Row],[2023]]/E40</f>
        <v>0.24056626681559906</v>
      </c>
      <c r="K27" s="233">
        <f>Table57[[#This Row],[2024]]/F40</f>
        <v>0.28456669912366117</v>
      </c>
      <c r="L27" s="233">
        <f>Table57[[#This Row],[2025]]/G40</f>
        <v>0.41404617414014411</v>
      </c>
      <c r="M27" s="252">
        <f>Table57[[#This Row],[2021]]/$C$7</f>
        <v>1.0305886879569066</v>
      </c>
      <c r="N27" s="233">
        <f>Table57[[#This Row],[2022]]/$D$7</f>
        <v>1.0997424892703862</v>
      </c>
      <c r="O27" s="233">
        <f>Table57[[#This Row],[2023]]/$E$7</f>
        <v>0.64515498827819739</v>
      </c>
      <c r="P27" s="233">
        <f>Table57[[#This Row],[2024]]/$F$7</f>
        <v>0.42220265908218774</v>
      </c>
      <c r="Q27" s="253">
        <f>Table57[[#This Row],[2025]]/$G$7</f>
        <v>0.55290616246813185</v>
      </c>
    </row>
    <row r="28" spans="2:17">
      <c r="B28" s="59" t="s">
        <v>3</v>
      </c>
      <c r="C28" s="223">
        <f>'Balance Sheet'!G18</f>
        <v>2429</v>
      </c>
      <c r="D28" s="223">
        <f>'Balance Sheet'!F18</f>
        <v>4650</v>
      </c>
      <c r="E28" s="223">
        <f>'Balance Sheet'!E18</f>
        <v>3827</v>
      </c>
      <c r="F28" s="223">
        <f>'Balance Sheet'!D18</f>
        <v>9999</v>
      </c>
      <c r="G28" s="223">
        <f>'Balance Sheet'!C18</f>
        <v>13134.7</v>
      </c>
      <c r="H28" s="233">
        <f>Table57[[#This Row],[2021]]/C40</f>
        <v>8.4366642353513252E-2</v>
      </c>
      <c r="I28" s="233">
        <f>Table57[[#This Row],[2022]]/D40</f>
        <v>0.10523457125398873</v>
      </c>
      <c r="J28" s="233">
        <f>Table57[[#This Row],[2023]]/E40</f>
        <v>9.2928949541061623E-2</v>
      </c>
      <c r="K28" s="233">
        <f>Table57[[#This Row],[2024]]/F40</f>
        <v>0.15212694741966895</v>
      </c>
      <c r="L28" s="233">
        <f>Table57[[#This Row],[2025]]/G40</f>
        <v>0.13277300243916879</v>
      </c>
      <c r="M28" s="252">
        <f>Table57[[#This Row],[2021]]/$C$7</f>
        <v>0.23364755675259716</v>
      </c>
      <c r="N28" s="233">
        <f>Table57[[#This Row],[2022]]/$D$7</f>
        <v>0.26609442060085836</v>
      </c>
      <c r="O28" s="233">
        <f>Table57[[#This Row],[2023]]/$E$7</f>
        <v>0.24921854649648345</v>
      </c>
      <c r="P28" s="233">
        <f>Table57[[#This Row],[2024]]/$F$7</f>
        <v>0.22570596600528206</v>
      </c>
      <c r="Q28" s="253">
        <f>Table57[[#This Row],[2025]]/$G$7</f>
        <v>0.17730150848626114</v>
      </c>
    </row>
    <row r="29" spans="2:17">
      <c r="B29" s="59" t="s">
        <v>4</v>
      </c>
      <c r="C29" s="223">
        <f>'Balance Sheet'!G19</f>
        <v>1826</v>
      </c>
      <c r="D29" s="223">
        <f>'Balance Sheet'!F19</f>
        <v>2605</v>
      </c>
      <c r="E29" s="223">
        <f>'Balance Sheet'!E19</f>
        <v>5159</v>
      </c>
      <c r="F29" s="223">
        <f>'Balance Sheet'!D19</f>
        <v>5282</v>
      </c>
      <c r="G29" s="223">
        <f>'Balance Sheet'!C19</f>
        <v>13088.359177185488</v>
      </c>
      <c r="H29" s="233">
        <f>Table57[[#This Row],[2021]]/C40</f>
        <v>6.3422597339446357E-2</v>
      </c>
      <c r="I29" s="233">
        <f>Table57[[#This Row],[2022]]/D40</f>
        <v>5.8953990992825944E-2</v>
      </c>
      <c r="J29" s="233">
        <f>Table57[[#This Row],[2023]]/E40</f>
        <v>0.1252731776018649</v>
      </c>
      <c r="K29" s="233">
        <f>Table57[[#This Row],[2024]]/F40</f>
        <v>8.0361489776046735E-2</v>
      </c>
      <c r="L29" s="233">
        <f>Table57[[#This Row],[2025]]/G40</f>
        <v>0.13230456310057831</v>
      </c>
      <c r="M29" s="252">
        <f>Table57[[#This Row],[2021]]/$C$7</f>
        <v>0.17564447864563293</v>
      </c>
      <c r="N29" s="233">
        <f>Table57[[#This Row],[2022]]/$D$7</f>
        <v>0.14907010014306152</v>
      </c>
      <c r="O29" s="233">
        <f>Table57[[#This Row],[2023]]/$E$7</f>
        <v>0.33595988538681948</v>
      </c>
      <c r="P29" s="233">
        <f>Table57[[#This Row],[2024]]/$F$7</f>
        <v>0.11922981422541253</v>
      </c>
      <c r="Q29" s="253">
        <f>Table57[[#This Row],[2025]]/$G$7</f>
        <v>0.17667596714999098</v>
      </c>
    </row>
    <row r="30" spans="2:17">
      <c r="B30" s="59" t="s">
        <v>5</v>
      </c>
      <c r="C30" s="223">
        <f>'Balance Sheet'!G20</f>
        <v>239</v>
      </c>
      <c r="D30" s="223">
        <f>'Balance Sheet'!F20</f>
        <v>366</v>
      </c>
      <c r="E30" s="223">
        <f>'Balance Sheet'!E20</f>
        <v>791</v>
      </c>
      <c r="F30" s="223">
        <f>'Balance Sheet'!D20</f>
        <v>3080</v>
      </c>
      <c r="G30" s="224">
        <f>'Balance Sheet'!C20</f>
        <v>3080</v>
      </c>
      <c r="H30" s="227">
        <f>Table57[[#This Row],[2021]]/C40</f>
        <v>8.3012052377479072E-3</v>
      </c>
      <c r="I30" s="227">
        <f>Table57[[#This Row],[2022]]/D40</f>
        <v>8.2829791567655651E-3</v>
      </c>
      <c r="J30" s="227">
        <f>Table57[[#This Row],[2023]]/E40</f>
        <v>1.9207420717789324E-2</v>
      </c>
      <c r="K30" s="227">
        <f>Table57[[#This Row],[2024]]/F40</f>
        <v>4.6859785783836413E-2</v>
      </c>
      <c r="L30" s="227">
        <f>Table57[[#This Row],[2025]]/G40</f>
        <v>3.1134388110321501E-2</v>
      </c>
      <c r="M30" s="252">
        <f>Table57[[#This Row],[2021]]/$C$7</f>
        <v>2.2989611388995766E-2</v>
      </c>
      <c r="N30" s="233">
        <f>Table57[[#This Row],[2022]]/$D$7</f>
        <v>2.0944206008583693E-2</v>
      </c>
      <c r="O30" s="233">
        <f>Table57[[#This Row],[2023]]/$E$7</f>
        <v>5.1510810106798643E-2</v>
      </c>
      <c r="P30" s="233">
        <f>Table57[[#This Row],[2024]]/$F$7</f>
        <v>6.9524389968623729E-2</v>
      </c>
      <c r="Q30" s="253">
        <f>Table57[[#This Row],[2025]]/$G$7</f>
        <v>4.1576027327436808E-2</v>
      </c>
    </row>
    <row r="31" spans="2:17">
      <c r="B31" s="59" t="s">
        <v>6</v>
      </c>
      <c r="C31" s="236">
        <f>'Balance Sheet'!G21</f>
        <v>16055</v>
      </c>
      <c r="D31" s="236">
        <f>'Balance Sheet'!F21</f>
        <v>28829</v>
      </c>
      <c r="E31" s="236">
        <f>'Balance Sheet'!E21</f>
        <v>23073</v>
      </c>
      <c r="F31" s="236">
        <f>'Balance Sheet'!D21</f>
        <v>44345</v>
      </c>
      <c r="G31" s="223">
        <f>'Balance Sheet'!C21</f>
        <v>77542.984640723851</v>
      </c>
      <c r="H31" s="233">
        <f>Table57[[#This Row],[2021]]/C40</f>
        <v>0.55763954013406969</v>
      </c>
      <c r="I31" s="233">
        <f>Table57[[#This Row],[2022]]/D40</f>
        <v>0.65243171068413786</v>
      </c>
      <c r="J31" s="233">
        <f>Table57[[#This Row],[2023]]/E40</f>
        <v>0.56026904958477008</v>
      </c>
      <c r="K31" s="233">
        <f>Table57[[#This Row],[2024]]/F40</f>
        <v>0.67467441577409937</v>
      </c>
      <c r="L31" s="233">
        <f>Table57[[#This Row],[2025]]/G40</f>
        <v>0.78384849968733616</v>
      </c>
      <c r="M31" s="252">
        <f>Table57[[#This Row],[2021]]/$C$7</f>
        <v>1.5443439784532513</v>
      </c>
      <c r="N31" s="233">
        <f>Table57[[#This Row],[2022]]/$D$7</f>
        <v>1.6497281831187411</v>
      </c>
      <c r="O31" s="233">
        <f>Table57[[#This Row],[2023]]/$E$7</f>
        <v>1.5025397238864286</v>
      </c>
      <c r="P31" s="233">
        <f>Table57[[#This Row],[2024]]/$F$7</f>
        <v>1.0009932055709803</v>
      </c>
      <c r="Q31" s="253">
        <f>Table57[[#This Row],[2025]]/$G$7</f>
        <v>1.0467302754784895</v>
      </c>
    </row>
    <row r="32" spans="2:17">
      <c r="C32" s="223"/>
      <c r="D32" s="223"/>
      <c r="E32" s="223"/>
      <c r="F32" s="223"/>
      <c r="G32" s="223"/>
      <c r="H32" s="233"/>
      <c r="I32" s="234"/>
      <c r="J32" s="233"/>
      <c r="K32" s="233"/>
      <c r="L32" s="233"/>
      <c r="M32" s="252"/>
      <c r="N32" s="233"/>
      <c r="O32" s="233"/>
      <c r="P32" s="233"/>
      <c r="Q32" s="253"/>
    </row>
    <row r="33" spans="2:17">
      <c r="B33" s="59" t="s">
        <v>7</v>
      </c>
      <c r="C33" s="223">
        <f>'Balance Sheet'!G22</f>
        <v>2149</v>
      </c>
      <c r="D33" s="223">
        <f>'Balance Sheet'!F22</f>
        <v>2778</v>
      </c>
      <c r="E33" s="223">
        <f>'Balance Sheet'!E22</f>
        <v>3807</v>
      </c>
      <c r="F33" s="223">
        <f>'Balance Sheet'!D22</f>
        <v>3914</v>
      </c>
      <c r="G33" s="223">
        <f>'Balance Sheet'!C22</f>
        <v>3914</v>
      </c>
      <c r="H33" s="233">
        <f>Table57[[#This Row],[2021]]/C40</f>
        <v>7.4641380987114023E-2</v>
      </c>
      <c r="I33" s="233">
        <f>Table57[[#This Row],[2022]]/D40</f>
        <v>6.2869169665286176E-2</v>
      </c>
      <c r="J33" s="233">
        <f>Table57[[#This Row],[2023]]/E40</f>
        <v>9.2443300471079598E-2</v>
      </c>
      <c r="K33" s="233">
        <f>Table57[[#This Row],[2024]]/F40</f>
        <v>5.954844206426485E-2</v>
      </c>
      <c r="L33" s="233">
        <f>Table57[[#This Row],[2025]]/G40</f>
        <v>3.9564933462272189E-2</v>
      </c>
      <c r="M33" s="252"/>
      <c r="N33" s="233"/>
      <c r="O33" s="233"/>
      <c r="P33" s="233"/>
      <c r="Q33" s="253"/>
    </row>
    <row r="34" spans="2:17">
      <c r="B34" s="59" t="s">
        <v>8</v>
      </c>
      <c r="C34" s="223">
        <f>'Balance Sheet'!G23</f>
        <v>707</v>
      </c>
      <c r="D34" s="223">
        <f>'Balance Sheet'!F23</f>
        <v>829</v>
      </c>
      <c r="E34" s="223">
        <f>'Balance Sheet'!E23</f>
        <v>1038</v>
      </c>
      <c r="F34" s="223">
        <f>'Balance Sheet'!D23</f>
        <v>1346</v>
      </c>
      <c r="G34" s="223">
        <f>'Balance Sheet'!C23</f>
        <v>1346</v>
      </c>
      <c r="H34" s="233">
        <f>Table57[[#This Row],[2021]]/C40</f>
        <v>2.4556284950158037E-2</v>
      </c>
      <c r="I34" s="233">
        <f>Table57[[#This Row],[2022]]/D40</f>
        <v>1.8761174100979928E-2</v>
      </c>
      <c r="J34" s="233">
        <f>Table57[[#This Row],[2023]]/E40</f>
        <v>2.5205186732067408E-2</v>
      </c>
      <c r="K34" s="233">
        <f>Table57[[#This Row],[2024]]/F40</f>
        <v>2.0478334956183057E-2</v>
      </c>
      <c r="L34" s="233">
        <f>Table57[[#This Row],[2025]]/G40</f>
        <v>1.3606131946913227E-2</v>
      </c>
      <c r="M34" s="252"/>
      <c r="N34" s="233"/>
      <c r="O34" s="233"/>
      <c r="P34" s="233"/>
      <c r="Q34" s="253"/>
    </row>
    <row r="35" spans="2:17">
      <c r="B35" s="59" t="s">
        <v>9</v>
      </c>
      <c r="C35" s="223">
        <f>'Balance Sheet'!G24</f>
        <v>4193</v>
      </c>
      <c r="D35" s="223">
        <f>'Balance Sheet'!F24</f>
        <v>4349</v>
      </c>
      <c r="E35" s="223">
        <f>'Balance Sheet'!E24</f>
        <v>4372</v>
      </c>
      <c r="F35" s="223">
        <f>'Balance Sheet'!D24</f>
        <v>4430</v>
      </c>
      <c r="G35" s="223">
        <f>'Balance Sheet'!C24</f>
        <v>4430</v>
      </c>
      <c r="H35" s="233">
        <f>Table57[[#This Row],[2021]]/C40</f>
        <v>0.14563578896182836</v>
      </c>
      <c r="I35" s="233">
        <f>Table57[[#This Row],[2022]]/D40</f>
        <v>9.8422612985719776E-2</v>
      </c>
      <c r="J35" s="233">
        <f>Table57[[#This Row],[2023]]/E40</f>
        <v>0.10616288669807197</v>
      </c>
      <c r="K35" s="233">
        <f>Table57[[#This Row],[2024]]/F40</f>
        <v>6.739897760467381E-2</v>
      </c>
      <c r="L35" s="233">
        <f>Table57[[#This Row],[2025]]/G40</f>
        <v>4.4780954327507873E-2</v>
      </c>
      <c r="M35" s="252"/>
      <c r="N35" s="233"/>
      <c r="O35" s="233"/>
      <c r="P35" s="233"/>
      <c r="Q35" s="253"/>
    </row>
    <row r="36" spans="2:17">
      <c r="B36" s="59" t="s">
        <v>10</v>
      </c>
      <c r="C36" s="223">
        <f>'Balance Sheet'!G25</f>
        <v>2737</v>
      </c>
      <c r="D36" s="223">
        <f>'Balance Sheet'!F25</f>
        <v>2339</v>
      </c>
      <c r="E36" s="223">
        <f>'Balance Sheet'!E25</f>
        <v>1676</v>
      </c>
      <c r="F36" s="223">
        <f>'Balance Sheet'!D25</f>
        <v>1112</v>
      </c>
      <c r="G36" s="223">
        <f>'Balance Sheet'!C25</f>
        <v>1112</v>
      </c>
      <c r="H36" s="233">
        <f>Table57[[#This Row],[2021]]/C40</f>
        <v>9.506442985655239E-2</v>
      </c>
      <c r="I36" s="233">
        <f>Table57[[#This Row],[2022]]/D40</f>
        <v>5.2934120895285944E-2</v>
      </c>
      <c r="J36" s="233">
        <f>Table57[[#This Row],[2023]]/E40</f>
        <v>4.0697392064494194E-2</v>
      </c>
      <c r="K36" s="233">
        <f>Table57[[#This Row],[2024]]/F40</f>
        <v>1.6918208373904578E-2</v>
      </c>
      <c r="L36" s="233">
        <f>Table57[[#This Row],[2025]]/G40</f>
        <v>1.1240727135934256E-2</v>
      </c>
      <c r="M36" s="252"/>
      <c r="N36" s="233"/>
      <c r="O36" s="233"/>
      <c r="P36" s="233"/>
      <c r="Q36" s="253"/>
    </row>
    <row r="37" spans="2:17">
      <c r="B37" s="59" t="s">
        <v>11</v>
      </c>
      <c r="C37" s="223">
        <f>'Balance Sheet'!G26</f>
        <v>806</v>
      </c>
      <c r="D37" s="223">
        <f>'Balance Sheet'!F26</f>
        <v>1222</v>
      </c>
      <c r="E37" s="223">
        <f>'Balance Sheet'!E26</f>
        <v>3396</v>
      </c>
      <c r="F37" s="223">
        <f>'Balance Sheet'!D26</f>
        <v>6081</v>
      </c>
      <c r="G37" s="223">
        <f>'Balance Sheet'!C26</f>
        <v>6081</v>
      </c>
      <c r="H37" s="233">
        <f>Table57[[#This Row],[2021]]/C40</f>
        <v>2.7994859504706333E-2</v>
      </c>
      <c r="I37" s="233">
        <f>Table57[[#This Row],[2022]]/D40</f>
        <v>2.7655192703736394E-2</v>
      </c>
      <c r="J37" s="233">
        <f>Table57[[#This Row],[2023]]/E40</f>
        <v>8.2463212082948864E-2</v>
      </c>
      <c r="K37" s="233">
        <f>Table57[[#This Row],[2024]]/F40</f>
        <v>9.2517648490749754E-2</v>
      </c>
      <c r="L37" s="233">
        <f>Table57[[#This Row],[2025]]/G40</f>
        <v>6.1470199382748392E-2</v>
      </c>
      <c r="M37" s="252"/>
      <c r="N37" s="233"/>
      <c r="O37" s="233"/>
      <c r="P37" s="233"/>
      <c r="Q37" s="253"/>
    </row>
    <row r="38" spans="2:17">
      <c r="B38" s="59" t="s">
        <v>12</v>
      </c>
      <c r="C38" s="223">
        <f>'Balance Sheet'!G27</f>
        <v>2144</v>
      </c>
      <c r="D38" s="223">
        <f>'Balance Sheet'!F27</f>
        <v>3841</v>
      </c>
      <c r="E38" s="223">
        <f>'Balance Sheet'!E27</f>
        <v>3820</v>
      </c>
      <c r="F38" s="223">
        <f>'Balance Sheet'!D27</f>
        <v>4500</v>
      </c>
      <c r="G38" s="223">
        <f>'Balance Sheet'!C27</f>
        <v>4500</v>
      </c>
      <c r="H38" s="233">
        <f>Table57[[#This Row],[2021]]/C40</f>
        <v>7.446771560557118E-2</v>
      </c>
      <c r="I38" s="233">
        <f>Table57[[#This Row],[2022]]/D40</f>
        <v>8.6926018964853913E-2</v>
      </c>
      <c r="J38" s="233">
        <f>Table57[[#This Row],[2023]]/E40</f>
        <v>9.2758972366567924E-2</v>
      </c>
      <c r="K38" s="233">
        <f>Table57[[#This Row],[2024]]/F40</f>
        <v>6.8463972736124631E-2</v>
      </c>
      <c r="L38" s="233">
        <f>Table57[[#This Row],[2025]]/G40</f>
        <v>4.5488554057287904E-2</v>
      </c>
      <c r="M38" s="252"/>
      <c r="N38" s="233"/>
      <c r="O38" s="233"/>
      <c r="P38" s="233"/>
      <c r="Q38" s="253"/>
    </row>
    <row r="39" spans="2:17">
      <c r="C39" s="223"/>
      <c r="D39" s="223"/>
      <c r="E39" s="223"/>
      <c r="F39" s="223"/>
      <c r="G39" s="223"/>
      <c r="H39" s="233"/>
      <c r="I39" s="233"/>
      <c r="J39" s="233"/>
      <c r="K39" s="233"/>
      <c r="L39" s="233"/>
      <c r="M39" s="252"/>
      <c r="N39" s="233"/>
      <c r="O39" s="233"/>
      <c r="P39" s="233"/>
      <c r="Q39" s="253"/>
    </row>
    <row r="40" spans="2:17" ht="15.75" thickBot="1">
      <c r="B40" s="59" t="s">
        <v>13</v>
      </c>
      <c r="C40" s="238">
        <f>'Balance Sheet'!G28</f>
        <v>28791</v>
      </c>
      <c r="D40" s="238">
        <f>'Balance Sheet'!F28</f>
        <v>44187</v>
      </c>
      <c r="E40" s="238">
        <f>'Balance Sheet'!E28</f>
        <v>41182</v>
      </c>
      <c r="F40" s="238">
        <f>'Balance Sheet'!D28</f>
        <v>65728</v>
      </c>
      <c r="G40" s="238">
        <f>'Balance Sheet'!C28</f>
        <v>98925.984640723851</v>
      </c>
      <c r="H40" s="239">
        <f>Table57[[#This Row],[2021]]/C40</f>
        <v>1</v>
      </c>
      <c r="I40" s="239">
        <f>Table57[[#This Row],[2022]]/D40</f>
        <v>1</v>
      </c>
      <c r="J40" s="239">
        <f>Table57[[#This Row],[2023]]/E40</f>
        <v>1</v>
      </c>
      <c r="K40" s="239">
        <f>Table57[[#This Row],[2024]]/F40</f>
        <v>1</v>
      </c>
      <c r="L40" s="239">
        <f>Table57[[#This Row],[2025]]/G40</f>
        <v>1</v>
      </c>
      <c r="M40" s="252"/>
      <c r="N40" s="233"/>
      <c r="O40" s="233"/>
      <c r="P40" s="233"/>
      <c r="Q40" s="253"/>
    </row>
    <row r="41" spans="2:17" ht="15.75" thickTop="1">
      <c r="C41" s="223"/>
      <c r="D41" s="223"/>
      <c r="E41" s="223"/>
      <c r="F41" s="223"/>
      <c r="G41" s="223"/>
      <c r="H41" s="233"/>
      <c r="I41" s="233"/>
      <c r="J41" s="233"/>
      <c r="K41" s="233"/>
      <c r="L41" s="233"/>
      <c r="M41" s="252"/>
      <c r="N41" s="233"/>
      <c r="O41" s="233"/>
      <c r="P41" s="233"/>
      <c r="Q41" s="253"/>
    </row>
    <row r="42" spans="2:17">
      <c r="B42" s="59" t="s">
        <v>16</v>
      </c>
      <c r="C42" s="223">
        <f>'Balance Sheet'!G31</f>
        <v>1149</v>
      </c>
      <c r="D42" s="223">
        <f>'Balance Sheet'!F31</f>
        <v>1783</v>
      </c>
      <c r="E42" s="223">
        <f>'Balance Sheet'!E31</f>
        <v>1193</v>
      </c>
      <c r="F42" s="223">
        <f>'Balance Sheet'!D31</f>
        <v>2699</v>
      </c>
      <c r="G42" s="223">
        <f>'Balance Sheet'!C31</f>
        <v>4878.8328625233125</v>
      </c>
      <c r="H42" s="233">
        <f>Table57[[#This Row],[2021]]/C60</f>
        <v>3.9908304678545378E-2</v>
      </c>
      <c r="I42" s="233">
        <f>Table57[[#This Row],[2022]]/D60</f>
        <v>4.0351234525991805E-2</v>
      </c>
      <c r="J42" s="233">
        <f>Table57[[#This Row],[2023]]/E60</f>
        <v>2.8968967024428149E-2</v>
      </c>
      <c r="K42" s="233">
        <f>Table57[[#This Row],[2024]]/F60</f>
        <v>4.1063169425511199E-2</v>
      </c>
      <c r="L42" s="233">
        <f>Table57[[#This Row],[2025]]/G60</f>
        <v>4.9318011645192089E-2</v>
      </c>
      <c r="M42" s="252">
        <f>Table57[[#This Row],[2021]]/$C$7</f>
        <v>0.11052327818391688</v>
      </c>
      <c r="N42" s="233">
        <f>Table57[[#This Row],[2022]]/$D$7</f>
        <v>0.10203147353361945</v>
      </c>
      <c r="O42" s="233">
        <f>Table57[[#This Row],[2023]]/$E$7</f>
        <v>7.7689502474602767E-2</v>
      </c>
      <c r="P42" s="233">
        <f>Table57[[#This Row],[2024]]/$F$7</f>
        <v>6.0924132638089434E-2</v>
      </c>
      <c r="Q42" s="253">
        <f>Table57[[#This Row],[2025]]/$G$7</f>
        <v>6.585795078515129E-2</v>
      </c>
    </row>
    <row r="43" spans="2:17">
      <c r="B43" s="59" t="s">
        <v>17</v>
      </c>
      <c r="C43" s="223">
        <f>'Balance Sheet'!G32</f>
        <v>1777</v>
      </c>
      <c r="D43" s="223">
        <f>'Balance Sheet'!F32</f>
        <v>2552</v>
      </c>
      <c r="E43" s="223">
        <f>'Balance Sheet'!E32</f>
        <v>4120</v>
      </c>
      <c r="F43" s="223">
        <f>'Balance Sheet'!D32</f>
        <v>6682</v>
      </c>
      <c r="G43" s="223">
        <f>'Balance Sheet'!C32</f>
        <v>6682</v>
      </c>
      <c r="H43" s="233">
        <f>Table57[[#This Row],[2021]]/C60</f>
        <v>6.1720676600326492E-2</v>
      </c>
      <c r="I43" s="233">
        <f>Table57[[#This Row],[2022]]/D60</f>
        <v>5.7754543191436393E-2</v>
      </c>
      <c r="J43" s="233">
        <f>Table57[[#This Row],[2023]]/E60</f>
        <v>0.10004370841629838</v>
      </c>
      <c r="K43" s="233">
        <f>Table57[[#This Row],[2024]]/F60</f>
        <v>0.10166139240506329</v>
      </c>
      <c r="L43" s="233">
        <f>Table57[[#This Row],[2025]]/G60</f>
        <v>6.7545448491288393E-2</v>
      </c>
      <c r="M43" s="252">
        <f>Table57[[#This Row],[2021]]/$C$7</f>
        <v>0.17093112735667565</v>
      </c>
      <c r="N43" s="233">
        <f>Table57[[#This Row],[2022]]/$D$7</f>
        <v>0.14603719599427753</v>
      </c>
      <c r="O43" s="233">
        <f>Table57[[#This Row],[2023]]/$E$7</f>
        <v>0.26829903620734569</v>
      </c>
      <c r="P43" s="233">
        <f>Table57[[#This Row],[2024]]/$F$7</f>
        <v>0.15083180966569604</v>
      </c>
      <c r="Q43" s="253">
        <f>Table57[[#This Row],[2025]]/$G$7</f>
        <v>9.0198381364263877E-2</v>
      </c>
    </row>
    <row r="44" spans="2:17">
      <c r="B44" s="59" t="s">
        <v>18</v>
      </c>
      <c r="C44" s="224">
        <f>'Balance Sheet'!G33</f>
        <v>999</v>
      </c>
      <c r="D44" s="224" t="str">
        <f>'Balance Sheet'!F33</f>
        <v>— </v>
      </c>
      <c r="E44" s="224">
        <f>'Balance Sheet'!E33</f>
        <v>1250</v>
      </c>
      <c r="F44" s="224">
        <f>'Balance Sheet'!D33</f>
        <v>1250</v>
      </c>
      <c r="G44" s="223">
        <f>'Balance Sheet'!C33</f>
        <v>1250</v>
      </c>
      <c r="H44" s="227">
        <f>Table57[[#This Row],[2021]]/C60</f>
        <v>3.4698343232260079E-2</v>
      </c>
      <c r="I44" s="227"/>
      <c r="J44" s="227">
        <f>Table57[[#This Row],[2023]]/E60</f>
        <v>3.0353066873876938E-2</v>
      </c>
      <c r="K44" s="227">
        <f>Table57[[#This Row],[2024]]/F60</f>
        <v>1.9017770204479065E-2</v>
      </c>
      <c r="L44" s="227">
        <f>Table57[[#This Row],[2025]]/G60</f>
        <v>1.2635709460357752E-2</v>
      </c>
      <c r="M44" s="252"/>
      <c r="N44" s="233"/>
      <c r="O44" s="233"/>
      <c r="P44" s="233"/>
      <c r="Q44" s="253"/>
    </row>
    <row r="45" spans="2:17">
      <c r="B45" s="59" t="s">
        <v>19</v>
      </c>
      <c r="C45" s="223">
        <f>'Balance Sheet'!G34</f>
        <v>3925</v>
      </c>
      <c r="D45" s="223">
        <f>'Balance Sheet'!F34</f>
        <v>4335</v>
      </c>
      <c r="E45" s="223">
        <f>'Balance Sheet'!E34</f>
        <v>6563</v>
      </c>
      <c r="F45" s="223">
        <f>'Balance Sheet'!D34</f>
        <v>10631</v>
      </c>
      <c r="G45" s="236">
        <f>'Balance Sheet'!C34</f>
        <v>12810.832862523312</v>
      </c>
      <c r="H45" s="233">
        <f>Table57[[#This Row],[2021]]/C60</f>
        <v>0.13632732451113194</v>
      </c>
      <c r="I45" s="233">
        <f>Table57[[#This Row],[2022]]/D60</f>
        <v>9.8105777717428205E-2</v>
      </c>
      <c r="J45" s="233">
        <f>Table57[[#This Row],[2023]]/E60</f>
        <v>0.15936574231460346</v>
      </c>
      <c r="K45" s="233">
        <f>Table57[[#This Row],[2024]]/F60</f>
        <v>0.16174233203505356</v>
      </c>
      <c r="L45" s="233">
        <f>Table57[[#This Row],[2025]]/G60</f>
        <v>0.12949916959683822</v>
      </c>
      <c r="M45" s="252">
        <f>Table57[[#This Row],[2021]]/$C$7</f>
        <v>0.3775490573297422</v>
      </c>
      <c r="N45" s="233">
        <f>Table57[[#This Row],[2022]]/$D$7</f>
        <v>0.248068669527897</v>
      </c>
      <c r="O45" s="233">
        <f>Table57[[#This Row],[2023]]/$E$7</f>
        <v>0.42738994529825475</v>
      </c>
      <c r="P45" s="233">
        <f>Table57[[#This Row],[2024]]/$F$7</f>
        <v>0.23997200966118146</v>
      </c>
      <c r="Q45" s="253">
        <f>Table57[[#This Row],[2025]]/$G$7</f>
        <v>0.1729297198634723</v>
      </c>
    </row>
    <row r="46" spans="2:17">
      <c r="C46" s="223"/>
      <c r="D46" s="223"/>
      <c r="E46" s="223"/>
      <c r="F46" s="223"/>
      <c r="G46" s="223"/>
      <c r="H46" s="233"/>
      <c r="I46" s="233"/>
      <c r="J46" s="233"/>
      <c r="K46" s="233"/>
      <c r="L46" s="233"/>
      <c r="M46" s="252"/>
      <c r="N46" s="233"/>
      <c r="O46" s="233"/>
      <c r="P46" s="233"/>
      <c r="Q46" s="253"/>
    </row>
    <row r="47" spans="2:17">
      <c r="B47" s="59" t="s">
        <v>20</v>
      </c>
      <c r="C47" s="223">
        <f>'Balance Sheet'!G35</f>
        <v>5964</v>
      </c>
      <c r="D47" s="223">
        <f>'Balance Sheet'!F35</f>
        <v>10946</v>
      </c>
      <c r="E47" s="223">
        <f>'Balance Sheet'!E35</f>
        <v>9703</v>
      </c>
      <c r="F47" s="223">
        <f>'Balance Sheet'!D35</f>
        <v>8459</v>
      </c>
      <c r="G47" s="223">
        <f>'Balance Sheet'!C35</f>
        <v>7259</v>
      </c>
      <c r="H47" s="233">
        <f>Table57[[#This Row],[2021]]/C60</f>
        <v>0.20714806710430342</v>
      </c>
      <c r="I47" s="233">
        <f>Table57[[#This Row],[2022]]/D60</f>
        <v>0.24771991762283024</v>
      </c>
      <c r="J47" s="233">
        <f>Table57[[#This Row],[2023]]/E60</f>
        <v>0.23561264630178233</v>
      </c>
      <c r="K47" s="233">
        <f>Table57[[#This Row],[2024]]/F60</f>
        <v>0.12869705452775074</v>
      </c>
      <c r="L47" s="233">
        <f>Table57[[#This Row],[2025]]/G60</f>
        <v>7.3378091978189536E-2</v>
      </c>
      <c r="M47" s="252">
        <f>Table57[[#This Row],[2021]]/$C$7</f>
        <v>0.57368218545594463</v>
      </c>
      <c r="N47" s="233">
        <f>Table57[[#This Row],[2022]]/$D$7</f>
        <v>0.6263805436337625</v>
      </c>
      <c r="O47" s="233">
        <f>Table57[[#This Row],[2023]]/$E$7</f>
        <v>0.63187027871841628</v>
      </c>
      <c r="P47" s="233">
        <f>Table57[[#This Row],[2024]]/$F$7</f>
        <v>0.19094377102097018</v>
      </c>
      <c r="Q47" s="253">
        <f>Table57[[#This Row],[2025]]/$G$7</f>
        <v>9.7987137133072652E-2</v>
      </c>
    </row>
    <row r="48" spans="2:17">
      <c r="B48" s="59" t="s">
        <v>21</v>
      </c>
      <c r="C48" s="223">
        <f>'Balance Sheet'!G36</f>
        <v>634</v>
      </c>
      <c r="D48" s="223">
        <f>'Balance Sheet'!F36</f>
        <v>741</v>
      </c>
      <c r="E48" s="223">
        <f>'Balance Sheet'!E36</f>
        <v>902</v>
      </c>
      <c r="F48" s="223">
        <f>'Balance Sheet'!D36</f>
        <v>1119</v>
      </c>
      <c r="G48" s="223">
        <f>'Balance Sheet'!C36</f>
        <v>1119</v>
      </c>
      <c r="H48" s="233">
        <f>Table57[[#This Row],[2021]]/C60</f>
        <v>2.2020770379632525E-2</v>
      </c>
      <c r="I48" s="233">
        <f>Table57[[#This Row],[2022]]/D60</f>
        <v>1.6769638128861428E-2</v>
      </c>
      <c r="J48" s="233">
        <f>Table57[[#This Row],[2023]]/E60</f>
        <v>2.1902773056189598E-2</v>
      </c>
      <c r="K48" s="233">
        <f>Table57[[#This Row],[2024]]/F60</f>
        <v>1.7024707887049659E-2</v>
      </c>
      <c r="L48" s="233">
        <f>Table57[[#This Row],[2025]]/G60</f>
        <v>1.131148710891226E-2</v>
      </c>
      <c r="M48" s="252">
        <f>Table57[[#This Row],[2021]]/$C$7</f>
        <v>6.0984994228549444E-2</v>
      </c>
      <c r="N48" s="233">
        <f>Table57[[#This Row],[2022]]/$D$7</f>
        <v>4.2403433476394851E-2</v>
      </c>
      <c r="O48" s="233">
        <f>Table57[[#This Row],[2023]]/$E$7</f>
        <v>5.8739255014326648E-2</v>
      </c>
      <c r="P48" s="233">
        <f>Table57[[#This Row],[2024]]/$F$7</f>
        <v>2.5259023498340895E-2</v>
      </c>
      <c r="Q48" s="253">
        <f>Table57[[#This Row],[2025]]/$G$7</f>
        <v>1.5105056681623957E-2</v>
      </c>
    </row>
    <row r="49" spans="2:17">
      <c r="B49" s="59" t="s">
        <v>22</v>
      </c>
      <c r="C49" s="223">
        <f>'Balance Sheet'!G37</f>
        <v>1375</v>
      </c>
      <c r="D49" s="223">
        <f>'Balance Sheet'!F37</f>
        <v>1553</v>
      </c>
      <c r="E49" s="223">
        <f>'Balance Sheet'!E37</f>
        <v>1913</v>
      </c>
      <c r="F49" s="223">
        <f>'Balance Sheet'!D37</f>
        <v>2541</v>
      </c>
      <c r="G49" s="223">
        <f>'Balance Sheet'!C37</f>
        <v>2541</v>
      </c>
      <c r="H49" s="233">
        <f>Table57[[#This Row],[2021]]/C60</f>
        <v>4.7757979924281893E-2</v>
      </c>
      <c r="I49" s="233">
        <f>Table57[[#This Row],[2022]]/D60</f>
        <v>3.5146083689773011E-2</v>
      </c>
      <c r="J49" s="233">
        <f>Table57[[#This Row],[2023]]/E60</f>
        <v>4.6452333543781262E-2</v>
      </c>
      <c r="K49" s="233">
        <f>Table57[[#This Row],[2024]]/F60</f>
        <v>3.8659323271665047E-2</v>
      </c>
      <c r="L49" s="233">
        <f>Table57[[#This Row],[2025]]/G60</f>
        <v>2.5685870191015238E-2</v>
      </c>
      <c r="M49" s="252">
        <f>Table57[[#This Row],[2021]]/$C$7</f>
        <v>0.13226240861869951</v>
      </c>
      <c r="N49" s="233">
        <f>Table57[[#This Row],[2022]]/$D$7</f>
        <v>8.8869814020028609E-2</v>
      </c>
      <c r="O49" s="233">
        <f>Table57[[#This Row],[2023]]/$E$7</f>
        <v>0.12457671268559521</v>
      </c>
      <c r="P49" s="233">
        <f>Table57[[#This Row],[2024]]/$F$7</f>
        <v>5.7357621724114578E-2</v>
      </c>
      <c r="Q49" s="253">
        <f>Table57[[#This Row],[2025]]/$G$7</f>
        <v>3.4300222545135366E-2</v>
      </c>
    </row>
    <row r="50" spans="2:17">
      <c r="B50" s="59" t="s">
        <v>141</v>
      </c>
      <c r="C50" s="225">
        <f>'Balance Sheet'!G38</f>
        <v>7973</v>
      </c>
      <c r="D50" s="225">
        <f>'Balance Sheet'!F38</f>
        <v>13240</v>
      </c>
      <c r="E50" s="225">
        <f>'Balance Sheet'!E38</f>
        <v>12518</v>
      </c>
      <c r="F50" s="225">
        <f>'Balance Sheet'!D38</f>
        <v>12119</v>
      </c>
      <c r="G50" s="225">
        <f>'Balance Sheet'!C38</f>
        <v>10919</v>
      </c>
      <c r="H50" s="228">
        <f>Table57[[#This Row],[2021]]/C60</f>
        <v>0.27692681740821784</v>
      </c>
      <c r="I50" s="228">
        <f>Table57[[#This Row],[2022]]/D60</f>
        <v>0.29963563944146471</v>
      </c>
      <c r="J50" s="228">
        <f>Table57[[#This Row],[2023]]/E60</f>
        <v>0.30396775290175321</v>
      </c>
      <c r="K50" s="228">
        <f>Table57[[#This Row],[2024]]/F60</f>
        <v>0.18438108568646544</v>
      </c>
      <c r="L50" s="228">
        <f>Table57[[#This Row],[2025]]/G60</f>
        <v>0.11037544927811703</v>
      </c>
      <c r="M50" s="252">
        <f>Table57[[#This Row],[2021]]/$C$7</f>
        <v>0.76692958830319358</v>
      </c>
      <c r="N50" s="233">
        <f>Table57[[#This Row],[2022]]/$D$7</f>
        <v>0.75765379113018594</v>
      </c>
      <c r="O50" s="233">
        <f>Table57[[#This Row],[2023]]/$E$7</f>
        <v>0.81518624641833815</v>
      </c>
      <c r="P50" s="233">
        <f>Table57[[#This Row],[2024]]/$F$7</f>
        <v>0.27356041624342564</v>
      </c>
      <c r="Q50" s="253">
        <f>Table57[[#This Row],[2025]]/$G$7</f>
        <v>0.14739241635983197</v>
      </c>
    </row>
    <row r="51" spans="2:17">
      <c r="B51" s="59" t="s">
        <v>23</v>
      </c>
      <c r="C51" s="223">
        <f>'Balance Sheet'!G39</f>
        <v>11898</v>
      </c>
      <c r="D51" s="223">
        <f>'Balance Sheet'!F39</f>
        <v>17575</v>
      </c>
      <c r="E51" s="223">
        <f>'Balance Sheet'!E39</f>
        <v>19081</v>
      </c>
      <c r="F51" s="223">
        <f>'Balance Sheet'!D39</f>
        <v>22750</v>
      </c>
      <c r="G51" s="223">
        <f>'Balance Sheet'!C39</f>
        <v>23729.832862523312</v>
      </c>
      <c r="H51" s="233">
        <f>Table57[[#This Row],[2021]]/C60</f>
        <v>0.41325414191934978</v>
      </c>
      <c r="I51" s="233">
        <f>Table57[[#This Row],[2022]]/D60</f>
        <v>0.39774141715889288</v>
      </c>
      <c r="J51" s="233">
        <f>Table57[[#This Row],[2023]]/E60</f>
        <v>0.46333349521635664</v>
      </c>
      <c r="K51" s="233">
        <f>Table57[[#This Row],[2024]]/F60</f>
        <v>0.346123417721519</v>
      </c>
      <c r="L51" s="233">
        <f>Table57[[#This Row],[2025]]/G60</f>
        <v>0.23987461887495526</v>
      </c>
      <c r="M51" s="252">
        <f>Table57[[#This Row],[2021]]/$C$7</f>
        <v>1.1444786456329357</v>
      </c>
      <c r="N51" s="233">
        <f>Table57[[#This Row],[2022]]/$D$7</f>
        <v>1.005722460658083</v>
      </c>
      <c r="O51" s="233">
        <f>Table57[[#This Row],[2023]]/$E$7</f>
        <v>1.2425761917165929</v>
      </c>
      <c r="P51" s="233">
        <f>Table57[[#This Row],[2024]]/$F$7</f>
        <v>0.51353242590460713</v>
      </c>
      <c r="Q51" s="253">
        <f>Table57[[#This Row],[2025]]/$G$7</f>
        <v>0.3203221362233043</v>
      </c>
    </row>
    <row r="52" spans="2:17">
      <c r="C52" s="223"/>
      <c r="D52" s="223"/>
      <c r="E52" s="223"/>
      <c r="F52" s="223"/>
      <c r="G52" s="223"/>
      <c r="H52" s="233"/>
      <c r="I52" s="233"/>
      <c r="J52" s="233"/>
      <c r="K52" s="233"/>
      <c r="L52" s="233"/>
      <c r="M52" s="252"/>
      <c r="N52" s="233"/>
      <c r="O52" s="233"/>
      <c r="P52" s="233"/>
      <c r="Q52" s="253"/>
    </row>
    <row r="53" spans="2:17" ht="39" customHeight="1">
      <c r="B53" s="59" t="s">
        <v>26</v>
      </c>
      <c r="C53" s="223" t="str">
        <f>'Balance Sheet'!G42</f>
        <v>— </v>
      </c>
      <c r="D53" s="223" t="str">
        <f>'Balance Sheet'!F42</f>
        <v>— </v>
      </c>
      <c r="E53" s="223" t="str">
        <f>'Balance Sheet'!E42</f>
        <v>— </v>
      </c>
      <c r="F53" s="223" t="str">
        <f>'Balance Sheet'!D42</f>
        <v>— </v>
      </c>
      <c r="G53" s="223" t="str">
        <f>'Balance Sheet'!C42</f>
        <v>— </v>
      </c>
      <c r="H53" s="233"/>
      <c r="I53" s="233"/>
      <c r="J53" s="233"/>
      <c r="K53" s="233"/>
      <c r="L53" s="233"/>
      <c r="M53" s="252"/>
      <c r="N53" s="233"/>
      <c r="O53" s="233"/>
      <c r="P53" s="233"/>
      <c r="Q53" s="253"/>
    </row>
    <row r="54" spans="2:17" ht="45" customHeight="1">
      <c r="B54" s="59" t="s">
        <v>28</v>
      </c>
      <c r="C54" s="223">
        <f>'Balance Sheet'!G43</f>
        <v>3</v>
      </c>
      <c r="D54" s="223">
        <f>'Balance Sheet'!F43</f>
        <v>3</v>
      </c>
      <c r="E54" s="223">
        <f>'Balance Sheet'!E43</f>
        <v>2</v>
      </c>
      <c r="F54" s="223">
        <f>'Balance Sheet'!D43</f>
        <v>2</v>
      </c>
      <c r="G54" s="223">
        <f>'Balance Sheet'!C43</f>
        <v>2</v>
      </c>
      <c r="H54" s="264">
        <f>Table57[[#This Row],[2021]]/C60</f>
        <v>1.0419922892570594E-4</v>
      </c>
      <c r="I54" s="264">
        <f>Table57[[#This Row],[2022]]/D60</f>
        <v>6.7893271776766926E-5</v>
      </c>
      <c r="J54" s="264">
        <f>Table57[[#This Row],[2023]]/E60</f>
        <v>4.8564906998203096E-5</v>
      </c>
      <c r="K54" s="264">
        <f>Table57[[#This Row],[2024]]/F60</f>
        <v>3.0428432327166505E-5</v>
      </c>
      <c r="L54" s="264">
        <f>Table57[[#This Row],[2025]]/G60</f>
        <v>2.0217135136572403E-5</v>
      </c>
      <c r="M54" s="252"/>
      <c r="N54" s="233"/>
      <c r="O54" s="233"/>
      <c r="P54" s="233"/>
      <c r="Q54" s="253"/>
    </row>
    <row r="55" spans="2:17">
      <c r="B55" s="59" t="s">
        <v>29</v>
      </c>
      <c r="C55" s="223">
        <f>'Balance Sheet'!G44</f>
        <v>8719</v>
      </c>
      <c r="D55" s="223">
        <f>'Balance Sheet'!F44</f>
        <v>10385</v>
      </c>
      <c r="E55" s="223">
        <f>'Balance Sheet'!E44</f>
        <v>11971</v>
      </c>
      <c r="F55" s="223">
        <f>'Balance Sheet'!D44</f>
        <v>13132</v>
      </c>
      <c r="G55" s="223">
        <f>'Balance Sheet'!C44</f>
        <v>13132</v>
      </c>
      <c r="H55" s="233">
        <f>Table57[[#This Row],[2021]]/C60</f>
        <v>0.30283769233441005</v>
      </c>
      <c r="I55" s="233">
        <f>Table57[[#This Row],[2022]]/D60</f>
        <v>0.23502387580057482</v>
      </c>
      <c r="J55" s="233">
        <f>Table57[[#This Row],[2023]]/E60</f>
        <v>0.29068525083774466</v>
      </c>
      <c r="K55" s="233">
        <f>Table57[[#This Row],[2024]]/F60</f>
        <v>0.19979308666017526</v>
      </c>
      <c r="L55" s="233">
        <f>Table57[[#This Row],[2025]]/G60</f>
        <v>0.13274570930673441</v>
      </c>
      <c r="M55" s="252"/>
      <c r="N55" s="233"/>
      <c r="O55" s="233"/>
      <c r="P55" s="233"/>
      <c r="Q55" s="253"/>
    </row>
    <row r="56" spans="2:17" ht="40.5" customHeight="1">
      <c r="B56" s="59" t="s">
        <v>138</v>
      </c>
      <c r="C56" s="223">
        <f>'Balance Sheet'!G45</f>
        <v>-10756</v>
      </c>
      <c r="D56" s="223" t="str">
        <f>'Balance Sheet'!F45</f>
        <v>— </v>
      </c>
      <c r="E56" s="223" t="str">
        <f>'Balance Sheet'!E45</f>
        <v>— </v>
      </c>
      <c r="F56" s="223" t="str">
        <f>'Balance Sheet'!D45</f>
        <v>— </v>
      </c>
      <c r="G56" s="223" t="str">
        <f>'Balance Sheet'!C45</f>
        <v>— </v>
      </c>
      <c r="H56" s="233">
        <f>Table57[[#This Row],[2021]]/C60</f>
        <v>-0.37358896877496439</v>
      </c>
      <c r="I56" s="233"/>
      <c r="J56" s="233"/>
      <c r="K56" s="233"/>
      <c r="L56" s="233"/>
      <c r="M56" s="252"/>
      <c r="N56" s="233"/>
      <c r="O56" s="233"/>
      <c r="P56" s="233"/>
      <c r="Q56" s="253"/>
    </row>
    <row r="57" spans="2:17">
      <c r="B57" s="59" t="s">
        <v>30</v>
      </c>
      <c r="C57" s="223">
        <f>'Balance Sheet'!G46</f>
        <v>19</v>
      </c>
      <c r="D57" s="223">
        <f>'Balance Sheet'!F46</f>
        <v>-11</v>
      </c>
      <c r="E57" s="223">
        <f>'Balance Sheet'!E46</f>
        <v>-43</v>
      </c>
      <c r="F57" s="223">
        <f>'Balance Sheet'!D46</f>
        <v>27</v>
      </c>
      <c r="G57" s="223">
        <f>'Balance Sheet'!C46</f>
        <v>27</v>
      </c>
      <c r="H57" s="233">
        <f>Table57[[#This Row],[2021]]/C60</f>
        <v>6.599284498628044E-4</v>
      </c>
      <c r="I57" s="233">
        <f>Table57[[#This Row],[2022]]/D60</f>
        <v>-2.4894199651481205E-4</v>
      </c>
      <c r="J57" s="233">
        <f>Table57[[#This Row],[2023]]/E60</f>
        <v>-1.0441455004613666E-3</v>
      </c>
      <c r="K57" s="233">
        <f>Table57[[#This Row],[2024]]/F60</f>
        <v>4.1078383641674783E-4</v>
      </c>
      <c r="L57" s="233">
        <f>Table57[[#This Row],[2025]]/G60</f>
        <v>2.7293132434372746E-4</v>
      </c>
      <c r="M57" s="252"/>
      <c r="N57" s="233"/>
      <c r="O57" s="233"/>
      <c r="P57" s="233"/>
      <c r="Q57" s="253"/>
    </row>
    <row r="58" spans="2:17">
      <c r="B58" s="59" t="s">
        <v>31</v>
      </c>
      <c r="C58" s="223">
        <f>'Balance Sheet'!G47</f>
        <v>18908</v>
      </c>
      <c r="D58" s="223">
        <f>'Balance Sheet'!F47</f>
        <v>16235</v>
      </c>
      <c r="E58" s="223">
        <f>'Balance Sheet'!E47</f>
        <v>10171</v>
      </c>
      <c r="F58" s="223">
        <f>'Balance Sheet'!D47</f>
        <v>29817</v>
      </c>
      <c r="G58" s="223">
        <f>'Balance Sheet'!C47</f>
        <v>62035.151778200539</v>
      </c>
      <c r="H58" s="233">
        <f>Table57[[#This Row],[2021]]/C60</f>
        <v>0.65673300684241598</v>
      </c>
      <c r="I58" s="233">
        <f>Table57[[#This Row],[2022]]/D60</f>
        <v>0.3674157557652703</v>
      </c>
      <c r="J58" s="233">
        <f>Table57[[#This Row],[2023]]/E60</f>
        <v>0.24697683453936187</v>
      </c>
      <c r="K58" s="233">
        <f>Table57[[#This Row],[2024]]/F60</f>
        <v>0.4536422833495618</v>
      </c>
      <c r="L58" s="233">
        <f>Table57[[#This Row],[2025]]/G60</f>
        <v>0.62708652335883008</v>
      </c>
      <c r="M58" s="252">
        <f>Table57[[#This Row],[2021]]/$C$7</f>
        <v>1.8187764524817238</v>
      </c>
      <c r="N58" s="233">
        <f>Table57[[#This Row],[2022]]/$D$7</f>
        <v>0.92904148783977114</v>
      </c>
      <c r="O58" s="233">
        <f>Table57[[#This Row],[2023]]/$E$7</f>
        <v>0.66234696535556137</v>
      </c>
      <c r="P58" s="233">
        <f>Table57[[#This Row],[2024]]/$F$7</f>
        <v>0.67305478431638111</v>
      </c>
      <c r="Q58" s="253">
        <f>Table57[[#This Row],[2025]]/$G$7</f>
        <v>0.83739453428316746</v>
      </c>
    </row>
    <row r="59" spans="2:17">
      <c r="B59" s="59" t="s">
        <v>32</v>
      </c>
      <c r="C59" s="225">
        <f>'Balance Sheet'!G48</f>
        <v>16893</v>
      </c>
      <c r="D59" s="225">
        <f>'Balance Sheet'!F48</f>
        <v>26612</v>
      </c>
      <c r="E59" s="225">
        <f>'Balance Sheet'!E48</f>
        <v>22101</v>
      </c>
      <c r="F59" s="225">
        <f>'Balance Sheet'!D48</f>
        <v>42978</v>
      </c>
      <c r="G59" s="223">
        <f>'Balance Sheet'!C48</f>
        <v>75196.151778200539</v>
      </c>
      <c r="H59" s="228">
        <f>Table57[[#This Row],[2021]]/C60</f>
        <v>0.58674585808065016</v>
      </c>
      <c r="I59" s="228">
        <f>Table57[[#This Row],[2022]]/D60</f>
        <v>0.60225858284110712</v>
      </c>
      <c r="J59" s="228">
        <f>Table57[[#This Row],[2023]]/E60</f>
        <v>0.53666650478364331</v>
      </c>
      <c r="K59" s="228">
        <f>Table57[[#This Row],[2024]]/F60</f>
        <v>0.653876582278481</v>
      </c>
      <c r="L59" s="228">
        <f>Table57[[#This Row],[2025]]/G60</f>
        <v>0.76012538112504469</v>
      </c>
      <c r="M59" s="252"/>
      <c r="Q59" s="246"/>
    </row>
    <row r="60" spans="2:17" ht="15.75" thickBot="1">
      <c r="B60" s="59" t="s">
        <v>33</v>
      </c>
      <c r="C60" s="238">
        <f>'Balance Sheet'!G49</f>
        <v>28791</v>
      </c>
      <c r="D60" s="238">
        <f>'Balance Sheet'!F49</f>
        <v>44187</v>
      </c>
      <c r="E60" s="238">
        <f>'Balance Sheet'!E49</f>
        <v>41182</v>
      </c>
      <c r="F60" s="238">
        <f>'Balance Sheet'!D49</f>
        <v>65728</v>
      </c>
      <c r="G60" s="225">
        <f>'Balance Sheet'!C49</f>
        <v>98925.984640723851</v>
      </c>
      <c r="H60" s="233">
        <f>Table57[[#This Row],[2021]]/C60</f>
        <v>1</v>
      </c>
      <c r="I60" s="233">
        <f>Table57[[#This Row],[2022]]/D60</f>
        <v>1</v>
      </c>
      <c r="J60" s="233">
        <f>Table57[[#This Row],[2023]]/E60</f>
        <v>1</v>
      </c>
      <c r="K60" s="233">
        <f>Table57[[#This Row],[2024]]/F60</f>
        <v>1</v>
      </c>
      <c r="L60" s="233">
        <f>Table57[[#This Row],[2025]]/G60</f>
        <v>1</v>
      </c>
      <c r="M60" s="254"/>
      <c r="N60" s="247"/>
      <c r="O60" s="247"/>
      <c r="P60" s="247"/>
      <c r="Q60" s="248"/>
    </row>
    <row r="61" spans="2:17" ht="15.75" thickTop="1">
      <c r="C61" s="223"/>
      <c r="D61" s="223"/>
      <c r="E61" s="223"/>
      <c r="F61" s="223"/>
      <c r="G61" s="223"/>
      <c r="H61" s="233"/>
      <c r="I61" s="233"/>
      <c r="J61" s="233"/>
      <c r="K61" s="233"/>
      <c r="L61" s="233"/>
    </row>
    <row r="64" spans="2:17" ht="21">
      <c r="B64" s="260" t="s">
        <v>174</v>
      </c>
      <c r="C64" s="261">
        <v>2021</v>
      </c>
      <c r="D64" s="261">
        <v>2022</v>
      </c>
      <c r="E64" s="261">
        <v>2023</v>
      </c>
      <c r="F64" s="261">
        <v>2024</v>
      </c>
      <c r="G64" s="262">
        <v>2025</v>
      </c>
      <c r="H64" s="259"/>
    </row>
    <row r="65" spans="2:8" ht="15" customHeight="1">
      <c r="B65" s="187"/>
      <c r="D65" s="171"/>
      <c r="E65" s="171"/>
      <c r="F65" s="171"/>
      <c r="G65" s="171"/>
      <c r="H65" s="259"/>
    </row>
    <row r="66" spans="2:8">
      <c r="B66" s="187" t="s">
        <v>114</v>
      </c>
      <c r="D66" s="171"/>
      <c r="E66" s="171"/>
      <c r="F66" s="171"/>
      <c r="G66" s="171"/>
    </row>
    <row r="67" spans="2:8">
      <c r="B67" s="186" t="s">
        <v>115</v>
      </c>
      <c r="C67" s="177">
        <f>'Balance Sheet'!$G$21/'Balance Sheet'!$G$34</f>
        <v>4.0904458598726112</v>
      </c>
      <c r="D67" s="177">
        <f>'Balance Sheet'!$F$21/'Balance Sheet'!$F$34</f>
        <v>6.6502883506343711</v>
      </c>
      <c r="E67" s="177">
        <f>'Balance Sheet'!$E$21/'Balance Sheet'!$E$34</f>
        <v>3.5156178576870332</v>
      </c>
      <c r="F67" s="177">
        <f>'Balance Sheet'!$D$21/'Balance Sheet'!$D$34</f>
        <v>4.1712915059730973</v>
      </c>
      <c r="G67" s="177">
        <f>'Balance Sheet'!$C$21/'Balance Sheet'!$C$34</f>
        <v>6.0529229811097887</v>
      </c>
    </row>
    <row r="68" spans="2:8">
      <c r="B68" s="186" t="s">
        <v>116</v>
      </c>
      <c r="C68" s="177">
        <f>('Balance Sheet'!$G$21-'Balance Sheet'!$G$19)/'Balance Sheet'!$G$34</f>
        <v>3.6252229299363057</v>
      </c>
      <c r="D68" s="177">
        <f>('Balance Sheet'!$F$21-'Balance Sheet'!$F$19)/'Balance Sheet'!$F$34</f>
        <v>6.0493656286043826</v>
      </c>
      <c r="E68" s="177">
        <f>('Balance Sheet'!$E$21-'Balance Sheet'!$E$19)/'Balance Sheet'!$E$34</f>
        <v>2.7295444156635686</v>
      </c>
      <c r="F68" s="177">
        <f>('Balance Sheet'!$D$21-'Balance Sheet'!$D$19)/'Balance Sheet'!$D$34</f>
        <v>3.6744426676700215</v>
      </c>
      <c r="G68" s="177">
        <f>('Balance Sheet'!$C$21-'Balance Sheet'!$C$19)/'Balance Sheet'!$C$34</f>
        <v>5.0312595718966335</v>
      </c>
      <c r="H68" s="195"/>
    </row>
    <row r="69" spans="2:8">
      <c r="B69" s="187"/>
      <c r="C69" s="177"/>
      <c r="D69" s="177"/>
      <c r="E69" s="177"/>
      <c r="F69" s="177"/>
      <c r="H69" s="256"/>
    </row>
    <row r="70" spans="2:8">
      <c r="B70" s="187" t="s">
        <v>117</v>
      </c>
      <c r="C70" s="177"/>
      <c r="D70" s="177"/>
      <c r="E70" s="177"/>
      <c r="F70" s="177"/>
      <c r="H70" s="263"/>
    </row>
    <row r="71" spans="2:8">
      <c r="B71" s="186" t="s">
        <v>118</v>
      </c>
      <c r="C71" s="177">
        <f>(AVERAGE('Balance Sheet'!$G$19:$H$19)/'Income Statement'!$G$17)*365</f>
        <v>106.14588310240484</v>
      </c>
      <c r="D71" s="177">
        <f>(AVERAGE('Balance Sheet'!$F$19:$G$19)/'Income Statement'!$F$17)*365</f>
        <v>85.671946180739482</v>
      </c>
      <c r="E71" s="177">
        <f>(AVERAGE('Balance Sheet'!$E$19:$F$19)/'Income Statement'!$E$17)*365</f>
        <v>121.95988982613187</v>
      </c>
      <c r="F71" s="177">
        <f>(AVERAGE('Balance Sheet'!$D$19:$E$19)/'Income Statement'!$D$17)*365</f>
        <v>114.64307201732748</v>
      </c>
      <c r="G71" s="177">
        <f>(AVERAGE('Balance Sheet'!$C$19:$D$19)/'Income Statement'!$C$17)*365</f>
        <v>80.454485609063539</v>
      </c>
      <c r="H71" s="195"/>
    </row>
    <row r="72" spans="2:8">
      <c r="B72" s="186" t="s">
        <v>119</v>
      </c>
      <c r="C72" s="177">
        <f>(AVERAGE('Balance Sheet'!$G$18:$H$18)/'Income Statement'!$G$16)*365</f>
        <v>53.168515742128939</v>
      </c>
      <c r="D72" s="177">
        <f>(AVERAGE('Balance Sheet'!$F$18:$G$18)/'Income Statement'!$F$16)*365</f>
        <v>48.001690569963586</v>
      </c>
      <c r="E72" s="177">
        <f>(AVERAGE('Balance Sheet'!$E$18:$F$18)/'Income Statement'!$E$16)*365</f>
        <v>57.353470008156009</v>
      </c>
      <c r="F72" s="177">
        <f>(AVERAGE('Balance Sheet'!$D$18:$E$18)/'Income Statement'!$D$16)*365</f>
        <v>41.4176323823906</v>
      </c>
      <c r="G72" s="177">
        <f>(AVERAGE('Balance Sheet'!$C$18:$D$18)/'Income Statement'!$C$16)*365</f>
        <v>36.473733021862301</v>
      </c>
      <c r="H72" s="256"/>
    </row>
    <row r="73" spans="2:8">
      <c r="B73" s="186" t="s">
        <v>120</v>
      </c>
      <c r="C73" s="177">
        <f>((AVERAGE('Balance Sheet'!$G$31:$H$31)/'Income Statement'!$G$17)*365)</f>
        <v>66.791686574295269</v>
      </c>
      <c r="D73" s="177">
        <f>((AVERAGE('Balance Sheet'!$F$31:$G$31)/'Income Statement'!$F$17)*365)</f>
        <v>56.689267930924885</v>
      </c>
      <c r="E73" s="177">
        <f>((AVERAGE('Balance Sheet'!$E$31:$F$31)/'Income Statement'!$E$17)*365)</f>
        <v>46.748149423308654</v>
      </c>
      <c r="F73" s="177">
        <f>((AVERAGE('Balance Sheet'!$D$31:$E$31)/'Income Statement'!$D$17)*365)</f>
        <v>42.734492509475963</v>
      </c>
      <c r="G73" s="177">
        <f>((AVERAGE('Balance Sheet'!$C$31:$D$31)/'Income Statement'!$C$17)*365)</f>
        <v>33.187736783227002</v>
      </c>
      <c r="H73" s="257"/>
    </row>
    <row r="74" spans="2:8">
      <c r="B74" s="186" t="s">
        <v>117</v>
      </c>
      <c r="C74" s="177">
        <f>C71+C72-C73</f>
        <v>92.5227122702385</v>
      </c>
      <c r="D74" s="177">
        <f>D71+D72-D73</f>
        <v>76.984368819778169</v>
      </c>
      <c r="E74" s="177">
        <f>E71+E72-E73</f>
        <v>132.56521041097923</v>
      </c>
      <c r="F74" s="177">
        <f>F71+F72-F73</f>
        <v>113.32621189024212</v>
      </c>
      <c r="G74" s="177">
        <f>G71+G72-G73</f>
        <v>83.740481847698845</v>
      </c>
    </row>
    <row r="75" spans="2:8">
      <c r="B75" s="187"/>
      <c r="C75" s="177"/>
      <c r="D75" s="177"/>
      <c r="E75" s="177"/>
      <c r="F75" s="177"/>
      <c r="H75" s="195"/>
    </row>
    <row r="76" spans="2:8">
      <c r="B76" s="187" t="s">
        <v>121</v>
      </c>
      <c r="C76" s="177"/>
      <c r="D76" s="177"/>
      <c r="E76" s="177"/>
      <c r="F76" s="177"/>
      <c r="H76" s="195"/>
    </row>
    <row r="77" spans="2:8">
      <c r="B77" s="186" t="s">
        <v>122</v>
      </c>
      <c r="C77" s="177">
        <f>'Balance Sheet'!$G$39/'Balance Sheet'!$G$48</f>
        <v>0.7043153969099627</v>
      </c>
      <c r="D77" s="177">
        <f>'Balance Sheet'!$F$39/'Balance Sheet'!$F$48</f>
        <v>0.66041635352472572</v>
      </c>
      <c r="E77" s="177">
        <f>'Balance Sheet'!$E$39/'Balance Sheet'!$E$48</f>
        <v>0.8633545993393964</v>
      </c>
      <c r="F77" s="177">
        <f>'Balance Sheet'!$D$39/'Balance Sheet'!$D$48</f>
        <v>0.52934059286146395</v>
      </c>
      <c r="G77" s="177">
        <f>'Balance Sheet'!$C$39/'Balance Sheet'!$C$48</f>
        <v>0.31557243690497766</v>
      </c>
      <c r="H77" s="195"/>
    </row>
    <row r="78" spans="2:8">
      <c r="B78" s="186" t="s">
        <v>123</v>
      </c>
      <c r="C78" s="178">
        <f>'Balance Sheet'!$G$39/'Balance Sheet'!$G$28</f>
        <v>0.41325414191934978</v>
      </c>
      <c r="D78" s="178">
        <f>'Balance Sheet'!$F$39/'Balance Sheet'!$F$28</f>
        <v>0.39774141715889288</v>
      </c>
      <c r="E78" s="178">
        <f>'Balance Sheet'!$E$39/'Balance Sheet'!$E$28</f>
        <v>0.46333349521635664</v>
      </c>
      <c r="F78" s="178">
        <f>'Balance Sheet'!$D$39/'Balance Sheet'!$D$28</f>
        <v>0.346123417721519</v>
      </c>
      <c r="G78" s="178">
        <f>'Balance Sheet'!$C$39/'Balance Sheet'!$C$28</f>
        <v>0.23987461887495526</v>
      </c>
    </row>
    <row r="79" spans="2:8">
      <c r="B79" s="186" t="s">
        <v>124</v>
      </c>
      <c r="C79" s="177">
        <f>'Balance Sheet'!$G$28/'Balance Sheet'!$G$48</f>
        <v>1.7043153969099627</v>
      </c>
      <c r="D79" s="177">
        <f>'Balance Sheet'!$F$28/'Balance Sheet'!$F$48</f>
        <v>1.6604163535247256</v>
      </c>
      <c r="E79" s="177">
        <f>'Balance Sheet'!$E$28/'Balance Sheet'!$E$48</f>
        <v>1.8633545993393965</v>
      </c>
      <c r="F79" s="177">
        <f>'Balance Sheet'!$D$28/'Balance Sheet'!$D$48</f>
        <v>1.5293405928614641</v>
      </c>
      <c r="G79" s="177">
        <f>'Balance Sheet'!$C$28/'Balance Sheet'!$C$48</f>
        <v>1.3155724369049777</v>
      </c>
      <c r="H79" s="258"/>
    </row>
    <row r="80" spans="2:8">
      <c r="B80" s="186" t="s">
        <v>125</v>
      </c>
      <c r="C80" s="177">
        <f>'Income Statement'!$G$24/ABS('Income Statement'!$G$26)</f>
        <v>24.630434782608695</v>
      </c>
      <c r="D80" s="177">
        <f>'Income Statement'!$F$24/ABS('Income Statement'!$F$26)</f>
        <v>42.546610169491522</v>
      </c>
      <c r="E80" s="177">
        <f>'Income Statement'!$E$24/ABS('Income Statement'!$E$26)</f>
        <v>16.122137404580151</v>
      </c>
      <c r="F80" s="177">
        <f>'Income Statement'!$D$24/ABS('Income Statement'!$D$26)</f>
        <v>128.29571984435799</v>
      </c>
      <c r="G80" s="177">
        <f>'Income Statement'!C24/ABS('Income Statement'!C26)</f>
        <v>31.632653061224495</v>
      </c>
      <c r="H80" s="258"/>
    </row>
    <row r="81" spans="2:8">
      <c r="B81" s="186" t="s">
        <v>126</v>
      </c>
      <c r="C81" s="177"/>
      <c r="D81" s="177"/>
      <c r="H81" s="258"/>
    </row>
    <row r="82" spans="2:8">
      <c r="B82" s="187"/>
      <c r="C82" s="177"/>
      <c r="D82" s="177"/>
      <c r="E82" s="177"/>
      <c r="F82" s="177"/>
      <c r="H82" s="258"/>
    </row>
    <row r="83" spans="2:8">
      <c r="B83" s="187" t="s">
        <v>127</v>
      </c>
      <c r="C83" s="177"/>
      <c r="D83" s="177"/>
      <c r="E83" s="177"/>
      <c r="F83" s="177"/>
      <c r="H83" s="258"/>
    </row>
    <row r="84" spans="2:8">
      <c r="B84" s="186" t="s">
        <v>128</v>
      </c>
      <c r="C84" s="177">
        <f>'Income Statement'!$G$17/AVERAGE('Balance Sheet'!$F$19:$G$19)</f>
        <v>2.8341232227488153</v>
      </c>
      <c r="D84" s="177">
        <f>'Income Statement'!$F$17/AVERAGE('Balance Sheet'!$E$19:$F$19)</f>
        <v>2.4314786192684181</v>
      </c>
      <c r="E84" s="177">
        <f>'Income Statement'!$E$17/AVERAGE('Balance Sheet'!$D$19:$E$19)</f>
        <v>2.2254573316732116</v>
      </c>
      <c r="F84" s="177">
        <f>'Income Statement'!$D$17/AVERAGE('Balance Sheet'!$D$19:$E$19)</f>
        <v>3.1837946556843213</v>
      </c>
      <c r="G84" s="177">
        <f>'Income Statement'!$C$17/AVERAGE('Balance Sheet'!$C$19:$D$19)</f>
        <v>4.536726538450222</v>
      </c>
      <c r="H84" s="258"/>
    </row>
    <row r="85" spans="2:8">
      <c r="B85" s="186" t="s">
        <v>129</v>
      </c>
      <c r="C85" s="177">
        <f>'Income Statement'!$G$16/AVERAGE('Balance Sheet'!$G$37:$N$37)</f>
        <v>60.628955187211147</v>
      </c>
      <c r="D85" s="177">
        <f>'Income Statement'!$F$16/AVERAGE('Balance Sheet'!$F$37:$M$37)</f>
        <v>55.148474791419865</v>
      </c>
      <c r="E85" s="177">
        <f>'Income Statement'!$E$16/AVERAGE('Balance Sheet'!$E$32:$L$32)</f>
        <v>22.347120670448369</v>
      </c>
      <c r="F85" s="177">
        <f>'Income Statement'!$D$16/AVERAGE('Balance Sheet'!$D$28:$E$28)</f>
        <v>1.1396875876905808</v>
      </c>
      <c r="G85" s="177">
        <f>'Income Statement'!$D$16/AVERAGE('Balance Sheet'!$D$28:$E$28)</f>
        <v>1.1396875876905808</v>
      </c>
      <c r="H85" s="258"/>
    </row>
    <row r="86" spans="2:8">
      <c r="B86" s="187"/>
      <c r="C86" s="177"/>
      <c r="D86" s="177"/>
      <c r="E86" s="177"/>
      <c r="F86" s="177"/>
    </row>
    <row r="87" spans="2:8">
      <c r="B87" s="187" t="s">
        <v>130</v>
      </c>
      <c r="C87" s="177"/>
      <c r="D87" s="177"/>
      <c r="E87" s="177"/>
      <c r="F87" s="177"/>
    </row>
    <row r="88" spans="2:8">
      <c r="B88" s="186" t="s">
        <v>131</v>
      </c>
      <c r="C88" s="182">
        <f>'Income Statement'!$G$31/'Income Statement'!$G$16</f>
        <v>0.25979010494752625</v>
      </c>
      <c r="D88" s="182">
        <f>'Income Statement'!$F$31/'Income Statement'!$F$16</f>
        <v>0.36233930296499961</v>
      </c>
      <c r="E88" s="182">
        <f>'Income Statement'!$E$31/'Income Statement'!$E$16</f>
        <v>0.16193371394676356</v>
      </c>
      <c r="F88" s="182">
        <f>'Income Statement'!$D$31/'Income Statement'!$D$16</f>
        <v>0.4884934834706674</v>
      </c>
      <c r="G88" s="182">
        <f>'Income Statement'!$C$31/'Income Statement'!$C$16</f>
        <v>0.28175070951985659</v>
      </c>
    </row>
    <row r="89" spans="2:8">
      <c r="B89" s="186" t="s">
        <v>132</v>
      </c>
      <c r="C89" s="182">
        <f>'Income Statement'!$G$31/'Balance Sheet'!$G$48</f>
        <v>0.25643757769490322</v>
      </c>
      <c r="D89" s="182">
        <f>'Income Statement'!$F$31/'Balance Sheet'!$F$48</f>
        <v>0.36645122501127309</v>
      </c>
      <c r="E89" s="182">
        <f>'Income Statement'!$E$31/'Balance Sheet'!$E$48</f>
        <v>0.19763811592235644</v>
      </c>
      <c r="F89" s="182">
        <f>'Income Statement'!$D$31/'Balance Sheet'!$D$48</f>
        <v>0.69244729861789756</v>
      </c>
      <c r="G89" s="182">
        <f>'Income Statement'!$C$31/'Balance Sheet'!$C$48</f>
        <v>0.433707723161109</v>
      </c>
    </row>
    <row r="90" spans="2:8">
      <c r="B90" s="186" t="s">
        <v>133</v>
      </c>
      <c r="C90" s="182">
        <f>'Income Statement'!$G$31/'Balance Sheet'!$G$28</f>
        <v>0.15046368656871939</v>
      </c>
      <c r="D90" s="182">
        <f>'Income Statement'!$F$31/'Balance Sheet'!$F$28</f>
        <v>0.22069839545567702</v>
      </c>
      <c r="E90" s="182">
        <f>'Income Statement'!$E$31/'Balance Sheet'!$E$28</f>
        <v>0.10606575688407557</v>
      </c>
      <c r="F90" s="182">
        <f>'Income Statement'!$D$31/'Balance Sheet'!$D$28</f>
        <v>0.45277507302823761</v>
      </c>
      <c r="G90" s="182">
        <f>'Income Statement'!$C$31/'Balance Sheet'!$C$28</f>
        <v>0.32967224836471337</v>
      </c>
    </row>
    <row r="91" spans="2:8">
      <c r="B91" s="186" t="s">
        <v>134</v>
      </c>
      <c r="C91" s="180">
        <f>'Income Statement'!$G$31/('Balance Sheet'!$G$48+'Balance Sheet'!$G$38)</f>
        <v>0.17421378589238318</v>
      </c>
      <c r="D91" s="180">
        <f>'Income Statement'!$F$31/('Balance Sheet'!$F$48+'Balance Sheet'!$F$38)</f>
        <v>0.24470541001706314</v>
      </c>
      <c r="E91" s="180">
        <f>'Income Statement'!$E$31/('Balance Sheet'!$E$48+'Balance Sheet'!$E$38)</f>
        <v>0.12617348854675178</v>
      </c>
      <c r="F91" s="180">
        <f>'Income Statement'!$D$31/('Balance Sheet'!$D$48+'Balance Sheet'!$D$38)</f>
        <v>0.5401383015409188</v>
      </c>
      <c r="G91" s="180">
        <f>'Income Statement'!$C$31/('Balance Sheet'!$C$48+'Balance Sheet'!$C$38)</f>
        <v>0.3787156046847534</v>
      </c>
    </row>
    <row r="92" spans="2:8">
      <c r="B92" s="187"/>
      <c r="C92" s="177"/>
      <c r="D92" s="177"/>
      <c r="E92" s="177"/>
      <c r="F92" s="177"/>
    </row>
    <row r="93" spans="2:8">
      <c r="B93" s="187" t="s">
        <v>135</v>
      </c>
      <c r="C93" s="177"/>
      <c r="D93" s="177"/>
      <c r="E93" s="177"/>
      <c r="F93" s="177"/>
    </row>
    <row r="94" spans="2:8">
      <c r="B94" s="186" t="s">
        <v>136</v>
      </c>
      <c r="C94" s="192" t="s">
        <v>27</v>
      </c>
      <c r="D94" s="192">
        <f>-'Shareholders'' Equ'!$I$11/'Income Statement'!$F$31</f>
        <v>4.0914684167350286E-2</v>
      </c>
      <c r="E94" s="192">
        <f>-'Shareholders'' Equ'!$I$21/'Income Statement'!$E$31</f>
        <v>9.1117216117216113E-2</v>
      </c>
      <c r="F94" s="192">
        <f>-'Shareholders'' Equ'!$I$29/'Income Statement'!$D$31</f>
        <v>1.3272849462365592E-2</v>
      </c>
      <c r="G94" s="192">
        <f>-'Shareholders'' Equ'!$I$29/'Income Statement'!$D$31</f>
        <v>1.3272849462365592E-2</v>
      </c>
    </row>
    <row r="95" spans="2:8">
      <c r="B95" s="186" t="s">
        <v>137</v>
      </c>
      <c r="C95" s="193">
        <f>'Income Statement'!$G$31/'Shareholders'' Equ'!$C$6</f>
        <v>1.734881858229876</v>
      </c>
      <c r="D95" s="193">
        <f>'Income Statement'!$F$31/'Shareholders'' Equ'!$C$15</f>
        <v>3.89146049481245</v>
      </c>
      <c r="E95" s="193">
        <f>'Income Statement'!$E$31/'Shareholders'' Equ'!$C$23</f>
        <v>1.7712895377128954</v>
      </c>
      <c r="F95" s="193">
        <f>'Income Statement'!$D$31/'Shareholders'' Equ'!$C$31</f>
        <v>12.077922077922079</v>
      </c>
      <c r="G95" s="193">
        <f>'Income Statement'!$C$31/'Shareholders'' Equ'!$C$31</f>
        <v>13.235857052841126</v>
      </c>
    </row>
  </sheetData>
  <phoneticPr fontId="29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AA578E07756449B6ABCA746F0629C3" ma:contentTypeVersion="0" ma:contentTypeDescription="Create a new document." ma:contentTypeScope="" ma:versionID="a542b57da94d35c002f89fccc2e883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18a17d26add7a8d56d9fdcb3fce4d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2D0B21-F07D-41A9-9624-2D2BA967F7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771566-57A0-4DF8-828E-F71D00DE1A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F7F2ECA-A163-4459-932F-B0559803A5C2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Balance Sheet</vt:lpstr>
      <vt:lpstr>Income Statement</vt:lpstr>
      <vt:lpstr>Cash Flow</vt:lpstr>
      <vt:lpstr>Shareholders' Equ</vt:lpstr>
      <vt:lpstr>Ratios</vt:lpstr>
      <vt:lpstr>ProForma Statements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Shoghanian, Dante</dc:creator>
  <cp:lastModifiedBy>Dante Shoghanian</cp:lastModifiedBy>
  <dcterms:created xsi:type="dcterms:W3CDTF">2024-09-16T03:51:55Z</dcterms:created>
  <dcterms:modified xsi:type="dcterms:W3CDTF">2024-12-13T09:47:43Z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0x0101003AAA578E07756449B6ABCA746F0629C3</vt:lpwstr>
  </property>
</Properties>
</file>