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hravanigouddindu/Downloads/"/>
    </mc:Choice>
  </mc:AlternateContent>
  <xr:revisionPtr revIDLastSave="0" documentId="8_{282C8687-6800-524F-A314-6505032DA947}" xr6:coauthVersionLast="47" xr6:coauthVersionMax="47" xr10:uidLastSave="{00000000-0000-0000-0000-000000000000}"/>
  <bookViews>
    <workbookView xWindow="0" yWindow="760" windowWidth="29400" windowHeight="18360" activeTab="1" xr2:uid="{00000000-000D-0000-FFFF-FFFF00000000}"/>
  </bookViews>
  <sheets>
    <sheet name="Cover" sheetId="2" r:id="rId1"/>
    <sheet name="Model" sheetId="3" r:id="rId2"/>
    <sheet name="Model-R" sheetId="4" state="veryHidden" r:id="rId3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43412.7003240741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Cover!$B$2:$O$39</definedName>
    <definedName name="_xlnm.Print_Area" localSheetId="1">Model!$B$2:$K$27,Model!$B$30:$K$51,Model!$B$54:$K$84,Model!$B$87:$K$114,Model!$B$117:$K$152,Model!$B$155:$K$183,Model!$B$186:$K$222</definedName>
    <definedName name="_xlnm.Print_Area" localSheetId="2">'Model-R'!$B$3:$K$28,'Model-R'!$B$31:$K$52,'Model-R'!$B$55:$K$85,'Model-R'!$B$88:$K$115,'Model-R'!$B$118:$K$153,'Model-R'!$B$156:$K$184,'Model-R'!$B$187:$K$223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0" i="3" l="1"/>
  <c r="E191" i="3"/>
  <c r="F191" i="3"/>
  <c r="D191" i="3"/>
  <c r="E103" i="3"/>
  <c r="F103" i="3"/>
  <c r="F200" i="3" s="1"/>
  <c r="D103" i="3"/>
  <c r="D200" i="3" s="1"/>
  <c r="D96" i="3"/>
  <c r="D97" i="3"/>
  <c r="D98" i="3"/>
  <c r="D95" i="3"/>
  <c r="E93" i="3"/>
  <c r="F93" i="3"/>
  <c r="D93" i="3"/>
  <c r="J73" i="3"/>
  <c r="K73" i="3"/>
  <c r="G73" i="3"/>
  <c r="D181" i="3"/>
  <c r="D107" i="3" s="1"/>
  <c r="D182" i="3"/>
  <c r="E179" i="3" s="1"/>
  <c r="F176" i="3"/>
  <c r="F182" i="4" s="1"/>
  <c r="E176" i="3"/>
  <c r="E181" i="3" s="1"/>
  <c r="E107" i="3" s="1"/>
  <c r="D176" i="3"/>
  <c r="H77" i="3"/>
  <c r="G77" i="3"/>
  <c r="H171" i="3"/>
  <c r="H172" i="3" s="1"/>
  <c r="H106" i="3" s="1"/>
  <c r="G173" i="3"/>
  <c r="H173" i="3"/>
  <c r="H78" i="4" s="1"/>
  <c r="I173" i="3"/>
  <c r="I77" i="3" s="1"/>
  <c r="J173" i="3"/>
  <c r="J77" i="3" s="1"/>
  <c r="K173" i="3"/>
  <c r="K77" i="3" s="1"/>
  <c r="E79" i="3"/>
  <c r="F79" i="3"/>
  <c r="D79" i="3"/>
  <c r="E25" i="3"/>
  <c r="E173" i="3" s="1"/>
  <c r="F25" i="3"/>
  <c r="F173" i="3" s="1"/>
  <c r="D25" i="3"/>
  <c r="D173" i="3" s="1"/>
  <c r="F168" i="3"/>
  <c r="F167" i="3"/>
  <c r="F169" i="4" s="1"/>
  <c r="E167" i="3"/>
  <c r="E169" i="4" s="1"/>
  <c r="D168" i="3"/>
  <c r="D167" i="3"/>
  <c r="D169" i="4"/>
  <c r="K165" i="3"/>
  <c r="J165" i="3"/>
  <c r="I165" i="3"/>
  <c r="I167" i="3" s="1"/>
  <c r="I168" i="3" s="1"/>
  <c r="I44" i="3" s="1"/>
  <c r="H165" i="3"/>
  <c r="G165" i="3"/>
  <c r="F165" i="3"/>
  <c r="I161" i="3"/>
  <c r="E161" i="3"/>
  <c r="E163" i="3"/>
  <c r="E162" i="3" s="1"/>
  <c r="E108" i="3" s="1"/>
  <c r="G163" i="3"/>
  <c r="H163" i="3"/>
  <c r="I162" i="4" s="1"/>
  <c r="I163" i="3"/>
  <c r="I162" i="3" s="1"/>
  <c r="I108" i="3" s="1"/>
  <c r="J163" i="3"/>
  <c r="K163" i="3"/>
  <c r="E24" i="3"/>
  <c r="F24" i="3"/>
  <c r="F163" i="3" s="1"/>
  <c r="D24" i="3"/>
  <c r="D163" i="3"/>
  <c r="D161" i="3" s="1"/>
  <c r="E150" i="3"/>
  <c r="F150" i="3"/>
  <c r="E151" i="3"/>
  <c r="F151" i="3"/>
  <c r="E149" i="3"/>
  <c r="E152" i="3" s="1"/>
  <c r="F149" i="3" s="1"/>
  <c r="F152" i="3" s="1"/>
  <c r="G149" i="3" s="1"/>
  <c r="D150" i="3"/>
  <c r="D149" i="3"/>
  <c r="D152" i="3"/>
  <c r="D151" i="3"/>
  <c r="K146" i="3"/>
  <c r="J146" i="3"/>
  <c r="I146" i="3"/>
  <c r="H146" i="3"/>
  <c r="G146" i="3"/>
  <c r="K145" i="3"/>
  <c r="J145" i="3"/>
  <c r="I145" i="3"/>
  <c r="H145" i="3"/>
  <c r="G145" i="3"/>
  <c r="F145" i="3"/>
  <c r="E19" i="3"/>
  <c r="E145" i="3" s="1"/>
  <c r="F19" i="3"/>
  <c r="D19" i="3"/>
  <c r="D145" i="3" s="1"/>
  <c r="D142" i="3"/>
  <c r="E71" i="3"/>
  <c r="E75" i="4" s="1"/>
  <c r="F71" i="3"/>
  <c r="F75" i="4" s="1"/>
  <c r="D71" i="3"/>
  <c r="D75" i="4" s="1"/>
  <c r="E132" i="3"/>
  <c r="F138" i="3" s="1"/>
  <c r="F95" i="3" s="1"/>
  <c r="F132" i="3"/>
  <c r="E133" i="3"/>
  <c r="F139" i="3" s="1"/>
  <c r="F96" i="3" s="1"/>
  <c r="F133" i="3"/>
  <c r="E134" i="3"/>
  <c r="E140" i="3" s="1"/>
  <c r="E97" i="3" s="1"/>
  <c r="F134" i="3"/>
  <c r="E135" i="3"/>
  <c r="E141" i="3" s="1"/>
  <c r="E98" i="3" s="1"/>
  <c r="F135" i="3"/>
  <c r="D135" i="3"/>
  <c r="D134" i="3"/>
  <c r="D133" i="3"/>
  <c r="E139" i="3" s="1"/>
  <c r="E96" i="3" s="1"/>
  <c r="D132" i="3"/>
  <c r="E126" i="3"/>
  <c r="G126" i="3"/>
  <c r="H126" i="3"/>
  <c r="I126" i="3"/>
  <c r="J126" i="3"/>
  <c r="K126" i="3"/>
  <c r="G127" i="3"/>
  <c r="H127" i="3"/>
  <c r="I127" i="3"/>
  <c r="J127" i="3"/>
  <c r="K127" i="3"/>
  <c r="G128" i="3"/>
  <c r="H128" i="3"/>
  <c r="I128" i="3"/>
  <c r="J128" i="3"/>
  <c r="K128" i="3"/>
  <c r="G129" i="3"/>
  <c r="H129" i="3"/>
  <c r="I129" i="3"/>
  <c r="J129" i="3"/>
  <c r="K129" i="3"/>
  <c r="F124" i="3"/>
  <c r="E124" i="3"/>
  <c r="F123" i="3"/>
  <c r="E123" i="3"/>
  <c r="F122" i="3"/>
  <c r="F144" i="3" s="1"/>
  <c r="E122" i="3"/>
  <c r="E145" i="4" s="1"/>
  <c r="D124" i="3"/>
  <c r="D123" i="3"/>
  <c r="D122" i="3"/>
  <c r="D144" i="3" s="1"/>
  <c r="K121" i="3"/>
  <c r="J121" i="3"/>
  <c r="I121" i="3"/>
  <c r="H121" i="3"/>
  <c r="G121" i="3"/>
  <c r="F121" i="3"/>
  <c r="E121" i="3"/>
  <c r="D121" i="3"/>
  <c r="E23" i="3"/>
  <c r="E130" i="4" s="1"/>
  <c r="F23" i="3"/>
  <c r="F129" i="3" s="1"/>
  <c r="D23" i="3"/>
  <c r="D129" i="3" s="1"/>
  <c r="E21" i="3"/>
  <c r="E127" i="3" s="1"/>
  <c r="F21" i="3"/>
  <c r="F128" i="4" s="1"/>
  <c r="E22" i="3"/>
  <c r="E128" i="3" s="1"/>
  <c r="F22" i="3"/>
  <c r="F128" i="3" s="1"/>
  <c r="D22" i="3"/>
  <c r="D129" i="4" s="1"/>
  <c r="D21" i="3"/>
  <c r="D127" i="3" s="1"/>
  <c r="E20" i="3"/>
  <c r="F20" i="3"/>
  <c r="F126" i="3" s="1"/>
  <c r="D20" i="3"/>
  <c r="D126" i="3" s="1"/>
  <c r="H39" i="3"/>
  <c r="I39" i="3"/>
  <c r="J39" i="3"/>
  <c r="K39" i="3"/>
  <c r="G39" i="3"/>
  <c r="G34" i="3"/>
  <c r="G40" i="3" s="1"/>
  <c r="E15" i="3"/>
  <c r="E166" i="4" s="1"/>
  <c r="F15" i="3"/>
  <c r="F166" i="4" s="1"/>
  <c r="D15" i="3"/>
  <c r="D165" i="3" s="1"/>
  <c r="E13" i="3"/>
  <c r="F13" i="3"/>
  <c r="E14" i="3"/>
  <c r="E146" i="3" s="1"/>
  <c r="F14" i="3"/>
  <c r="F147" i="4" s="1"/>
  <c r="D14" i="3"/>
  <c r="D146" i="3" s="1"/>
  <c r="D13" i="3"/>
  <c r="E11" i="3"/>
  <c r="F11" i="3"/>
  <c r="E12" i="3"/>
  <c r="F12" i="3"/>
  <c r="D12" i="3"/>
  <c r="D11" i="3"/>
  <c r="F9" i="3"/>
  <c r="E36" i="3"/>
  <c r="E42" i="3" s="1"/>
  <c r="E45" i="3" s="1"/>
  <c r="F36" i="3"/>
  <c r="F10" i="3" s="1"/>
  <c r="D36" i="3"/>
  <c r="D10" i="3" s="1"/>
  <c r="E9" i="3"/>
  <c r="E5" i="4"/>
  <c r="E120" i="4" s="1"/>
  <c r="E10" i="4"/>
  <c r="F10" i="4"/>
  <c r="D12" i="4"/>
  <c r="E12" i="4"/>
  <c r="F12" i="4"/>
  <c r="D13" i="4"/>
  <c r="E13" i="4"/>
  <c r="F13" i="4"/>
  <c r="D14" i="4"/>
  <c r="E14" i="4"/>
  <c r="F14" i="4"/>
  <c r="D15" i="4"/>
  <c r="E15" i="4"/>
  <c r="F15" i="4"/>
  <c r="D16" i="4"/>
  <c r="E16" i="4"/>
  <c r="F16" i="4"/>
  <c r="D20" i="4"/>
  <c r="E20" i="4"/>
  <c r="F20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33" i="4"/>
  <c r="G35" i="4"/>
  <c r="D37" i="4"/>
  <c r="E37" i="4"/>
  <c r="F37" i="4"/>
  <c r="G40" i="4"/>
  <c r="H40" i="4"/>
  <c r="I40" i="4"/>
  <c r="J40" i="4"/>
  <c r="K40" i="4"/>
  <c r="D57" i="4"/>
  <c r="D72" i="4"/>
  <c r="E72" i="4"/>
  <c r="F72" i="4"/>
  <c r="D80" i="4"/>
  <c r="E80" i="4"/>
  <c r="F80" i="4"/>
  <c r="D90" i="4"/>
  <c r="D94" i="4"/>
  <c r="E94" i="4"/>
  <c r="F94" i="4"/>
  <c r="D96" i="4"/>
  <c r="D97" i="4"/>
  <c r="D98" i="4"/>
  <c r="D99" i="4"/>
  <c r="D104" i="4"/>
  <c r="E104" i="4"/>
  <c r="F104" i="4"/>
  <c r="D108" i="4"/>
  <c r="E108" i="4"/>
  <c r="F108" i="4"/>
  <c r="D120" i="4"/>
  <c r="D122" i="4"/>
  <c r="E122" i="4"/>
  <c r="F122" i="4"/>
  <c r="G122" i="4"/>
  <c r="H122" i="4"/>
  <c r="I122" i="4"/>
  <c r="J122" i="4"/>
  <c r="K122" i="4"/>
  <c r="D123" i="4"/>
  <c r="E123" i="4"/>
  <c r="F123" i="4"/>
  <c r="D124" i="4"/>
  <c r="E124" i="4"/>
  <c r="F124" i="4"/>
  <c r="D125" i="4"/>
  <c r="E125" i="4"/>
  <c r="F125" i="4"/>
  <c r="G127" i="4"/>
  <c r="H127" i="4"/>
  <c r="I127" i="4"/>
  <c r="J127" i="4"/>
  <c r="K127" i="4"/>
  <c r="G128" i="4"/>
  <c r="H128" i="4"/>
  <c r="I128" i="4"/>
  <c r="J128" i="4"/>
  <c r="K128" i="4"/>
  <c r="G129" i="4"/>
  <c r="H129" i="4"/>
  <c r="I129" i="4"/>
  <c r="J129" i="4"/>
  <c r="K129" i="4"/>
  <c r="G130" i="4"/>
  <c r="H130" i="4"/>
  <c r="I130" i="4"/>
  <c r="J130" i="4"/>
  <c r="K130" i="4"/>
  <c r="D133" i="4"/>
  <c r="E133" i="4"/>
  <c r="F133" i="4"/>
  <c r="D134" i="4"/>
  <c r="E134" i="4"/>
  <c r="F134" i="4"/>
  <c r="D135" i="4"/>
  <c r="E135" i="4"/>
  <c r="F135" i="4"/>
  <c r="D136" i="4"/>
  <c r="E136" i="4"/>
  <c r="F136" i="4"/>
  <c r="D143" i="4"/>
  <c r="G146" i="4"/>
  <c r="H146" i="4"/>
  <c r="I146" i="4"/>
  <c r="J146" i="4"/>
  <c r="K146" i="4"/>
  <c r="G147" i="4"/>
  <c r="H147" i="4"/>
  <c r="I147" i="4"/>
  <c r="J147" i="4"/>
  <c r="K147" i="4"/>
  <c r="D151" i="4"/>
  <c r="E151" i="4"/>
  <c r="F151" i="4"/>
  <c r="D152" i="4"/>
  <c r="E152" i="4"/>
  <c r="F152" i="4"/>
  <c r="D153" i="4"/>
  <c r="D158" i="4"/>
  <c r="D163" i="4"/>
  <c r="G164" i="4"/>
  <c r="H164" i="4"/>
  <c r="I164" i="4"/>
  <c r="J164" i="4"/>
  <c r="K164" i="4"/>
  <c r="G166" i="4"/>
  <c r="H166" i="4"/>
  <c r="I166" i="4"/>
  <c r="J166" i="4"/>
  <c r="K166" i="4"/>
  <c r="D168" i="4"/>
  <c r="E168" i="4"/>
  <c r="F168" i="4"/>
  <c r="D173" i="4"/>
  <c r="G174" i="4"/>
  <c r="H174" i="4"/>
  <c r="I174" i="4"/>
  <c r="J174" i="4"/>
  <c r="K174" i="4"/>
  <c r="D177" i="4"/>
  <c r="E177" i="4"/>
  <c r="F177" i="4"/>
  <c r="D183" i="4"/>
  <c r="D189" i="4"/>
  <c r="D192" i="4"/>
  <c r="E192" i="4"/>
  <c r="F192" i="4"/>
  <c r="E4" i="3"/>
  <c r="E157" i="3" s="1"/>
  <c r="F146" i="4"/>
  <c r="E127" i="4"/>
  <c r="E129" i="4"/>
  <c r="F129" i="4"/>
  <c r="D32" i="3"/>
  <c r="D56" i="3"/>
  <c r="D89" i="3"/>
  <c r="E201" i="4"/>
  <c r="D119" i="3"/>
  <c r="E150" i="4"/>
  <c r="D157" i="3"/>
  <c r="D162" i="3"/>
  <c r="D172" i="3"/>
  <c r="G78" i="4"/>
  <c r="J172" i="4"/>
  <c r="D188" i="3"/>
  <c r="G162" i="3" l="1"/>
  <c r="G108" i="3" s="1"/>
  <c r="G171" i="3"/>
  <c r="G172" i="3" s="1"/>
  <c r="G106" i="3" s="1"/>
  <c r="E171" i="3"/>
  <c r="D171" i="3"/>
  <c r="G161" i="3"/>
  <c r="G167" i="3" s="1"/>
  <c r="G168" i="3" s="1"/>
  <c r="G44" i="3" s="1"/>
  <c r="F171" i="3"/>
  <c r="F172" i="3" s="1"/>
  <c r="F106" i="3" s="1"/>
  <c r="E172" i="3"/>
  <c r="E106" i="3" s="1"/>
  <c r="E109" i="3" s="1"/>
  <c r="E201" i="3" s="1"/>
  <c r="D110" i="4"/>
  <c r="D109" i="3"/>
  <c r="D201" i="3" s="1"/>
  <c r="I74" i="4"/>
  <c r="H74" i="4"/>
  <c r="F140" i="3"/>
  <c r="K161" i="3"/>
  <c r="K167" i="3" s="1"/>
  <c r="K168" i="3" s="1"/>
  <c r="K44" i="3" s="1"/>
  <c r="E192" i="3"/>
  <c r="E193" i="3" s="1"/>
  <c r="H161" i="3"/>
  <c r="H162" i="3" s="1"/>
  <c r="H108" i="3" s="1"/>
  <c r="F74" i="3"/>
  <c r="F81" i="3" s="1"/>
  <c r="N10" i="4"/>
  <c r="E74" i="3"/>
  <c r="E81" i="3" s="1"/>
  <c r="K171" i="3"/>
  <c r="K172" i="3" s="1"/>
  <c r="K106" i="3" s="1"/>
  <c r="F181" i="3"/>
  <c r="I73" i="3"/>
  <c r="D172" i="4"/>
  <c r="E146" i="4"/>
  <c r="J162" i="4"/>
  <c r="F161" i="3"/>
  <c r="F162" i="3" s="1"/>
  <c r="F108" i="3" s="1"/>
  <c r="D74" i="3"/>
  <c r="D81" i="3" s="1"/>
  <c r="J171" i="3"/>
  <c r="J172" i="3" s="1"/>
  <c r="J106" i="3" s="1"/>
  <c r="H73" i="3"/>
  <c r="G191" i="3"/>
  <c r="J161" i="3"/>
  <c r="J167" i="3" s="1"/>
  <c r="J168" i="3" s="1"/>
  <c r="J44" i="3" s="1"/>
  <c r="E165" i="3"/>
  <c r="I171" i="3"/>
  <c r="I172" i="3" s="1"/>
  <c r="I106" i="3" s="1"/>
  <c r="E168" i="3"/>
  <c r="E10" i="3"/>
  <c r="F141" i="3"/>
  <c r="F98" i="3" s="1"/>
  <c r="F146" i="3"/>
  <c r="E144" i="3"/>
  <c r="D127" i="4"/>
  <c r="G35" i="3"/>
  <c r="G36" i="3" s="1"/>
  <c r="H34" i="3"/>
  <c r="H38" i="3" s="1"/>
  <c r="D43" i="4"/>
  <c r="G123" i="4"/>
  <c r="D146" i="4"/>
  <c r="N146" i="4" s="1"/>
  <c r="D42" i="3"/>
  <c r="E138" i="3"/>
  <c r="E16" i="3"/>
  <c r="E48" i="3"/>
  <c r="F42" i="3"/>
  <c r="H35" i="3"/>
  <c r="G122" i="3"/>
  <c r="F127" i="3"/>
  <c r="G38" i="3"/>
  <c r="D128" i="3"/>
  <c r="D128" i="4"/>
  <c r="E129" i="3"/>
  <c r="N20" i="4"/>
  <c r="N22" i="4"/>
  <c r="N122" i="4"/>
  <c r="F174" i="4"/>
  <c r="F141" i="4"/>
  <c r="N16" i="4"/>
  <c r="J74" i="4"/>
  <c r="N25" i="4"/>
  <c r="G74" i="4"/>
  <c r="N24" i="4"/>
  <c r="E141" i="4"/>
  <c r="M166" i="4"/>
  <c r="F201" i="4"/>
  <c r="G36" i="4"/>
  <c r="N129" i="4"/>
  <c r="E11" i="4"/>
  <c r="N23" i="4"/>
  <c r="H35" i="4"/>
  <c r="D11" i="4"/>
  <c r="G163" i="4"/>
  <c r="M24" i="4"/>
  <c r="M25" i="4"/>
  <c r="O25" i="4" s="1" a="1"/>
  <c r="O25" i="4" s="1"/>
  <c r="M24" i="3" s="1"/>
  <c r="E90" i="4"/>
  <c r="E158" i="4"/>
  <c r="E189" i="4"/>
  <c r="E33" i="4"/>
  <c r="E57" i="4"/>
  <c r="F5" i="4"/>
  <c r="G109" i="4"/>
  <c r="F139" i="4"/>
  <c r="F164" i="4"/>
  <c r="K172" i="4"/>
  <c r="E164" i="4"/>
  <c r="D145" i="4"/>
  <c r="D130" i="4"/>
  <c r="J78" i="4"/>
  <c r="D182" i="4"/>
  <c r="N26" i="4"/>
  <c r="F96" i="4"/>
  <c r="I172" i="4"/>
  <c r="I78" i="4"/>
  <c r="N13" i="4"/>
  <c r="F145" i="4"/>
  <c r="F130" i="4"/>
  <c r="E182" i="4"/>
  <c r="N21" i="4"/>
  <c r="K74" i="4"/>
  <c r="I163" i="4"/>
  <c r="M14" i="4"/>
  <c r="D201" i="4"/>
  <c r="M23" i="4"/>
  <c r="E147" i="4"/>
  <c r="M15" i="4"/>
  <c r="D147" i="4"/>
  <c r="H163" i="4"/>
  <c r="E180" i="4"/>
  <c r="E140" i="4"/>
  <c r="F140" i="4"/>
  <c r="E56" i="3"/>
  <c r="E188" i="3"/>
  <c r="E89" i="3"/>
  <c r="F4" i="3"/>
  <c r="E32" i="3"/>
  <c r="E119" i="3"/>
  <c r="E98" i="4"/>
  <c r="N40" i="4"/>
  <c r="F127" i="4"/>
  <c r="M10" i="4"/>
  <c r="K78" i="4"/>
  <c r="M174" i="4"/>
  <c r="E172" i="4"/>
  <c r="M40" i="4"/>
  <c r="N12" i="4"/>
  <c r="E142" i="4"/>
  <c r="E128" i="4"/>
  <c r="H172" i="4"/>
  <c r="H168" i="4"/>
  <c r="M22" i="4"/>
  <c r="O22" i="4" s="1" a="1"/>
  <c r="O22" i="4" s="1"/>
  <c r="M21" i="3" s="1"/>
  <c r="F142" i="4"/>
  <c r="F162" i="4"/>
  <c r="M127" i="4"/>
  <c r="N15" i="4"/>
  <c r="G172" i="4"/>
  <c r="F43" i="4"/>
  <c r="F11" i="4"/>
  <c r="E174" i="4"/>
  <c r="D150" i="4"/>
  <c r="D202" i="4"/>
  <c r="E43" i="4"/>
  <c r="M26" i="4"/>
  <c r="D174" i="4"/>
  <c r="M13" i="4"/>
  <c r="G39" i="4"/>
  <c r="M21" i="4"/>
  <c r="J163" i="4"/>
  <c r="K162" i="4"/>
  <c r="G192" i="4"/>
  <c r="H162" i="4"/>
  <c r="M122" i="4"/>
  <c r="G41" i="4"/>
  <c r="N14" i="4"/>
  <c r="G162" i="4"/>
  <c r="D166" i="4"/>
  <c r="N166" i="4" s="1"/>
  <c r="M16" i="4"/>
  <c r="O16" i="4" s="1" a="1"/>
  <c r="O16" i="4" s="1"/>
  <c r="M15" i="3" s="1"/>
  <c r="E139" i="4"/>
  <c r="I168" i="4"/>
  <c r="D164" i="4"/>
  <c r="M20" i="4"/>
  <c r="M12" i="4"/>
  <c r="F45" i="3" l="1"/>
  <c r="F192" i="3"/>
  <c r="F193" i="3" s="1"/>
  <c r="F163" i="4"/>
  <c r="G173" i="4"/>
  <c r="D45" i="3"/>
  <c r="D192" i="3"/>
  <c r="D193" i="3" s="1"/>
  <c r="F107" i="3"/>
  <c r="F109" i="3" s="1"/>
  <c r="F201" i="3" s="1"/>
  <c r="F98" i="4"/>
  <c r="F97" i="3"/>
  <c r="J162" i="3"/>
  <c r="J108" i="3" s="1"/>
  <c r="I173" i="4"/>
  <c r="H167" i="3"/>
  <c r="H168" i="3" s="1"/>
  <c r="H44" i="3" s="1"/>
  <c r="H122" i="3"/>
  <c r="H191" i="3"/>
  <c r="G168" i="4"/>
  <c r="F82" i="4"/>
  <c r="H40" i="3"/>
  <c r="F142" i="3"/>
  <c r="E92" i="3"/>
  <c r="E26" i="3"/>
  <c r="E195" i="3"/>
  <c r="E196" i="3" s="1"/>
  <c r="E175" i="3"/>
  <c r="E180" i="3" s="1"/>
  <c r="E182" i="3" s="1"/>
  <c r="F179" i="3" s="1"/>
  <c r="O10" i="4" a="1"/>
  <c r="O10" i="4" s="1"/>
  <c r="M9" i="3" s="1"/>
  <c r="I34" i="3"/>
  <c r="I191" i="3" s="1"/>
  <c r="E142" i="3"/>
  <c r="E95" i="3"/>
  <c r="K162" i="3"/>
  <c r="K108" i="3" s="1"/>
  <c r="G132" i="3"/>
  <c r="G144" i="3"/>
  <c r="G37" i="4"/>
  <c r="N127" i="4"/>
  <c r="G123" i="3"/>
  <c r="G134" i="3" s="1"/>
  <c r="G69" i="3" s="1"/>
  <c r="O122" i="4" a="1"/>
  <c r="O122" i="4" s="1"/>
  <c r="M121" i="3" s="1"/>
  <c r="I38" i="3"/>
  <c r="I40" i="3"/>
  <c r="I35" i="3"/>
  <c r="O20" i="4" a="1"/>
  <c r="O20" i="4" s="1"/>
  <c r="M19" i="3" s="1"/>
  <c r="G60" i="3"/>
  <c r="G138" i="3"/>
  <c r="G95" i="3" s="1"/>
  <c r="H36" i="3"/>
  <c r="H123" i="3"/>
  <c r="N128" i="4"/>
  <c r="J34" i="3"/>
  <c r="J191" i="3" s="1"/>
  <c r="F16" i="3"/>
  <c r="F48" i="3"/>
  <c r="O23" i="4" a="1"/>
  <c r="O23" i="4" s="1"/>
  <c r="M22" i="3" s="1"/>
  <c r="N130" i="4"/>
  <c r="J168" i="4"/>
  <c r="N74" i="4"/>
  <c r="O26" i="4" a="1"/>
  <c r="O26" i="4" s="1"/>
  <c r="M25" i="3" s="1"/>
  <c r="O24" i="4" a="1"/>
  <c r="O24" i="4" s="1"/>
  <c r="M23" i="3" s="1"/>
  <c r="M128" i="4"/>
  <c r="O13" i="4" a="1"/>
  <c r="O13" i="4" s="1"/>
  <c r="M12" i="3" s="1"/>
  <c r="O15" i="4" a="1"/>
  <c r="O15" i="4" s="1"/>
  <c r="M14" i="3" s="1"/>
  <c r="M130" i="4"/>
  <c r="O130" i="4" s="1" a="1"/>
  <c r="O130" i="4" s="1"/>
  <c r="M129" i="3" s="1"/>
  <c r="J173" i="4"/>
  <c r="K173" i="4"/>
  <c r="N78" i="4"/>
  <c r="G124" i="4"/>
  <c r="N147" i="4"/>
  <c r="O166" i="4" a="1"/>
  <c r="O166" i="4" s="1"/>
  <c r="M165" i="3" s="1"/>
  <c r="N11" i="4"/>
  <c r="O40" i="4" a="1"/>
  <c r="O40" i="4" s="1"/>
  <c r="M39" i="3" s="1"/>
  <c r="O21" i="4" a="1"/>
  <c r="O21" i="4" s="1"/>
  <c r="M20" i="3" s="1"/>
  <c r="G5" i="4"/>
  <c r="F90" i="4"/>
  <c r="F120" i="4"/>
  <c r="F57" i="4"/>
  <c r="F33" i="4"/>
  <c r="F189" i="4"/>
  <c r="F158" i="4"/>
  <c r="O12" i="4" a="1"/>
  <c r="O12" i="4" s="1"/>
  <c r="M11" i="3" s="1"/>
  <c r="E82" i="4"/>
  <c r="J109" i="4"/>
  <c r="N164" i="4"/>
  <c r="O14" i="4" a="1"/>
  <c r="O14" i="4" s="1"/>
  <c r="M13" i="3" s="1"/>
  <c r="I107" i="4"/>
  <c r="G169" i="4"/>
  <c r="D82" i="4"/>
  <c r="F56" i="3"/>
  <c r="F188" i="3"/>
  <c r="F89" i="3"/>
  <c r="G4" i="3"/>
  <c r="F119" i="3"/>
  <c r="F32" i="3"/>
  <c r="F157" i="3"/>
  <c r="E46" i="4"/>
  <c r="E193" i="4"/>
  <c r="D193" i="4"/>
  <c r="D46" i="4"/>
  <c r="J107" i="4"/>
  <c r="M129" i="4"/>
  <c r="O129" i="4" s="1" a="1"/>
  <c r="O129" i="4" s="1"/>
  <c r="M128" i="3" s="1"/>
  <c r="M74" i="4"/>
  <c r="O74" i="4" s="1" a="1"/>
  <c r="O74" i="4" s="1"/>
  <c r="M73" i="3" s="1"/>
  <c r="E97" i="4"/>
  <c r="F99" i="4"/>
  <c r="F97" i="4"/>
  <c r="K163" i="4"/>
  <c r="K168" i="4"/>
  <c r="E96" i="4"/>
  <c r="E143" i="4"/>
  <c r="F143" i="4"/>
  <c r="I109" i="4"/>
  <c r="H173" i="4"/>
  <c r="M11" i="4"/>
  <c r="E153" i="4"/>
  <c r="H123" i="4"/>
  <c r="I35" i="4"/>
  <c r="H39" i="4"/>
  <c r="H37" i="4"/>
  <c r="H41" i="4"/>
  <c r="H192" i="4"/>
  <c r="H36" i="4"/>
  <c r="O127" i="4" a="1"/>
  <c r="O127" i="4" s="1"/>
  <c r="M126" i="3" s="1"/>
  <c r="G145" i="4"/>
  <c r="G133" i="4"/>
  <c r="M147" i="4"/>
  <c r="M146" i="4"/>
  <c r="O146" i="4" s="1" a="1"/>
  <c r="O146" i="4" s="1"/>
  <c r="M145" i="3" s="1"/>
  <c r="N174" i="4"/>
  <c r="O174" i="4" s="1" a="1"/>
  <c r="O174" i="4" s="1"/>
  <c r="M173" i="3" s="1"/>
  <c r="G107" i="4"/>
  <c r="J169" i="4"/>
  <c r="I169" i="4"/>
  <c r="H169" i="4"/>
  <c r="H109" i="4"/>
  <c r="E99" i="4"/>
  <c r="F172" i="4"/>
  <c r="N172" i="4" s="1"/>
  <c r="E173" i="4"/>
  <c r="K107" i="4"/>
  <c r="F193" i="4"/>
  <c r="F46" i="4"/>
  <c r="D162" i="4"/>
  <c r="E162" i="4"/>
  <c r="M164" i="4"/>
  <c r="M78" i="4"/>
  <c r="F175" i="3" l="1"/>
  <c r="F180" i="3" s="1"/>
  <c r="F182" i="3" s="1"/>
  <c r="G179" i="3" s="1"/>
  <c r="F195" i="3"/>
  <c r="F196" i="3" s="1"/>
  <c r="F92" i="3"/>
  <c r="F99" i="3" s="1"/>
  <c r="F26" i="3"/>
  <c r="N168" i="4"/>
  <c r="D16" i="3"/>
  <c r="D48" i="3"/>
  <c r="G152" i="3"/>
  <c r="G151" i="3"/>
  <c r="G41" i="3" s="1"/>
  <c r="K34" i="3"/>
  <c r="K191" i="3" s="1"/>
  <c r="I122" i="3"/>
  <c r="I132" i="3" s="1"/>
  <c r="J35" i="3"/>
  <c r="J123" i="3" s="1"/>
  <c r="H144" i="3"/>
  <c r="H132" i="3"/>
  <c r="H60" i="3" s="1"/>
  <c r="E99" i="3"/>
  <c r="I144" i="3"/>
  <c r="G133" i="3"/>
  <c r="G61" i="3" s="1"/>
  <c r="O147" i="4" a="1"/>
  <c r="O147" i="4" s="1"/>
  <c r="M146" i="3" s="1"/>
  <c r="O128" i="4" a="1"/>
  <c r="O128" i="4" s="1"/>
  <c r="M127" i="3" s="1"/>
  <c r="G140" i="3"/>
  <c r="G97" i="3" s="1"/>
  <c r="G134" i="4"/>
  <c r="G135" i="4"/>
  <c r="H134" i="3"/>
  <c r="H133" i="3"/>
  <c r="I36" i="3"/>
  <c r="I123" i="3"/>
  <c r="K122" i="3"/>
  <c r="K38" i="3"/>
  <c r="K40" i="3"/>
  <c r="J122" i="3"/>
  <c r="J38" i="3"/>
  <c r="J40" i="3"/>
  <c r="G139" i="3"/>
  <c r="G96" i="3" s="1"/>
  <c r="H139" i="3"/>
  <c r="H96" i="3" s="1"/>
  <c r="O78" i="4" a="1"/>
  <c r="O78" i="4" s="1"/>
  <c r="M77" i="3" s="1"/>
  <c r="O11" i="4" a="1"/>
  <c r="O11" i="4" s="1"/>
  <c r="M10" i="3" s="1"/>
  <c r="H5" i="4"/>
  <c r="G120" i="4"/>
  <c r="G90" i="4"/>
  <c r="G57" i="4"/>
  <c r="G33" i="4"/>
  <c r="G189" i="4"/>
  <c r="G158" i="4"/>
  <c r="G45" i="4"/>
  <c r="O164" i="4" a="1"/>
  <c r="O164" i="4" s="1"/>
  <c r="M163" i="3" s="1"/>
  <c r="F49" i="4"/>
  <c r="F17" i="4"/>
  <c r="H107" i="4"/>
  <c r="D194" i="4"/>
  <c r="E107" i="4"/>
  <c r="K109" i="4"/>
  <c r="M173" i="4"/>
  <c r="M172" i="4"/>
  <c r="O172" i="4" s="1" a="1"/>
  <c r="O172" i="4" s="1"/>
  <c r="M171" i="3" s="1"/>
  <c r="F173" i="4"/>
  <c r="N173" i="4" s="1"/>
  <c r="F109" i="4"/>
  <c r="D17" i="4"/>
  <c r="D49" i="4"/>
  <c r="G153" i="4"/>
  <c r="G152" i="4"/>
  <c r="H45" i="4"/>
  <c r="N162" i="4"/>
  <c r="H145" i="4"/>
  <c r="H139" i="4"/>
  <c r="H133" i="4"/>
  <c r="F150" i="4"/>
  <c r="E49" i="4"/>
  <c r="E17" i="4"/>
  <c r="G139" i="4"/>
  <c r="G61" i="4"/>
  <c r="J35" i="4"/>
  <c r="I41" i="4"/>
  <c r="I192" i="4"/>
  <c r="I123" i="4"/>
  <c r="I39" i="4"/>
  <c r="I37" i="4"/>
  <c r="I36" i="4"/>
  <c r="K169" i="4"/>
  <c r="N169" i="4" s="1"/>
  <c r="E194" i="4"/>
  <c r="E163" i="4"/>
  <c r="N163" i="4" s="1"/>
  <c r="M168" i="4"/>
  <c r="O168" i="4" s="1" a="1"/>
  <c r="O168" i="4" s="1"/>
  <c r="M167" i="3" s="1"/>
  <c r="G188" i="3"/>
  <c r="G89" i="3"/>
  <c r="G56" i="3"/>
  <c r="H4" i="3"/>
  <c r="G119" i="3"/>
  <c r="G32" i="3"/>
  <c r="G157" i="3"/>
  <c r="H124" i="4"/>
  <c r="I45" i="4"/>
  <c r="J45" i="4"/>
  <c r="M162" i="4"/>
  <c r="F194" i="4"/>
  <c r="I138" i="3" l="1"/>
  <c r="I95" i="3" s="1"/>
  <c r="I60" i="3"/>
  <c r="J36" i="3"/>
  <c r="I152" i="3"/>
  <c r="I151" i="3"/>
  <c r="I41" i="3" s="1"/>
  <c r="I93" i="3" s="1"/>
  <c r="F199" i="3"/>
  <c r="F202" i="3" s="1"/>
  <c r="F112" i="3"/>
  <c r="G93" i="3"/>
  <c r="G42" i="3"/>
  <c r="O162" i="4" a="1"/>
  <c r="O162" i="4" s="1"/>
  <c r="M161" i="3" s="1"/>
  <c r="E199" i="3"/>
  <c r="E202" i="3" s="1"/>
  <c r="E112" i="3"/>
  <c r="G64" i="3"/>
  <c r="G150" i="3"/>
  <c r="G102" i="3" s="1"/>
  <c r="G103" i="3" s="1"/>
  <c r="G200" i="3" s="1"/>
  <c r="H149" i="3"/>
  <c r="I149" i="3" s="1"/>
  <c r="K35" i="3"/>
  <c r="K123" i="3" s="1"/>
  <c r="D92" i="3"/>
  <c r="D99" i="3" s="1"/>
  <c r="D175" i="3"/>
  <c r="D180" i="3" s="1"/>
  <c r="D179" i="3" s="1"/>
  <c r="D26" i="3"/>
  <c r="D195" i="3"/>
  <c r="D196" i="3" s="1"/>
  <c r="H138" i="3"/>
  <c r="H95" i="3" s="1"/>
  <c r="H152" i="3"/>
  <c r="H151" i="3"/>
  <c r="H41" i="3" s="1"/>
  <c r="J132" i="3"/>
  <c r="J138" i="3" s="1"/>
  <c r="J95" i="3" s="1"/>
  <c r="J144" i="3"/>
  <c r="K36" i="3"/>
  <c r="K132" i="3"/>
  <c r="K60" i="3" s="1"/>
  <c r="K144" i="3"/>
  <c r="H140" i="3"/>
  <c r="H97" i="3" s="1"/>
  <c r="H69" i="3"/>
  <c r="H61" i="3"/>
  <c r="K133" i="3"/>
  <c r="K61" i="3" s="1"/>
  <c r="K134" i="3"/>
  <c r="J133" i="3"/>
  <c r="J134" i="3"/>
  <c r="I133" i="3"/>
  <c r="I139" i="3" s="1"/>
  <c r="I96" i="3" s="1"/>
  <c r="I134" i="3"/>
  <c r="G140" i="4"/>
  <c r="G62" i="4"/>
  <c r="G70" i="4"/>
  <c r="G141" i="4"/>
  <c r="N17" i="4"/>
  <c r="I5" i="4"/>
  <c r="H158" i="4"/>
  <c r="H90" i="4"/>
  <c r="H57" i="4"/>
  <c r="H33" i="4"/>
  <c r="H120" i="4"/>
  <c r="H189" i="4"/>
  <c r="O173" i="4" a="1"/>
  <c r="O173" i="4" s="1"/>
  <c r="M172" i="3" s="1"/>
  <c r="E93" i="4"/>
  <c r="E196" i="4"/>
  <c r="E176" i="4"/>
  <c r="E27" i="4"/>
  <c r="M45" i="4"/>
  <c r="K45" i="4"/>
  <c r="N45" i="4" s="1"/>
  <c r="H153" i="4"/>
  <c r="H152" i="4"/>
  <c r="G65" i="4"/>
  <c r="H150" i="4"/>
  <c r="G42" i="4"/>
  <c r="F93" i="4"/>
  <c r="F196" i="4"/>
  <c r="F176" i="4"/>
  <c r="F27" i="4"/>
  <c r="E110" i="4"/>
  <c r="E109" i="4"/>
  <c r="N109" i="4" s="1"/>
  <c r="M163" i="4"/>
  <c r="O163" i="4" s="1" a="1"/>
  <c r="O163" i="4" s="1"/>
  <c r="M162" i="3" s="1"/>
  <c r="D196" i="4"/>
  <c r="D27" i="4"/>
  <c r="D176" i="4"/>
  <c r="D93" i="4"/>
  <c r="M17" i="4"/>
  <c r="G96" i="4"/>
  <c r="I124" i="4"/>
  <c r="I145" i="4"/>
  <c r="I133" i="4"/>
  <c r="I139" i="4"/>
  <c r="F153" i="4"/>
  <c r="H135" i="4"/>
  <c r="H134" i="4"/>
  <c r="H89" i="3"/>
  <c r="H188" i="3"/>
  <c r="H157" i="3"/>
  <c r="H119" i="3"/>
  <c r="I4" i="3"/>
  <c r="H32" i="3"/>
  <c r="H56" i="3"/>
  <c r="H61" i="4"/>
  <c r="M169" i="4"/>
  <c r="O169" i="4" s="1" a="1"/>
  <c r="O169" i="4" s="1"/>
  <c r="M168" i="3" s="1"/>
  <c r="F107" i="4"/>
  <c r="N107" i="4" s="1"/>
  <c r="K35" i="4"/>
  <c r="N35" i="4" s="1"/>
  <c r="J192" i="4"/>
  <c r="J123" i="4"/>
  <c r="J41" i="4"/>
  <c r="J39" i="4"/>
  <c r="J36" i="4"/>
  <c r="J151" i="3" l="1"/>
  <c r="J41" i="3" s="1"/>
  <c r="J152" i="3"/>
  <c r="I42" i="3"/>
  <c r="K152" i="3"/>
  <c r="K151" i="3"/>
  <c r="K41" i="3" s="1"/>
  <c r="K93" i="3" s="1"/>
  <c r="I64" i="3"/>
  <c r="I150" i="3"/>
  <c r="I102" i="3" s="1"/>
  <c r="I103" i="3" s="1"/>
  <c r="I200" i="3" s="1"/>
  <c r="G45" i="3"/>
  <c r="G192" i="3"/>
  <c r="G193" i="3" s="1"/>
  <c r="D199" i="3"/>
  <c r="D202" i="3" s="1"/>
  <c r="D112" i="3"/>
  <c r="D113" i="3" s="1"/>
  <c r="O17" i="4" a="1"/>
  <c r="O17" i="4" s="1"/>
  <c r="M16" i="3" s="1"/>
  <c r="H93" i="3"/>
  <c r="H42" i="3"/>
  <c r="J149" i="3"/>
  <c r="K149" i="3" s="1"/>
  <c r="J60" i="3"/>
  <c r="H64" i="3"/>
  <c r="H150" i="3"/>
  <c r="H102" i="3" s="1"/>
  <c r="H103" i="3" s="1"/>
  <c r="H200" i="3" s="1"/>
  <c r="K138" i="3"/>
  <c r="K95" i="3" s="1"/>
  <c r="K140" i="3"/>
  <c r="K97" i="3" s="1"/>
  <c r="K69" i="3"/>
  <c r="K139" i="3"/>
  <c r="K96" i="3" s="1"/>
  <c r="J61" i="3"/>
  <c r="I140" i="3"/>
  <c r="I69" i="3"/>
  <c r="I61" i="3"/>
  <c r="J139" i="3"/>
  <c r="J96" i="3" s="1"/>
  <c r="J140" i="3"/>
  <c r="J97" i="3" s="1"/>
  <c r="J69" i="3"/>
  <c r="G98" i="4"/>
  <c r="G97" i="4"/>
  <c r="I158" i="4"/>
  <c r="I120" i="4"/>
  <c r="I90" i="4"/>
  <c r="I33" i="4"/>
  <c r="I57" i="4"/>
  <c r="J5" i="4"/>
  <c r="I189" i="4"/>
  <c r="E181" i="4"/>
  <c r="I32" i="3"/>
  <c r="I89" i="3"/>
  <c r="J4" i="3"/>
  <c r="I157" i="3"/>
  <c r="I188" i="3"/>
  <c r="I119" i="3"/>
  <c r="I56" i="3"/>
  <c r="J124" i="4"/>
  <c r="H62" i="4"/>
  <c r="H140" i="4"/>
  <c r="D100" i="4"/>
  <c r="E100" i="4"/>
  <c r="H70" i="4"/>
  <c r="H141" i="4"/>
  <c r="O45" i="4" a="1"/>
  <c r="O45" i="4" s="1"/>
  <c r="M44" i="3" s="1"/>
  <c r="G150" i="4"/>
  <c r="D181" i="4"/>
  <c r="F110" i="4"/>
  <c r="J145" i="4"/>
  <c r="J133" i="4"/>
  <c r="M109" i="4"/>
  <c r="O109" i="4" a="1"/>
  <c r="O109" i="4" s="1"/>
  <c r="M108" i="3" s="1"/>
  <c r="F181" i="4"/>
  <c r="F197" i="4"/>
  <c r="M27" i="4"/>
  <c r="G94" i="4"/>
  <c r="G43" i="4"/>
  <c r="I61" i="4"/>
  <c r="E197" i="4"/>
  <c r="I134" i="4"/>
  <c r="I135" i="4"/>
  <c r="M107" i="4"/>
  <c r="O107" i="4" s="1" a="1"/>
  <c r="O107" i="4" s="1"/>
  <c r="M106" i="3" s="1"/>
  <c r="F100" i="4"/>
  <c r="H42" i="4"/>
  <c r="I150" i="4"/>
  <c r="H151" i="4"/>
  <c r="H65" i="4"/>
  <c r="D197" i="4"/>
  <c r="H96" i="4"/>
  <c r="N27" i="4"/>
  <c r="I153" i="4"/>
  <c r="I152" i="4"/>
  <c r="J37" i="4"/>
  <c r="K37" i="4"/>
  <c r="M39" i="4"/>
  <c r="K41" i="4"/>
  <c r="N41" i="4" s="1"/>
  <c r="K123" i="4"/>
  <c r="N123" i="4" s="1"/>
  <c r="M123" i="4"/>
  <c r="K192" i="4"/>
  <c r="N192" i="4" s="1"/>
  <c r="K39" i="4"/>
  <c r="N39" i="4" s="1"/>
  <c r="K36" i="4"/>
  <c r="N36" i="4" s="1"/>
  <c r="M35" i="4"/>
  <c r="O35" i="4" s="1" a="1"/>
  <c r="O35" i="4" s="1"/>
  <c r="M34" i="3" s="1"/>
  <c r="D59" i="3" l="1"/>
  <c r="D62" i="3" s="1"/>
  <c r="D66" i="3" s="1"/>
  <c r="D83" i="3" s="1"/>
  <c r="E111" i="3"/>
  <c r="E113" i="3" s="1"/>
  <c r="I45" i="3"/>
  <c r="I192" i="3"/>
  <c r="I193" i="3" s="1"/>
  <c r="K150" i="3"/>
  <c r="K102" i="3" s="1"/>
  <c r="K103" i="3" s="1"/>
  <c r="K200" i="3" s="1"/>
  <c r="K64" i="3"/>
  <c r="J150" i="3"/>
  <c r="J102" i="3" s="1"/>
  <c r="J103" i="3" s="1"/>
  <c r="J200" i="3" s="1"/>
  <c r="J64" i="3"/>
  <c r="K42" i="3"/>
  <c r="I97" i="3"/>
  <c r="H45" i="3"/>
  <c r="H192" i="3"/>
  <c r="H193" i="3" s="1"/>
  <c r="G47" i="3"/>
  <c r="G124" i="3" s="1"/>
  <c r="G135" i="3" s="1"/>
  <c r="J93" i="3"/>
  <c r="J42" i="3"/>
  <c r="N37" i="4"/>
  <c r="J158" i="4"/>
  <c r="K5" i="4"/>
  <c r="J57" i="4"/>
  <c r="J33" i="4"/>
  <c r="J189" i="4"/>
  <c r="J120" i="4"/>
  <c r="J90" i="4"/>
  <c r="O27" i="4" a="1"/>
  <c r="O27" i="4" s="1"/>
  <c r="M26" i="3" s="1"/>
  <c r="M192" i="4"/>
  <c r="O192" i="4" s="1" a="1"/>
  <c r="O192" i="4" s="1"/>
  <c r="M191" i="3" s="1"/>
  <c r="J96" i="4"/>
  <c r="I62" i="4"/>
  <c r="H103" i="4"/>
  <c r="I42" i="4"/>
  <c r="G151" i="4"/>
  <c r="H97" i="4"/>
  <c r="H94" i="4"/>
  <c r="H43" i="4"/>
  <c r="E183" i="4"/>
  <c r="K124" i="4"/>
  <c r="N124" i="4" s="1"/>
  <c r="M124" i="4"/>
  <c r="D180" i="4"/>
  <c r="I96" i="4"/>
  <c r="D200" i="4"/>
  <c r="D113" i="4"/>
  <c r="I151" i="4"/>
  <c r="I65" i="4"/>
  <c r="J150" i="4"/>
  <c r="J61" i="4"/>
  <c r="J139" i="4"/>
  <c r="J152" i="4"/>
  <c r="J153" i="4"/>
  <c r="H98" i="4"/>
  <c r="M36" i="4"/>
  <c r="O36" i="4" s="1" a="1"/>
  <c r="O36" i="4" s="1"/>
  <c r="M35" i="3" s="1"/>
  <c r="J119" i="3"/>
  <c r="J157" i="3"/>
  <c r="J32" i="3"/>
  <c r="J89" i="3"/>
  <c r="J188" i="3"/>
  <c r="J56" i="3"/>
  <c r="K4" i="3"/>
  <c r="E202" i="4"/>
  <c r="G46" i="4"/>
  <c r="G193" i="4"/>
  <c r="J135" i="4"/>
  <c r="J134" i="4"/>
  <c r="E200" i="4"/>
  <c r="E113" i="4"/>
  <c r="I140" i="4"/>
  <c r="F113" i="4"/>
  <c r="F200" i="4"/>
  <c r="M41" i="4"/>
  <c r="O41" i="4" s="1" a="1"/>
  <c r="O41" i="4" s="1"/>
  <c r="M40" i="3" s="1"/>
  <c r="K145" i="4"/>
  <c r="N145" i="4" s="1"/>
  <c r="K133" i="4"/>
  <c r="N133" i="4" s="1"/>
  <c r="O123" i="4" a="1"/>
  <c r="O123" i="4" s="1"/>
  <c r="M122" i="3" s="1"/>
  <c r="I141" i="4"/>
  <c r="I70" i="4"/>
  <c r="F202" i="4"/>
  <c r="O39" i="4" a="1"/>
  <c r="O39" i="4" s="1"/>
  <c r="M38" i="3" s="1"/>
  <c r="H47" i="3" l="1"/>
  <c r="H124" i="3" s="1"/>
  <c r="H135" i="3" s="1"/>
  <c r="H48" i="3"/>
  <c r="I47" i="3"/>
  <c r="I124" i="3" s="1"/>
  <c r="I135" i="3" s="1"/>
  <c r="I48" i="3"/>
  <c r="J45" i="3"/>
  <c r="J192" i="3"/>
  <c r="J193" i="3" s="1"/>
  <c r="K45" i="3"/>
  <c r="K192" i="3"/>
  <c r="K193" i="3" s="1"/>
  <c r="E59" i="3"/>
  <c r="E62" i="3" s="1"/>
  <c r="E66" i="3" s="1"/>
  <c r="E83" i="3" s="1"/>
  <c r="F111" i="3"/>
  <c r="F113" i="3" s="1"/>
  <c r="G70" i="3"/>
  <c r="G71" i="3" s="1"/>
  <c r="G74" i="3" s="1"/>
  <c r="G141" i="3"/>
  <c r="G48" i="3"/>
  <c r="K57" i="4"/>
  <c r="K158" i="4"/>
  <c r="K33" i="4"/>
  <c r="K90" i="4"/>
  <c r="K120" i="4"/>
  <c r="K189" i="4"/>
  <c r="K152" i="4"/>
  <c r="N152" i="4" s="1"/>
  <c r="K153" i="4"/>
  <c r="N153" i="4" s="1"/>
  <c r="M145" i="4"/>
  <c r="O145" i="4" s="1" a="1"/>
  <c r="O145" i="4" s="1"/>
  <c r="M144" i="3" s="1"/>
  <c r="F180" i="4"/>
  <c r="J70" i="4"/>
  <c r="J141" i="4"/>
  <c r="K61" i="4"/>
  <c r="N61" i="4" s="1"/>
  <c r="M133" i="4"/>
  <c r="O133" i="4" s="1" a="1"/>
  <c r="O133" i="4" s="1"/>
  <c r="M132" i="3" s="1"/>
  <c r="H104" i="4"/>
  <c r="I98" i="4"/>
  <c r="K56" i="3"/>
  <c r="K119" i="3"/>
  <c r="K188" i="3"/>
  <c r="K32" i="3"/>
  <c r="K89" i="3"/>
  <c r="K157" i="3"/>
  <c r="H193" i="4"/>
  <c r="H46" i="4"/>
  <c r="J42" i="4"/>
  <c r="J151" i="4"/>
  <c r="J65" i="4"/>
  <c r="K150" i="4"/>
  <c r="N150" i="4" s="1"/>
  <c r="G194" i="4"/>
  <c r="I97" i="4"/>
  <c r="E203" i="4"/>
  <c r="K139" i="4"/>
  <c r="N139" i="4" s="1"/>
  <c r="D203" i="4"/>
  <c r="F203" i="4"/>
  <c r="D114" i="4"/>
  <c r="G49" i="4"/>
  <c r="G48" i="4"/>
  <c r="G103" i="4"/>
  <c r="K134" i="4"/>
  <c r="N134" i="4" s="1"/>
  <c r="K135" i="4"/>
  <c r="N135" i="4" s="1"/>
  <c r="J62" i="4"/>
  <c r="K140" i="4"/>
  <c r="I94" i="4"/>
  <c r="I43" i="4"/>
  <c r="J140" i="4"/>
  <c r="M37" i="4"/>
  <c r="O37" i="4" s="1" a="1"/>
  <c r="O37" i="4" s="1"/>
  <c r="M36" i="3" s="1"/>
  <c r="O124" i="4" a="1"/>
  <c r="O124" i="4" s="1"/>
  <c r="M123" i="3" s="1"/>
  <c r="I103" i="4"/>
  <c r="K47" i="3" l="1"/>
  <c r="K124" i="3" s="1"/>
  <c r="K135" i="3" s="1"/>
  <c r="K48" i="3"/>
  <c r="G195" i="3"/>
  <c r="G196" i="3" s="1"/>
  <c r="G175" i="3"/>
  <c r="G180" i="3" s="1"/>
  <c r="G92" i="3"/>
  <c r="G99" i="3" s="1"/>
  <c r="G50" i="3"/>
  <c r="G176" i="3" s="1"/>
  <c r="G181" i="3" s="1"/>
  <c r="G107" i="3" s="1"/>
  <c r="G109" i="3" s="1"/>
  <c r="G201" i="3" s="1"/>
  <c r="I70" i="3"/>
  <c r="I71" i="3" s="1"/>
  <c r="I74" i="3" s="1"/>
  <c r="I141" i="3"/>
  <c r="G111" i="3"/>
  <c r="F59" i="3"/>
  <c r="F62" i="3" s="1"/>
  <c r="F66" i="3" s="1"/>
  <c r="F83" i="3" s="1"/>
  <c r="H92" i="3"/>
  <c r="H50" i="3"/>
  <c r="H176" i="3" s="1"/>
  <c r="H181" i="3" s="1"/>
  <c r="H107" i="3" s="1"/>
  <c r="H109" i="3" s="1"/>
  <c r="H201" i="3" s="1"/>
  <c r="H175" i="3"/>
  <c r="H180" i="3" s="1"/>
  <c r="H195" i="3"/>
  <c r="H196" i="3" s="1"/>
  <c r="J47" i="3"/>
  <c r="J124" i="3" s="1"/>
  <c r="J135" i="3" s="1"/>
  <c r="G98" i="3"/>
  <c r="G142" i="3"/>
  <c r="I92" i="3"/>
  <c r="I175" i="3"/>
  <c r="I180" i="3" s="1"/>
  <c r="I50" i="3"/>
  <c r="I176" i="3" s="1"/>
  <c r="I181" i="3" s="1"/>
  <c r="I107" i="3" s="1"/>
  <c r="I109" i="3" s="1"/>
  <c r="I201" i="3" s="1"/>
  <c r="I195" i="3"/>
  <c r="I196" i="3" s="1"/>
  <c r="H141" i="3"/>
  <c r="H70" i="3"/>
  <c r="H71" i="3" s="1"/>
  <c r="H74" i="3" s="1"/>
  <c r="N140" i="4"/>
  <c r="H201" i="4"/>
  <c r="K97" i="4"/>
  <c r="D60" i="4"/>
  <c r="E112" i="4"/>
  <c r="M61" i="4"/>
  <c r="O61" i="4" s="1" a="1"/>
  <c r="O61" i="4" s="1"/>
  <c r="M60" i="3" s="1"/>
  <c r="K65" i="4"/>
  <c r="N65" i="4" s="1"/>
  <c r="K151" i="4"/>
  <c r="N151" i="4" s="1"/>
  <c r="M65" i="4"/>
  <c r="M153" i="4"/>
  <c r="O153" i="4" s="1" a="1"/>
  <c r="O153" i="4" s="1"/>
  <c r="M152" i="3" s="1"/>
  <c r="K42" i="4"/>
  <c r="N42" i="4" s="1"/>
  <c r="M152" i="4"/>
  <c r="O152" i="4" s="1" a="1"/>
  <c r="O152" i="4" s="1"/>
  <c r="M151" i="3" s="1"/>
  <c r="M70" i="4"/>
  <c r="K141" i="4"/>
  <c r="N141" i="4" s="1"/>
  <c r="K70" i="4"/>
  <c r="N70" i="4" s="1"/>
  <c r="K62" i="4"/>
  <c r="N62" i="4" s="1"/>
  <c r="M140" i="4"/>
  <c r="O140" i="4" s="1" a="1"/>
  <c r="O140" i="4" s="1"/>
  <c r="M139" i="3" s="1"/>
  <c r="M134" i="4"/>
  <c r="O134" i="4" s="1" a="1"/>
  <c r="O134" i="4" s="1"/>
  <c r="M133" i="3" s="1"/>
  <c r="G104" i="4"/>
  <c r="M150" i="4"/>
  <c r="O150" i="4" s="1" a="1"/>
  <c r="O150" i="4" s="1"/>
  <c r="M149" i="3" s="1"/>
  <c r="J103" i="4"/>
  <c r="F183" i="4"/>
  <c r="K96" i="4"/>
  <c r="N96" i="4" s="1"/>
  <c r="M139" i="4"/>
  <c r="O139" i="4" s="1" a="1"/>
  <c r="O139" i="4" s="1"/>
  <c r="M138" i="3" s="1"/>
  <c r="H194" i="4"/>
  <c r="G125" i="4"/>
  <c r="I104" i="4"/>
  <c r="M135" i="4"/>
  <c r="O135" i="4" s="1" a="1"/>
  <c r="O135" i="4" s="1"/>
  <c r="M134" i="3" s="1"/>
  <c r="J97" i="4"/>
  <c r="M62" i="4"/>
  <c r="J98" i="4"/>
  <c r="M141" i="4"/>
  <c r="J94" i="4"/>
  <c r="J43" i="4"/>
  <c r="I46" i="4"/>
  <c r="I193" i="4"/>
  <c r="H48" i="4"/>
  <c r="H98" i="3" l="1"/>
  <c r="H142" i="3"/>
  <c r="J141" i="3"/>
  <c r="J70" i="3"/>
  <c r="J71" i="3" s="1"/>
  <c r="J74" i="3" s="1"/>
  <c r="I99" i="3"/>
  <c r="H99" i="3"/>
  <c r="G112" i="3"/>
  <c r="G113" i="3" s="1"/>
  <c r="G199" i="3"/>
  <c r="G202" i="3" s="1"/>
  <c r="G182" i="3"/>
  <c r="K175" i="3"/>
  <c r="K180" i="3" s="1"/>
  <c r="K50" i="3"/>
  <c r="K176" i="3" s="1"/>
  <c r="K181" i="3" s="1"/>
  <c r="K107" i="3" s="1"/>
  <c r="K109" i="3" s="1"/>
  <c r="K201" i="3" s="1"/>
  <c r="K195" i="3"/>
  <c r="K196" i="3" s="1"/>
  <c r="K92" i="3"/>
  <c r="J48" i="3"/>
  <c r="I98" i="3"/>
  <c r="I142" i="3"/>
  <c r="K70" i="3"/>
  <c r="K71" i="3" s="1"/>
  <c r="K74" i="3" s="1"/>
  <c r="K141" i="3"/>
  <c r="O62" i="4" a="1"/>
  <c r="O62" i="4" s="1"/>
  <c r="M61" i="3" s="1"/>
  <c r="O70" i="4" a="1"/>
  <c r="O70" i="4" s="1"/>
  <c r="M69" i="3" s="1"/>
  <c r="O141" i="4" a="1"/>
  <c r="O141" i="4" s="1"/>
  <c r="M140" i="3" s="1"/>
  <c r="N97" i="4"/>
  <c r="K94" i="4"/>
  <c r="N94" i="4" s="1"/>
  <c r="M42" i="4"/>
  <c r="O42" i="4" s="1" a="1"/>
  <c r="O42" i="4" s="1"/>
  <c r="M41" i="3" s="1"/>
  <c r="K43" i="4"/>
  <c r="N43" i="4" s="1"/>
  <c r="G136" i="4"/>
  <c r="H125" i="4"/>
  <c r="K103" i="4"/>
  <c r="N103" i="4" s="1"/>
  <c r="M151" i="4"/>
  <c r="O151" i="4" s="1" a="1"/>
  <c r="O151" i="4" s="1"/>
  <c r="M150" i="3" s="1"/>
  <c r="G201" i="4"/>
  <c r="G196" i="4"/>
  <c r="G93" i="4"/>
  <c r="G51" i="4"/>
  <c r="G176" i="4"/>
  <c r="I194" i="4"/>
  <c r="M97" i="4"/>
  <c r="O97" i="4" s="1" a="1"/>
  <c r="O97" i="4" s="1"/>
  <c r="M96" i="3" s="1"/>
  <c r="K98" i="4"/>
  <c r="N98" i="4" s="1"/>
  <c r="J193" i="4"/>
  <c r="J46" i="4"/>
  <c r="J104" i="4"/>
  <c r="D63" i="4"/>
  <c r="O65" i="4" a="1"/>
  <c r="O65" i="4" s="1"/>
  <c r="M64" i="3" s="1"/>
  <c r="I201" i="4"/>
  <c r="H49" i="4"/>
  <c r="M96" i="4"/>
  <c r="O96" i="4" s="1" a="1"/>
  <c r="O96" i="4" s="1"/>
  <c r="M95" i="3" s="1"/>
  <c r="E114" i="4"/>
  <c r="I48" i="4"/>
  <c r="G180" i="4"/>
  <c r="H93" i="4"/>
  <c r="H196" i="4"/>
  <c r="H51" i="4"/>
  <c r="H176" i="4"/>
  <c r="H111" i="3" l="1"/>
  <c r="G59" i="3"/>
  <c r="G62" i="3" s="1"/>
  <c r="G66" i="3" s="1"/>
  <c r="I199" i="3"/>
  <c r="I202" i="3" s="1"/>
  <c r="I112" i="3"/>
  <c r="K142" i="3"/>
  <c r="K98" i="3"/>
  <c r="K99" i="3" s="1"/>
  <c r="J98" i="3"/>
  <c r="J142" i="3"/>
  <c r="H112" i="3"/>
  <c r="H199" i="3"/>
  <c r="H202" i="3" s="1"/>
  <c r="H179" i="3"/>
  <c r="H182" i="3" s="1"/>
  <c r="G78" i="3"/>
  <c r="G79" i="3" s="1"/>
  <c r="G81" i="3" s="1"/>
  <c r="J195" i="3"/>
  <c r="J196" i="3" s="1"/>
  <c r="J175" i="3"/>
  <c r="J180" i="3" s="1"/>
  <c r="J50" i="3"/>
  <c r="J176" i="3" s="1"/>
  <c r="J181" i="3" s="1"/>
  <c r="J107" i="3" s="1"/>
  <c r="J109" i="3" s="1"/>
  <c r="J201" i="3" s="1"/>
  <c r="J92" i="3"/>
  <c r="J99" i="3" s="1"/>
  <c r="J194" i="4"/>
  <c r="K104" i="4"/>
  <c r="N104" i="4" s="1"/>
  <c r="M104" i="4"/>
  <c r="O104" i="4" s="1" a="1"/>
  <c r="O104" i="4" s="1"/>
  <c r="M103" i="3" s="1"/>
  <c r="M103" i="4"/>
  <c r="O103" i="4" s="1" a="1"/>
  <c r="O103" i="4" s="1"/>
  <c r="M102" i="3" s="1"/>
  <c r="G108" i="4"/>
  <c r="G177" i="4"/>
  <c r="D67" i="4"/>
  <c r="K46" i="4"/>
  <c r="N46" i="4" s="1"/>
  <c r="K193" i="4"/>
  <c r="N193" i="4" s="1"/>
  <c r="M94" i="4"/>
  <c r="O94" i="4" a="1"/>
  <c r="O94" i="4" s="1"/>
  <c r="M93" i="3" s="1"/>
  <c r="F112" i="4"/>
  <c r="E60" i="4"/>
  <c r="I125" i="4"/>
  <c r="H181" i="4"/>
  <c r="H197" i="4"/>
  <c r="M43" i="4"/>
  <c r="O43" i="4" s="1" a="1"/>
  <c r="O43" i="4" s="1"/>
  <c r="M42" i="3" s="1"/>
  <c r="M98" i="4"/>
  <c r="O98" i="4" s="1" a="1"/>
  <c r="O98" i="4" s="1"/>
  <c r="M97" i="3" s="1"/>
  <c r="J201" i="4"/>
  <c r="H136" i="4"/>
  <c r="G181" i="4"/>
  <c r="G71" i="4"/>
  <c r="G142" i="4"/>
  <c r="I49" i="4"/>
  <c r="G197" i="4"/>
  <c r="H177" i="4"/>
  <c r="H108" i="4"/>
  <c r="J48" i="4"/>
  <c r="K112" i="3" l="1"/>
  <c r="K199" i="3"/>
  <c r="K202" i="3" s="1"/>
  <c r="J199" i="3"/>
  <c r="J202" i="3" s="1"/>
  <c r="J112" i="3"/>
  <c r="I179" i="3"/>
  <c r="I182" i="3" s="1"/>
  <c r="H78" i="3"/>
  <c r="H79" i="3" s="1"/>
  <c r="H81" i="3" s="1"/>
  <c r="G83" i="3"/>
  <c r="H113" i="3"/>
  <c r="J125" i="4"/>
  <c r="E63" i="4"/>
  <c r="J51" i="4"/>
  <c r="J93" i="4"/>
  <c r="J176" i="4"/>
  <c r="J196" i="4"/>
  <c r="K194" i="4"/>
  <c r="N194" i="4" s="1"/>
  <c r="M193" i="4"/>
  <c r="O193" i="4" s="1" a="1"/>
  <c r="O193" i="4" s="1"/>
  <c r="M192" i="3" s="1"/>
  <c r="H71" i="4"/>
  <c r="H142" i="4"/>
  <c r="I136" i="4"/>
  <c r="G182" i="4"/>
  <c r="G183" i="4"/>
  <c r="H110" i="4"/>
  <c r="F114" i="4"/>
  <c r="I93" i="4"/>
  <c r="I196" i="4"/>
  <c r="I176" i="4"/>
  <c r="I51" i="4"/>
  <c r="K48" i="4"/>
  <c r="N48" i="4" s="1"/>
  <c r="M48" i="4"/>
  <c r="M46" i="4"/>
  <c r="O46" i="4" s="1" a="1"/>
  <c r="O46" i="4" s="1"/>
  <c r="M45" i="3" s="1"/>
  <c r="G99" i="4"/>
  <c r="G143" i="4"/>
  <c r="G110" i="4"/>
  <c r="J49" i="4"/>
  <c r="H182" i="4"/>
  <c r="K201" i="4"/>
  <c r="N201" i="4" s="1"/>
  <c r="M201" i="4"/>
  <c r="D84" i="4"/>
  <c r="G72" i="4"/>
  <c r="I111" i="3" l="1"/>
  <c r="I113" i="3" s="1"/>
  <c r="H59" i="3"/>
  <c r="H62" i="3" s="1"/>
  <c r="H66" i="3" s="1"/>
  <c r="H83" i="3" s="1"/>
  <c r="J179" i="3"/>
  <c r="J182" i="3" s="1"/>
  <c r="I78" i="3"/>
  <c r="I79" i="3" s="1"/>
  <c r="I81" i="3" s="1"/>
  <c r="M49" i="4"/>
  <c r="O201" i="4" a="1"/>
  <c r="O201" i="4" s="1"/>
  <c r="M200" i="3" s="1"/>
  <c r="O48" i="4" a="1"/>
  <c r="O48" i="4" s="1"/>
  <c r="M47" i="3" s="1"/>
  <c r="H202" i="4"/>
  <c r="G100" i="4"/>
  <c r="I181" i="4"/>
  <c r="M176" i="4"/>
  <c r="I142" i="4"/>
  <c r="I71" i="4"/>
  <c r="E67" i="4"/>
  <c r="J181" i="4"/>
  <c r="J197" i="4"/>
  <c r="I177" i="4"/>
  <c r="I108" i="4"/>
  <c r="H72" i="4"/>
  <c r="G202" i="4"/>
  <c r="I197" i="4"/>
  <c r="M196" i="4"/>
  <c r="J177" i="4"/>
  <c r="J108" i="4"/>
  <c r="F60" i="4"/>
  <c r="G112" i="4"/>
  <c r="K176" i="4"/>
  <c r="N176" i="4" s="1"/>
  <c r="M51" i="4"/>
  <c r="K93" i="4"/>
  <c r="N93" i="4" s="1"/>
  <c r="K196" i="4"/>
  <c r="N196" i="4" s="1"/>
  <c r="O196" i="4" s="1" a="1"/>
  <c r="O196" i="4" s="1"/>
  <c r="M195" i="3" s="1"/>
  <c r="M93" i="4"/>
  <c r="K51" i="4"/>
  <c r="N51" i="4" s="1"/>
  <c r="G75" i="4"/>
  <c r="H99" i="4"/>
  <c r="H143" i="4"/>
  <c r="M194" i="4"/>
  <c r="O194" i="4" s="1" a="1"/>
  <c r="O194" i="4" s="1"/>
  <c r="M193" i="3" s="1"/>
  <c r="J136" i="4"/>
  <c r="K125" i="4"/>
  <c r="N125" i="4" s="1"/>
  <c r="M125" i="4"/>
  <c r="K49" i="4"/>
  <c r="N49" i="4" s="1"/>
  <c r="O49" i="4" s="1" a="1"/>
  <c r="O49" i="4" s="1"/>
  <c r="M48" i="3" s="1"/>
  <c r="K179" i="3" l="1"/>
  <c r="K182" i="3" s="1"/>
  <c r="K78" i="3" s="1"/>
  <c r="K79" i="3" s="1"/>
  <c r="K81" i="3" s="1"/>
  <c r="J78" i="3"/>
  <c r="J79" i="3" s="1"/>
  <c r="J81" i="3" s="1"/>
  <c r="J111" i="3"/>
  <c r="J113" i="3" s="1"/>
  <c r="I59" i="3"/>
  <c r="I62" i="3" s="1"/>
  <c r="I66" i="3" s="1"/>
  <c r="I83" i="3" s="1"/>
  <c r="O51" i="4" a="1"/>
  <c r="O51" i="4" s="1"/>
  <c r="M50" i="3" s="1"/>
  <c r="O176" i="4" a="1"/>
  <c r="O176" i="4" s="1"/>
  <c r="M175" i="3" s="1"/>
  <c r="O93" i="4" a="1"/>
  <c r="O93" i="4" s="1"/>
  <c r="M92" i="3" s="1"/>
  <c r="J182" i="4"/>
  <c r="G200" i="4"/>
  <c r="G114" i="4"/>
  <c r="G113" i="4"/>
  <c r="H75" i="4"/>
  <c r="I110" i="4"/>
  <c r="I182" i="4"/>
  <c r="K108" i="4"/>
  <c r="N108" i="4" s="1"/>
  <c r="K177" i="4"/>
  <c r="N177" i="4" s="1"/>
  <c r="K197" i="4"/>
  <c r="N197" i="4" s="1"/>
  <c r="M197" i="4"/>
  <c r="I72" i="4"/>
  <c r="H180" i="4"/>
  <c r="G79" i="4"/>
  <c r="J71" i="4"/>
  <c r="J142" i="4"/>
  <c r="K136" i="4"/>
  <c r="N136" i="4" s="1"/>
  <c r="O125" i="4" a="1"/>
  <c r="O125" i="4" s="1"/>
  <c r="M124" i="3" s="1"/>
  <c r="F63" i="4"/>
  <c r="J110" i="4"/>
  <c r="M181" i="4"/>
  <c r="K181" i="4"/>
  <c r="N181" i="4" s="1"/>
  <c r="H100" i="4"/>
  <c r="E84" i="4"/>
  <c r="I99" i="4"/>
  <c r="I143" i="4"/>
  <c r="K111" i="3" l="1"/>
  <c r="K113" i="3" s="1"/>
  <c r="K59" i="3" s="1"/>
  <c r="K62" i="3" s="1"/>
  <c r="K66" i="3" s="1"/>
  <c r="K83" i="3" s="1"/>
  <c r="J59" i="3"/>
  <c r="J62" i="3" s="1"/>
  <c r="J66" i="3" s="1"/>
  <c r="J83" i="3" s="1"/>
  <c r="O197" i="4" a="1"/>
  <c r="O197" i="4" s="1"/>
  <c r="M196" i="3" s="1"/>
  <c r="G60" i="4"/>
  <c r="H200" i="4"/>
  <c r="H113" i="4"/>
  <c r="J72" i="4"/>
  <c r="H183" i="4"/>
  <c r="O181" i="4" a="1"/>
  <c r="O181" i="4" s="1"/>
  <c r="M180" i="3" s="1"/>
  <c r="I100" i="4"/>
  <c r="I75" i="4"/>
  <c r="J99" i="4"/>
  <c r="J143" i="4"/>
  <c r="G203" i="4"/>
  <c r="G80" i="4"/>
  <c r="M108" i="4"/>
  <c r="O108" i="4" s="1" a="1"/>
  <c r="O108" i="4" s="1"/>
  <c r="M107" i="3" s="1"/>
  <c r="K71" i="4"/>
  <c r="N71" i="4" s="1"/>
  <c r="M71" i="4"/>
  <c r="K142" i="4"/>
  <c r="N142" i="4" s="1"/>
  <c r="M136" i="4"/>
  <c r="O136" i="4" s="1" a="1"/>
  <c r="O136" i="4" s="1"/>
  <c r="M135" i="3" s="1"/>
  <c r="H112" i="4"/>
  <c r="J202" i="4"/>
  <c r="I202" i="4"/>
  <c r="K182" i="4"/>
  <c r="N182" i="4" s="1"/>
  <c r="M182" i="4"/>
  <c r="K110" i="4"/>
  <c r="N110" i="4" s="1"/>
  <c r="M177" i="4"/>
  <c r="O177" i="4" s="1" a="1"/>
  <c r="O177" i="4" s="1"/>
  <c r="M176" i="3" s="1"/>
  <c r="F67" i="4"/>
  <c r="O182" i="4" l="1" a="1"/>
  <c r="O182" i="4" s="1"/>
  <c r="M181" i="3" s="1"/>
  <c r="K202" i="4"/>
  <c r="N202" i="4" s="1"/>
  <c r="M202" i="4"/>
  <c r="I180" i="4"/>
  <c r="H79" i="4"/>
  <c r="H203" i="4"/>
  <c r="O71" i="4" a="1"/>
  <c r="O71" i="4" s="1"/>
  <c r="M70" i="3" s="1"/>
  <c r="M142" i="4"/>
  <c r="O142" i="4" s="1" a="1"/>
  <c r="O142" i="4" s="1"/>
  <c r="M141" i="3" s="1"/>
  <c r="H114" i="4"/>
  <c r="I200" i="4"/>
  <c r="I113" i="4"/>
  <c r="G82" i="4"/>
  <c r="G63" i="4"/>
  <c r="J100" i="4"/>
  <c r="M110" i="4"/>
  <c r="O110" i="4" s="1" a="1"/>
  <c r="O110" i="4" s="1"/>
  <c r="M109" i="3" s="1"/>
  <c r="K72" i="4"/>
  <c r="N72" i="4" s="1"/>
  <c r="F84" i="4"/>
  <c r="J75" i="4"/>
  <c r="M72" i="4"/>
  <c r="K99" i="4"/>
  <c r="N99" i="4" s="1"/>
  <c r="K143" i="4"/>
  <c r="N143" i="4" s="1"/>
  <c r="K100" i="4" l="1"/>
  <c r="N100" i="4" s="1"/>
  <c r="I183" i="4"/>
  <c r="O202" i="4" a="1"/>
  <c r="O202" i="4" s="1"/>
  <c r="M201" i="3" s="1"/>
  <c r="M143" i="4"/>
  <c r="O143" i="4" s="1" a="1"/>
  <c r="O143" i="4" s="1"/>
  <c r="M142" i="3" s="1"/>
  <c r="H80" i="4"/>
  <c r="J200" i="4"/>
  <c r="J113" i="4"/>
  <c r="G67" i="4"/>
  <c r="H60" i="4"/>
  <c r="I112" i="4"/>
  <c r="I203" i="4"/>
  <c r="K75" i="4"/>
  <c r="N75" i="4" s="1"/>
  <c r="O72" i="4" a="1"/>
  <c r="O72" i="4" s="1"/>
  <c r="M71" i="3" s="1"/>
  <c r="M99" i="4"/>
  <c r="O99" i="4" s="1" a="1"/>
  <c r="O99" i="4" s="1"/>
  <c r="M98" i="3" s="1"/>
  <c r="J180" i="4" l="1"/>
  <c r="I79" i="4"/>
  <c r="J203" i="4"/>
  <c r="G84" i="4"/>
  <c r="H63" i="4"/>
  <c r="K200" i="4"/>
  <c r="N200" i="4" s="1"/>
  <c r="K113" i="4"/>
  <c r="N113" i="4" s="1"/>
  <c r="H82" i="4"/>
  <c r="M75" i="4"/>
  <c r="O75" i="4" s="1" a="1"/>
  <c r="O75" i="4" s="1"/>
  <c r="M74" i="3" s="1"/>
  <c r="I114" i="4"/>
  <c r="M100" i="4"/>
  <c r="O100" i="4" s="1" a="1"/>
  <c r="O100" i="4" s="1"/>
  <c r="M99" i="3" s="1"/>
  <c r="M203" i="4" l="1"/>
  <c r="K203" i="4"/>
  <c r="N203" i="4" s="1"/>
  <c r="M200" i="4"/>
  <c r="O200" i="4" s="1" a="1"/>
  <c r="O200" i="4" s="1"/>
  <c r="M199" i="3" s="1"/>
  <c r="H67" i="4"/>
  <c r="O203" i="4" a="1"/>
  <c r="O203" i="4" s="1"/>
  <c r="M202" i="3" s="1"/>
  <c r="M113" i="4"/>
  <c r="O113" i="4" a="1"/>
  <c r="O113" i="4" s="1"/>
  <c r="M112" i="3" s="1"/>
  <c r="I60" i="4"/>
  <c r="J112" i="4"/>
  <c r="J183" i="4"/>
  <c r="I80" i="4"/>
  <c r="J114" i="4" l="1"/>
  <c r="J79" i="4"/>
  <c r="K180" i="4"/>
  <c r="N180" i="4" s="1"/>
  <c r="I63" i="4"/>
  <c r="H84" i="4"/>
  <c r="I82" i="4"/>
  <c r="I67" i="4" l="1"/>
  <c r="J80" i="4"/>
  <c r="J60" i="4"/>
  <c r="K112" i="4"/>
  <c r="N112" i="4" s="1"/>
  <c r="K183" i="4"/>
  <c r="N183" i="4" s="1"/>
  <c r="M180" i="4"/>
  <c r="O180" i="4" a="1"/>
  <c r="O180" i="4" s="1"/>
  <c r="M179" i="3" s="1"/>
  <c r="K79" i="4" l="1"/>
  <c r="N79" i="4" s="1"/>
  <c r="M183" i="4"/>
  <c r="O183" i="4" a="1"/>
  <c r="O183" i="4" s="1"/>
  <c r="M182" i="3" s="1"/>
  <c r="J63" i="4"/>
  <c r="I84" i="4"/>
  <c r="K114" i="4"/>
  <c r="N114" i="4" s="1"/>
  <c r="M112" i="4"/>
  <c r="O112" i="4" s="1" a="1"/>
  <c r="O112" i="4" s="1"/>
  <c r="M111" i="3" s="1"/>
  <c r="J82" i="4"/>
  <c r="J67" i="4" l="1"/>
  <c r="K60" i="4"/>
  <c r="N60" i="4" s="1"/>
  <c r="M114" i="4"/>
  <c r="O114" i="4" s="1" a="1"/>
  <c r="O114" i="4" s="1"/>
  <c r="M113" i="3" s="1"/>
  <c r="K80" i="4"/>
  <c r="N80" i="4" s="1"/>
  <c r="M79" i="4"/>
  <c r="O79" i="4" a="1"/>
  <c r="O79" i="4" s="1"/>
  <c r="M78" i="3" s="1"/>
  <c r="K82" i="4" l="1"/>
  <c r="N82" i="4" s="1"/>
  <c r="M80" i="4"/>
  <c r="O80" i="4" s="1" a="1"/>
  <c r="O80" i="4" s="1"/>
  <c r="M79" i="3" s="1"/>
  <c r="K63" i="4"/>
  <c r="N63" i="4" s="1"/>
  <c r="M60" i="4"/>
  <c r="O60" i="4" s="1" a="1"/>
  <c r="O60" i="4" s="1"/>
  <c r="M59" i="3" s="1"/>
  <c r="J84" i="4"/>
  <c r="K67" i="4" l="1"/>
  <c r="N67" i="4" s="1"/>
  <c r="M63" i="4"/>
  <c r="O63" i="4" s="1" a="1"/>
  <c r="O63" i="4" s="1"/>
  <c r="M62" i="3" s="1"/>
  <c r="M82" i="4"/>
  <c r="O82" i="4" s="1" a="1"/>
  <c r="O82" i="4" s="1"/>
  <c r="M81" i="3" s="1"/>
  <c r="K84" i="4" l="1"/>
  <c r="N84" i="4" s="1"/>
  <c r="M67" i="4"/>
  <c r="O67" i="4" s="1" a="1"/>
  <c r="O67" i="4" s="1"/>
  <c r="M66" i="3" s="1"/>
  <c r="M84" i="4" l="1"/>
  <c r="O84" i="4" a="1"/>
  <c r="O84" i="4" s="1"/>
  <c r="M83" i="3" s="1"/>
  <c r="N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<sst xmlns="http://schemas.openxmlformats.org/spreadsheetml/2006/main" count="352" uniqueCount="111">
  <si>
    <t xml:space="preserve"> </t>
  </si>
  <si>
    <t>Balance Sheet Unbalanced?</t>
  </si>
  <si>
    <t>Model</t>
  </si>
  <si>
    <t>Model Checks</t>
  </si>
  <si>
    <t>Table of Contents</t>
  </si>
  <si>
    <t>3-Statement Modeling</t>
  </si>
  <si>
    <t>Cash Flow Statement</t>
  </si>
  <si>
    <t>Income Statement</t>
  </si>
  <si>
    <t>Change in Cash</t>
  </si>
  <si>
    <t>Financing</t>
  </si>
  <si>
    <t>Investing</t>
  </si>
  <si>
    <t>Operating</t>
  </si>
  <si>
    <t>Cash Flow</t>
  </si>
  <si>
    <t>Net Income Margin</t>
  </si>
  <si>
    <t>Net Income</t>
  </si>
  <si>
    <t>EBITDA Margin</t>
  </si>
  <si>
    <t>EBITDA</t>
  </si>
  <si>
    <t>Revenue</t>
  </si>
  <si>
    <t>All figures in USD thousands unless stated</t>
  </si>
  <si>
    <t>Charts &amp; Graphs</t>
  </si>
  <si>
    <t>RE, End of Period</t>
  </si>
  <si>
    <t>Dividends</t>
  </si>
  <si>
    <t>Beginning of Period</t>
  </si>
  <si>
    <t>Retained Earnings (RE)</t>
  </si>
  <si>
    <t>Common Stock, End of Period</t>
  </si>
  <si>
    <t>Additions (Repayments)</t>
  </si>
  <si>
    <t>Common Stock and Additional Paid-In Capital</t>
  </si>
  <si>
    <t>Total Interest</t>
  </si>
  <si>
    <t>Long Term Debt Interest</t>
  </si>
  <si>
    <t>Long-Term Debt Interest (Average Debt)</t>
  </si>
  <si>
    <t/>
  </si>
  <si>
    <t>LTD, End of Period</t>
  </si>
  <si>
    <t>Long Term Debt (LTD)</t>
  </si>
  <si>
    <t>Capital Structure Schedules</t>
  </si>
  <si>
    <t>Net PP&amp;E, End of Period</t>
  </si>
  <si>
    <t>Depreciation Expense</t>
  </si>
  <si>
    <t>Capital Expenditures/Additions (Disposals)</t>
  </si>
  <si>
    <t>Property, Plant &amp; Equipment (PP&amp;E)</t>
  </si>
  <si>
    <t>Depreciation (Percent of Sales)</t>
  </si>
  <si>
    <t>(x)</t>
  </si>
  <si>
    <t>Capital Asset Turnover Ratio</t>
  </si>
  <si>
    <t>Cash from Working Capital Items</t>
  </si>
  <si>
    <t>Income Taxes Payable</t>
  </si>
  <si>
    <t>Trade and Other Payables</t>
  </si>
  <si>
    <t>Inventory</t>
  </si>
  <si>
    <t>Trade and Other Receivables</t>
  </si>
  <si>
    <t>Cash Changes from Working Capital</t>
  </si>
  <si>
    <t>Income Tax Payable</t>
  </si>
  <si>
    <t>Working Capital</t>
  </si>
  <si>
    <t>Income Tax Payable (Percent of Taxes)</t>
  </si>
  <si>
    <t>(Days)</t>
  </si>
  <si>
    <t>Taxes</t>
  </si>
  <si>
    <t>Cost of Goods Sold</t>
  </si>
  <si>
    <t>Days in Period</t>
  </si>
  <si>
    <t>Working Capital and PP&amp;E Schedule</t>
  </si>
  <si>
    <t>Cash and Equivalents, End of the Year</t>
  </si>
  <si>
    <t>Increase/(Decrease) in Cash and Equivalents</t>
  </si>
  <si>
    <t>Cash and Equivalents, Beginning of the Year</t>
  </si>
  <si>
    <t>Cash Flows from Financing Activities</t>
  </si>
  <si>
    <t>Increase/(Decrease) in Long-Term Debt</t>
  </si>
  <si>
    <t>Dividends (current year)</t>
  </si>
  <si>
    <t>Issuance of Common Stock</t>
  </si>
  <si>
    <t>Financing Activities</t>
  </si>
  <si>
    <t>Cash Flows from Investing Activities</t>
  </si>
  <si>
    <t>Acquisitions of Property and Equipment</t>
  </si>
  <si>
    <t>Investing Activities</t>
  </si>
  <si>
    <t>Cash Flows from Operating Activities</t>
  </si>
  <si>
    <t>Inventories</t>
  </si>
  <si>
    <t>Changes in Operating Assets and Liabilities:</t>
  </si>
  <si>
    <t>Depreciation</t>
  </si>
  <si>
    <t>Balance Sheet Check</t>
  </si>
  <si>
    <t>Total Liabilities &amp; Equity</t>
  </si>
  <si>
    <t>Total Shareholders' Equity</t>
  </si>
  <si>
    <t>Retained Earnings</t>
  </si>
  <si>
    <t>EQUITY</t>
  </si>
  <si>
    <t>Total Liabilities</t>
  </si>
  <si>
    <t>Long-Term Debt</t>
  </si>
  <si>
    <t>Total Current Liabilities</t>
  </si>
  <si>
    <t>LIABILITIES</t>
  </si>
  <si>
    <t>TOTAL ASSETS</t>
  </si>
  <si>
    <t>Property Plant and Equipment</t>
  </si>
  <si>
    <t>Total Current Assets</t>
  </si>
  <si>
    <t>Cash</t>
  </si>
  <si>
    <t>ASSETS</t>
  </si>
  <si>
    <t>Balance Sheet</t>
  </si>
  <si>
    <t>Common Dividends</t>
  </si>
  <si>
    <t>Earnings Before Taxes</t>
  </si>
  <si>
    <t>Interest</t>
  </si>
  <si>
    <t>EBIT (Operating Profit)</t>
  </si>
  <si>
    <t>Research and Development</t>
  </si>
  <si>
    <t>Marketing and Administration</t>
  </si>
  <si>
    <t>Distribution Expenses</t>
  </si>
  <si>
    <t>Gross Profit</t>
  </si>
  <si>
    <t>Revenues</t>
  </si>
  <si>
    <t xml:space="preserve">Dividend Payout Ratio </t>
  </si>
  <si>
    <t>Common Share Capital</t>
  </si>
  <si>
    <t>Long Term Debt</t>
  </si>
  <si>
    <t>Payable Days (COGS Basis)</t>
  </si>
  <si>
    <t>Inventory Days (COGS Basis)</t>
  </si>
  <si>
    <t>Receivable Days (Sales Basis)</t>
  </si>
  <si>
    <t>Tax Rate (Percent of EBT)</t>
  </si>
  <si>
    <t>Long-Term Debt Interest Rate (Average Debt)</t>
  </si>
  <si>
    <t>Research Expense (Percent of Sales)</t>
  </si>
  <si>
    <t>Marketing &amp; Admin Expense (Fixed Cost)</t>
  </si>
  <si>
    <t>Distribution Expense (Percent of Sales)</t>
  </si>
  <si>
    <t>Gross Margin</t>
  </si>
  <si>
    <t>Sales Growth</t>
  </si>
  <si>
    <t>Assumptions &amp; Drivers</t>
  </si>
  <si>
    <t>Compare</t>
  </si>
  <si>
    <t>Correct</t>
  </si>
  <si>
    <t>Learner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</si>
</sst>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#,##0_)_%;\(#,##0\)_%;_(&quot;–&quot;_)_%;_(@_)_%"/>
    <numFmt numFmtId="165" formatCode="&quot;Yes&quot;;&quot;ERROR&quot;;&quot;No&quot;;&quot;ERROR&quot;"/>
    <numFmt numFmtId="166" formatCode="[=1]&quot;Yes&quot;;[=0]&quot;No&quot;"/>
    <numFmt numFmtId="167" formatCode="[=1]&quot;☑️&quot;_);[=0]&quot;⬜&quot;_)"/>
    <numFmt numFmtId="168" formatCode="_(#,##0_);\(#,##0\);_(&quot;–&quot;_);_(@_)"/>
    <numFmt numFmtId="169" formatCode="_(#,##0.0%_);\(#,##0.0%\);_(&quot;–&quot;_);_(@_)"/>
    <numFmt numFmtId="170" formatCode="0.0%"/>
    <numFmt numFmtId="171" formatCode="_-* #,##0.00_-;\-* #,##0.00_-;_-* &quot;-&quot;??_-;_-@_-"/>
    <numFmt numFmtId="172" formatCode="_-* #,##0_-;\(#,##0\)_-;_-* &quot;-&quot;_-;_-@_-"/>
    <numFmt numFmtId="173" formatCode="&quot;Year &quot;0;&quot;Year &quot;\-0"/>
    <numFmt numFmtId="174" formatCode="_(0.00\x_);\(0.00\x\);_(&quot;–&quot;_);_(@_)"/>
    <numFmt numFmtId="175" formatCode="#,##0_);\(#,##0\);\-"/>
    <numFmt numFmtId="176" formatCode="#,##0_);[Red]\(#,##0\);\-"/>
    <numFmt numFmtId="177" formatCode="0&quot;F&quot;"/>
    <numFmt numFmtId="178" formatCode="0&quot;A&quot;"/>
    <numFmt numFmtId="179" formatCode="[Blue]#,##0;[Blue]\(#,##0\);\-"/>
    <numFmt numFmtId="180" formatCode="_-* #,##0.00_-;\(#,##0.00\)_-;_-* &quot;-&quot;_-;_-@_-"/>
    <numFmt numFmtId="181" formatCode="_(#,##0.0_);\(#,##0.0\);_(&quot;–&quot;_);_(@_)"/>
  </numFmts>
  <fonts count="44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0"/>
      <color theme="0"/>
      <name val="Open Sans"/>
      <family val="2"/>
    </font>
    <font>
      <sz val="11"/>
      <color theme="1"/>
      <name val="Open sans"/>
      <family val="2"/>
    </font>
    <font>
      <sz val="11"/>
      <color theme="0"/>
      <name val="Open sans"/>
      <family val="2"/>
    </font>
    <font>
      <b/>
      <sz val="12"/>
      <color theme="0"/>
      <name val="Open Sans"/>
      <family val="2"/>
    </font>
    <font>
      <u/>
      <sz val="10"/>
      <color theme="10"/>
      <name val="Arial"/>
      <family val="2"/>
    </font>
    <font>
      <sz val="12"/>
      <color theme="1"/>
      <name val="Open Sans"/>
      <family val="2"/>
    </font>
    <font>
      <sz val="11"/>
      <color rgb="FFFA621C"/>
      <name val="Open Sans"/>
      <family val="2"/>
    </font>
    <font>
      <sz val="10"/>
      <name val="Arial"/>
      <family val="2"/>
    </font>
    <font>
      <u/>
      <sz val="11"/>
      <color rgb="FFFA621C"/>
      <name val="Open Sans"/>
      <family val="2"/>
    </font>
    <font>
      <sz val="12"/>
      <color rgb="FF002060"/>
      <name val="Open Sans"/>
      <family val="2"/>
    </font>
    <font>
      <sz val="10"/>
      <color rgb="FF002060"/>
      <name val="Open Sans"/>
      <family val="2"/>
    </font>
    <font>
      <b/>
      <sz val="10"/>
      <color rgb="FFFA621C"/>
      <name val="Open Sans"/>
      <family val="2"/>
    </font>
    <font>
      <sz val="10"/>
      <name val="Open Sans"/>
      <family val="2"/>
    </font>
    <font>
      <sz val="12"/>
      <color rgb="FF000000"/>
      <name val="Open Sans"/>
      <family val="2"/>
    </font>
    <font>
      <b/>
      <sz val="14"/>
      <color rgb="FF132E57"/>
      <name val="Open Sans"/>
      <family val="2"/>
    </font>
    <font>
      <b/>
      <sz val="11"/>
      <color rgb="FF947131"/>
      <name val="Open sans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Open Sans"/>
      <family val="2"/>
    </font>
    <font>
      <b/>
      <sz val="11"/>
      <color theme="1"/>
      <name val="Open sans"/>
      <family val="2"/>
    </font>
    <font>
      <b/>
      <sz val="20"/>
      <color rgb="FF4472C4"/>
      <name val="Open Sans"/>
      <family val="2"/>
    </font>
    <font>
      <sz val="11"/>
      <name val="Open Sans"/>
      <family val="2"/>
    </font>
    <font>
      <sz val="8"/>
      <color theme="1"/>
      <name val="Open Sans"/>
      <family val="2"/>
    </font>
    <font>
      <b/>
      <sz val="14"/>
      <color rgb="FF3271D2"/>
      <name val="Open Sans"/>
      <family val="2"/>
    </font>
    <font>
      <sz val="8"/>
      <color rgb="FF947131"/>
      <name val="Open Sans"/>
      <family val="2"/>
    </font>
    <font>
      <sz val="10"/>
      <color rgb="FF000000"/>
      <name val="Open Sans"/>
      <family val="2"/>
    </font>
    <font>
      <b/>
      <sz val="10"/>
      <name val="Open Sans"/>
      <family val="2"/>
    </font>
    <font>
      <sz val="10"/>
      <name val="Bookman"/>
    </font>
    <font>
      <i/>
      <sz val="10"/>
      <color rgb="FF000000"/>
      <name val="Open Sans"/>
      <family val="2"/>
    </font>
    <font>
      <i/>
      <sz val="10"/>
      <name val="Open Sans"/>
      <family val="2"/>
    </font>
    <font>
      <b/>
      <sz val="10"/>
      <color rgb="FF000000"/>
      <name val="Open Sans"/>
      <family val="2"/>
    </font>
    <font>
      <sz val="10"/>
      <name val="Bookman"/>
      <family val="1"/>
    </font>
    <font>
      <i/>
      <sz val="9"/>
      <color rgb="FF000000"/>
      <name val="Open Sans"/>
      <family val="2"/>
    </font>
    <font>
      <sz val="10"/>
      <color rgb="FFFA621C"/>
      <name val="Open Sans"/>
      <family val="2"/>
    </font>
    <font>
      <i/>
      <sz val="8"/>
      <name val="Open Sans"/>
      <family val="2"/>
    </font>
    <font>
      <sz val="10"/>
      <color rgb="FF3271D2"/>
      <name val="Open Sans"/>
      <family val="2"/>
    </font>
    <font>
      <sz val="10"/>
      <color rgb="FF0000FF"/>
      <name val="Open Sans"/>
      <family val="2"/>
    </font>
    <font>
      <b/>
      <sz val="10"/>
      <color rgb="FF947131"/>
      <name val="Open Sans"/>
      <family val="2"/>
    </font>
    <font>
      <b/>
      <sz val="10"/>
      <color rgb="FF0000FF"/>
      <name val="Open Sans"/>
      <family val="2"/>
    </font>
    <font>
      <b/>
      <sz val="10"/>
      <color rgb="FF3271D2"/>
      <name val="Open Sans"/>
      <family val="2"/>
    </font>
    <font>
      <b/>
      <i/>
      <sz val="11"/>
      <color rgb="FFFA621C"/>
      <name val="Open Sans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C3F"/>
        <bgColor rgb="FF000000"/>
      </patternFill>
    </fill>
    <fill>
      <patternFill patternType="solid">
        <fgColor rgb="FF000C3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F2FF"/>
        <bgColor rgb="FF000000"/>
      </patternFill>
    </fill>
    <fill>
      <patternFill patternType="solid">
        <fgColor rgb="FFF6F6F6"/>
        <bgColor rgb="FF000000"/>
      </patternFill>
    </fill>
  </fills>
  <borders count="40">
    <border>
      <left/>
      <right/>
      <top/>
      <bottom/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C3F"/>
      </left>
      <right/>
      <top/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/>
      <top style="medium">
        <color rgb="FF000C3F"/>
      </top>
      <bottom/>
      <diagonal/>
    </border>
    <border>
      <left style="medium">
        <color rgb="FF000C3F"/>
      </left>
      <right/>
      <top style="medium">
        <color rgb="FF000C3F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medium">
        <color rgb="FF3271D2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10" fillId="0" borderId="0"/>
    <xf numFmtId="0" fontId="19" fillId="0" borderId="0" applyNumberFormat="0" applyFill="0" applyBorder="0" applyAlignment="0" applyProtection="0"/>
    <xf numFmtId="9" fontId="29" fillId="0" borderId="0" applyFont="0" applyFill="0" applyBorder="0" applyAlignment="0" applyProtection="0"/>
    <xf numFmtId="171" fontId="3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9">
    <xf numFmtId="0" fontId="0" fillId="0" borderId="0" xfId="0"/>
    <xf numFmtId="0" fontId="4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0" fontId="1" fillId="0" borderId="0" xfId="1" applyFont="1"/>
    <xf numFmtId="0" fontId="8" fillId="0" borderId="0" xfId="2" applyFont="1" applyFill="1" applyBorder="1"/>
    <xf numFmtId="0" fontId="9" fillId="0" borderId="0" xfId="2" applyFont="1" applyFill="1" applyBorder="1"/>
    <xf numFmtId="0" fontId="10" fillId="0" borderId="0" xfId="3"/>
    <xf numFmtId="164" fontId="11" fillId="0" borderId="0" xfId="2" applyNumberFormat="1" applyFont="1" applyFill="1" applyBorder="1"/>
    <xf numFmtId="0" fontId="12" fillId="0" borderId="0" xfId="2" applyFont="1" applyFill="1" applyBorder="1" applyProtection="1">
      <protection locked="0"/>
    </xf>
    <xf numFmtId="0" fontId="13" fillId="0" borderId="0" xfId="2" applyFont="1" applyFill="1" applyBorder="1" applyProtection="1">
      <protection locked="0"/>
    </xf>
    <xf numFmtId="0" fontId="14" fillId="0" borderId="0" xfId="1" applyFont="1" applyAlignment="1">
      <alignment horizontal="left"/>
    </xf>
    <xf numFmtId="0" fontId="15" fillId="0" borderId="0" xfId="1" applyFont="1" applyAlignment="1">
      <alignment horizontal="left"/>
    </xf>
    <xf numFmtId="165" fontId="16" fillId="0" borderId="0" xfId="2" applyNumberFormat="1" applyFont="1" applyFill="1" applyBorder="1" applyAlignment="1" applyProtection="1">
      <alignment horizontal="center"/>
      <protection locked="0"/>
    </xf>
    <xf numFmtId="164" fontId="16" fillId="0" borderId="0" xfId="2" applyNumberFormat="1" applyFont="1" applyFill="1" applyBorder="1" applyAlignment="1" applyProtection="1">
      <alignment horizontal="left"/>
      <protection locked="0"/>
    </xf>
    <xf numFmtId="0" fontId="17" fillId="0" borderId="0" xfId="1" applyFont="1" applyProtection="1">
      <protection locked="0"/>
    </xf>
    <xf numFmtId="0" fontId="8" fillId="0" borderId="0" xfId="1" applyFont="1"/>
    <xf numFmtId="0" fontId="18" fillId="0" borderId="0" xfId="1" applyFont="1"/>
    <xf numFmtId="166" fontId="16" fillId="0" borderId="0" xfId="2" applyNumberFormat="1" applyFont="1" applyFill="1" applyBorder="1" applyAlignment="1" applyProtection="1">
      <alignment horizontal="center"/>
      <protection locked="0"/>
    </xf>
    <xf numFmtId="164" fontId="20" fillId="0" borderId="0" xfId="4" applyNumberFormat="1" applyFont="1" applyFill="1" applyBorder="1" applyProtection="1">
      <protection locked="0"/>
    </xf>
    <xf numFmtId="0" fontId="17" fillId="0" borderId="6" xfId="1" applyFont="1" applyBorder="1" applyAlignment="1" applyProtection="1">
      <alignment horizontal="centerContinuous"/>
      <protection locked="0"/>
    </xf>
    <xf numFmtId="0" fontId="4" fillId="0" borderId="6" xfId="1" applyFont="1" applyBorder="1" applyAlignment="1">
      <alignment horizontal="centerContinuous"/>
    </xf>
    <xf numFmtId="0" fontId="1" fillId="0" borderId="6" xfId="1" applyFont="1" applyBorder="1" applyAlignment="1">
      <alignment horizontal="centerContinuous"/>
    </xf>
    <xf numFmtId="0" fontId="17" fillId="0" borderId="6" xfId="1" applyFont="1" applyBorder="1" applyAlignment="1" applyProtection="1">
      <alignment horizontal="left"/>
      <protection locked="0"/>
    </xf>
    <xf numFmtId="0" fontId="1" fillId="0" borderId="0" xfId="1" applyFont="1" applyAlignment="1">
      <alignment horizontal="centerContinuous"/>
    </xf>
    <xf numFmtId="0" fontId="17" fillId="0" borderId="7" xfId="1" applyFont="1" applyBorder="1" applyProtection="1">
      <protection locked="0"/>
    </xf>
    <xf numFmtId="0" fontId="21" fillId="0" borderId="0" xfId="1" applyFont="1"/>
    <xf numFmtId="0" fontId="4" fillId="0" borderId="0" xfId="1" applyFont="1" applyProtection="1">
      <protection locked="0"/>
    </xf>
    <xf numFmtId="0" fontId="17" fillId="0" borderId="0" xfId="1" applyFont="1" applyAlignment="1">
      <alignment horizontal="right"/>
    </xf>
    <xf numFmtId="0" fontId="22" fillId="0" borderId="0" xfId="1" applyFont="1" applyProtection="1">
      <protection locked="0"/>
    </xf>
    <xf numFmtId="0" fontId="4" fillId="2" borderId="4" xfId="1" applyFont="1" applyFill="1" applyBorder="1"/>
    <xf numFmtId="0" fontId="4" fillId="2" borderId="0" xfId="1" applyFont="1" applyFill="1"/>
    <xf numFmtId="0" fontId="23" fillId="3" borderId="0" xfId="3" applyFont="1" applyFill="1"/>
    <xf numFmtId="0" fontId="23" fillId="3" borderId="8" xfId="3" applyFont="1" applyFill="1" applyBorder="1"/>
    <xf numFmtId="0" fontId="24" fillId="2" borderId="0" xfId="1" applyFont="1" applyFill="1"/>
    <xf numFmtId="0" fontId="4" fillId="2" borderId="9" xfId="1" applyFont="1" applyFill="1" applyBorder="1"/>
    <xf numFmtId="0" fontId="4" fillId="2" borderId="10" xfId="1" applyFont="1" applyFill="1" applyBorder="1"/>
    <xf numFmtId="0" fontId="23" fillId="3" borderId="11" xfId="3" applyFont="1" applyFill="1" applyBorder="1"/>
    <xf numFmtId="0" fontId="23" fillId="3" borderId="12" xfId="3" applyFont="1" applyFill="1" applyBorder="1"/>
    <xf numFmtId="0" fontId="24" fillId="4" borderId="0" xfId="1" applyFont="1" applyFill="1"/>
    <xf numFmtId="0" fontId="15" fillId="0" borderId="0" xfId="3" applyFont="1"/>
    <xf numFmtId="0" fontId="15" fillId="0" borderId="13" xfId="3" applyFont="1" applyBorder="1"/>
    <xf numFmtId="37" fontId="25" fillId="5" borderId="0" xfId="3" applyNumberFormat="1" applyFont="1" applyFill="1" applyAlignment="1">
      <alignment horizontal="centerContinuous" vertical="center"/>
    </xf>
    <xf numFmtId="37" fontId="25" fillId="5" borderId="0" xfId="3" applyNumberFormat="1" applyFont="1" applyFill="1" applyAlignment="1">
      <alignment horizontal="centerContinuous" vertical="distributed"/>
    </xf>
    <xf numFmtId="37" fontId="1" fillId="0" borderId="0" xfId="3" applyNumberFormat="1" applyFont="1" applyAlignment="1">
      <alignment vertical="center"/>
    </xf>
    <xf numFmtId="167" fontId="26" fillId="0" borderId="0" xfId="3" applyNumberFormat="1" applyFont="1" applyAlignment="1" applyProtection="1">
      <alignment horizontal="center" vertical="center"/>
      <protection hidden="1"/>
    </xf>
    <xf numFmtId="168" fontId="27" fillId="6" borderId="14" xfId="3" applyNumberFormat="1" applyFont="1" applyFill="1" applyBorder="1"/>
    <xf numFmtId="0" fontId="15" fillId="0" borderId="0" xfId="3" applyFont="1" applyAlignment="1">
      <alignment horizontal="left" indent="1"/>
    </xf>
    <xf numFmtId="168" fontId="27" fillId="6" borderId="0" xfId="3" applyNumberFormat="1" applyFont="1" applyFill="1"/>
    <xf numFmtId="0" fontId="28" fillId="0" borderId="0" xfId="3" applyFont="1"/>
    <xf numFmtId="169" fontId="30" fillId="6" borderId="15" xfId="5" applyNumberFormat="1" applyFont="1" applyFill="1" applyBorder="1"/>
    <xf numFmtId="0" fontId="31" fillId="0" borderId="0" xfId="3" applyFont="1" applyAlignment="1">
      <alignment horizontal="left" indent="1"/>
    </xf>
    <xf numFmtId="0" fontId="31" fillId="0" borderId="0" xfId="3" applyFont="1" applyAlignment="1">
      <alignment horizontal="left" indent="2"/>
    </xf>
    <xf numFmtId="170" fontId="30" fillId="0" borderId="0" xfId="5" applyNumberFormat="1" applyFont="1" applyBorder="1"/>
    <xf numFmtId="168" fontId="15" fillId="0" borderId="0" xfId="3" applyNumberFormat="1" applyFont="1"/>
    <xf numFmtId="168" fontId="32" fillId="0" borderId="0" xfId="3" applyNumberFormat="1" applyFont="1" applyAlignment="1">
      <alignment horizontal="right" vertical="center"/>
    </xf>
    <xf numFmtId="172" fontId="34" fillId="0" borderId="0" xfId="6" applyNumberFormat="1" applyFont="1" applyFill="1" applyAlignment="1" applyProtection="1">
      <alignment horizontal="left"/>
      <protection locked="0"/>
    </xf>
    <xf numFmtId="173" fontId="32" fillId="0" borderId="16" xfId="3" applyNumberFormat="1" applyFont="1" applyBorder="1" applyAlignment="1">
      <alignment horizontal="right" vertical="center"/>
    </xf>
    <xf numFmtId="173" fontId="32" fillId="0" borderId="17" xfId="3" applyNumberFormat="1" applyFont="1" applyBorder="1" applyAlignment="1">
      <alignment horizontal="right" vertical="center"/>
    </xf>
    <xf numFmtId="168" fontId="25" fillId="0" borderId="0" xfId="3" applyNumberFormat="1" applyFont="1" applyAlignment="1">
      <alignment vertical="center"/>
    </xf>
    <xf numFmtId="37" fontId="25" fillId="0" borderId="0" xfId="3" applyNumberFormat="1" applyFont="1" applyAlignment="1">
      <alignment vertical="center"/>
    </xf>
    <xf numFmtId="37" fontId="25" fillId="5" borderId="0" xfId="3" applyNumberFormat="1" applyFont="1" applyFill="1" applyAlignment="1">
      <alignment vertical="center"/>
    </xf>
    <xf numFmtId="168" fontId="15" fillId="0" borderId="13" xfId="3" applyNumberFormat="1" applyFont="1" applyBorder="1"/>
    <xf numFmtId="168" fontId="32" fillId="0" borderId="0" xfId="3" applyNumberFormat="1" applyFont="1"/>
    <xf numFmtId="168" fontId="32" fillId="6" borderId="15" xfId="3" applyNumberFormat="1" applyFont="1" applyFill="1" applyBorder="1"/>
    <xf numFmtId="168" fontId="32" fillId="6" borderId="18" xfId="3" applyNumberFormat="1" applyFont="1" applyFill="1" applyBorder="1"/>
    <xf numFmtId="0" fontId="28" fillId="0" borderId="0" xfId="3" applyFont="1" applyAlignment="1">
      <alignment horizontal="left" indent="1"/>
    </xf>
    <xf numFmtId="168" fontId="15" fillId="6" borderId="19" xfId="3" applyNumberFormat="1" applyFont="1" applyFill="1" applyBorder="1"/>
    <xf numFmtId="168" fontId="15" fillId="6" borderId="13" xfId="3" applyNumberFormat="1" applyFont="1" applyFill="1" applyBorder="1"/>
    <xf numFmtId="168" fontId="15" fillId="6" borderId="20" xfId="3" applyNumberFormat="1" applyFont="1" applyFill="1" applyBorder="1"/>
    <xf numFmtId="168" fontId="15" fillId="6" borderId="21" xfId="3" applyNumberFormat="1" applyFont="1" applyFill="1" applyBorder="1"/>
    <xf numFmtId="168" fontId="15" fillId="6" borderId="15" xfId="3" applyNumberFormat="1" applyFont="1" applyFill="1" applyBorder="1"/>
    <xf numFmtId="168" fontId="15" fillId="6" borderId="22" xfId="3" applyNumberFormat="1" applyFont="1" applyFill="1" applyBorder="1"/>
    <xf numFmtId="168" fontId="28" fillId="6" borderId="15" xfId="3" applyNumberFormat="1" applyFont="1" applyFill="1" applyBorder="1"/>
    <xf numFmtId="168" fontId="15" fillId="6" borderId="0" xfId="3" applyNumberFormat="1" applyFont="1" applyFill="1"/>
    <xf numFmtId="169" fontId="15" fillId="0" borderId="0" xfId="3" applyNumberFormat="1" applyFont="1"/>
    <xf numFmtId="169" fontId="15" fillId="6" borderId="23" xfId="3" applyNumberFormat="1" applyFont="1" applyFill="1" applyBorder="1"/>
    <xf numFmtId="169" fontId="15" fillId="6" borderId="24" xfId="3" applyNumberFormat="1" applyFont="1" applyFill="1" applyBorder="1"/>
    <xf numFmtId="169" fontId="15" fillId="6" borderId="25" xfId="3" applyNumberFormat="1" applyFont="1" applyFill="1" applyBorder="1"/>
    <xf numFmtId="168" fontId="27" fillId="0" borderId="0" xfId="3" applyNumberFormat="1" applyFont="1"/>
    <xf numFmtId="168" fontId="27" fillId="6" borderId="0" xfId="3" applyNumberFormat="1" applyFont="1" applyFill="1" applyAlignment="1">
      <alignment horizontal="right"/>
    </xf>
    <xf numFmtId="168" fontId="28" fillId="0" borderId="0" xfId="3" applyNumberFormat="1" applyFont="1"/>
    <xf numFmtId="168" fontId="27" fillId="0" borderId="13" xfId="3" applyNumberFormat="1" applyFont="1" applyBorder="1"/>
    <xf numFmtId="0" fontId="27" fillId="0" borderId="13" xfId="3" applyFont="1" applyBorder="1"/>
    <xf numFmtId="0" fontId="35" fillId="0" borderId="0" xfId="3" applyFont="1"/>
    <xf numFmtId="172" fontId="34" fillId="0" borderId="0" xfId="6" applyNumberFormat="1" applyFont="1" applyFill="1" applyAlignment="1" applyProtection="1">
      <alignment horizontal="left" indent="1"/>
      <protection locked="0"/>
    </xf>
    <xf numFmtId="169" fontId="27" fillId="6" borderId="19" xfId="3" applyNumberFormat="1" applyFont="1" applyFill="1" applyBorder="1" applyAlignment="1">
      <alignment horizontal="right" vertical="center"/>
    </xf>
    <xf numFmtId="169" fontId="27" fillId="6" borderId="13" xfId="3" applyNumberFormat="1" applyFont="1" applyFill="1" applyBorder="1" applyAlignment="1">
      <alignment horizontal="right" vertical="center"/>
    </xf>
    <xf numFmtId="169" fontId="27" fillId="6" borderId="20" xfId="3" applyNumberFormat="1" applyFont="1" applyFill="1" applyBorder="1" applyAlignment="1">
      <alignment horizontal="right" vertical="center"/>
    </xf>
    <xf numFmtId="0" fontId="36" fillId="0" borderId="0" xfId="3" applyFont="1" applyAlignment="1">
      <alignment horizontal="center"/>
    </xf>
    <xf numFmtId="174" fontId="27" fillId="6" borderId="26" xfId="3" applyNumberFormat="1" applyFont="1" applyFill="1" applyBorder="1" applyAlignment="1">
      <alignment horizontal="right" vertical="center"/>
    </xf>
    <xf numFmtId="174" fontId="27" fillId="6" borderId="0" xfId="3" applyNumberFormat="1" applyFont="1" applyFill="1" applyAlignment="1">
      <alignment horizontal="right" vertical="center"/>
    </xf>
    <xf numFmtId="174" fontId="27" fillId="6" borderId="27" xfId="3" applyNumberFormat="1" applyFont="1" applyFill="1" applyBorder="1" applyAlignment="1">
      <alignment horizontal="right" vertical="center"/>
    </xf>
    <xf numFmtId="168" fontId="27" fillId="6" borderId="21" xfId="3" applyNumberFormat="1" applyFont="1" applyFill="1" applyBorder="1" applyAlignment="1">
      <alignment horizontal="right" vertical="center"/>
    </xf>
    <xf numFmtId="168" fontId="27" fillId="6" borderId="15" xfId="3" applyNumberFormat="1" applyFont="1" applyFill="1" applyBorder="1" applyAlignment="1">
      <alignment horizontal="right" vertical="center"/>
    </xf>
    <xf numFmtId="168" fontId="27" fillId="6" borderId="22" xfId="3" applyNumberFormat="1" applyFont="1" applyFill="1" applyBorder="1" applyAlignment="1">
      <alignment horizontal="right" vertical="center"/>
    </xf>
    <xf numFmtId="0" fontId="15" fillId="0" borderId="0" xfId="3" applyFont="1" applyAlignment="1">
      <alignment horizontal="left"/>
    </xf>
    <xf numFmtId="168" fontId="27" fillId="0" borderId="0" xfId="5" applyNumberFormat="1" applyFont="1" applyFill="1" applyBorder="1"/>
    <xf numFmtId="168" fontId="27" fillId="6" borderId="14" xfId="5" applyNumberFormat="1" applyFont="1" applyFill="1" applyBorder="1"/>
    <xf numFmtId="168" fontId="27" fillId="6" borderId="0" xfId="5" applyNumberFormat="1" applyFont="1" applyFill="1" applyBorder="1" applyAlignment="1">
      <alignment horizontal="right"/>
    </xf>
    <xf numFmtId="168" fontId="37" fillId="0" borderId="0" xfId="5" applyNumberFormat="1" applyFont="1" applyFill="1" applyBorder="1"/>
    <xf numFmtId="168" fontId="27" fillId="6" borderId="0" xfId="5" applyNumberFormat="1" applyFont="1" applyFill="1"/>
    <xf numFmtId="168" fontId="37" fillId="0" borderId="0" xfId="5" applyNumberFormat="1" applyFont="1" applyFill="1"/>
    <xf numFmtId="168" fontId="27" fillId="0" borderId="0" xfId="5" applyNumberFormat="1" applyFont="1" applyFill="1"/>
    <xf numFmtId="168" fontId="15" fillId="0" borderId="0" xfId="5" applyNumberFormat="1" applyFont="1" applyFill="1"/>
    <xf numFmtId="0" fontId="32" fillId="0" borderId="0" xfId="3" applyFont="1" applyAlignment="1">
      <alignment horizontal="left"/>
    </xf>
    <xf numFmtId="168" fontId="38" fillId="0" borderId="0" xfId="5" applyNumberFormat="1" applyFont="1" applyFill="1"/>
    <xf numFmtId="169" fontId="15" fillId="6" borderId="0" xfId="5" applyNumberFormat="1" applyFont="1" applyFill="1"/>
    <xf numFmtId="168" fontId="27" fillId="6" borderId="19" xfId="5" applyNumberFormat="1" applyFont="1" applyFill="1" applyBorder="1"/>
    <xf numFmtId="168" fontId="27" fillId="6" borderId="13" xfId="5" applyNumberFormat="1" applyFont="1" applyFill="1" applyBorder="1"/>
    <xf numFmtId="168" fontId="27" fillId="6" borderId="20" xfId="5" applyNumberFormat="1" applyFont="1" applyFill="1" applyBorder="1"/>
    <xf numFmtId="168" fontId="27" fillId="6" borderId="26" xfId="5" applyNumberFormat="1" applyFont="1" applyFill="1" applyBorder="1"/>
    <xf numFmtId="168" fontId="27" fillId="6" borderId="0" xfId="5" applyNumberFormat="1" applyFont="1" applyFill="1" applyBorder="1"/>
    <xf numFmtId="168" fontId="27" fillId="6" borderId="27" xfId="5" applyNumberFormat="1" applyFont="1" applyFill="1" applyBorder="1"/>
    <xf numFmtId="168" fontId="27" fillId="6" borderId="21" xfId="3" applyNumberFormat="1" applyFont="1" applyFill="1" applyBorder="1"/>
    <xf numFmtId="168" fontId="27" fillId="6" borderId="15" xfId="3" applyNumberFormat="1" applyFont="1" applyFill="1" applyBorder="1"/>
    <xf numFmtId="168" fontId="27" fillId="6" borderId="22" xfId="3" applyNumberFormat="1" applyFont="1" applyFill="1" applyBorder="1"/>
    <xf numFmtId="168" fontId="32" fillId="6" borderId="14" xfId="3" applyNumberFormat="1" applyFont="1" applyFill="1" applyBorder="1"/>
    <xf numFmtId="168" fontId="37" fillId="0" borderId="0" xfId="3" applyNumberFormat="1" applyFont="1"/>
    <xf numFmtId="168" fontId="38" fillId="0" borderId="0" xfId="3" applyNumberFormat="1" applyFont="1"/>
    <xf numFmtId="0" fontId="15" fillId="0" borderId="0" xfId="3" applyFont="1" applyAlignment="1">
      <alignment horizontal="left" indent="2"/>
    </xf>
    <xf numFmtId="168" fontId="15" fillId="0" borderId="0" xfId="3" applyNumberFormat="1" applyFont="1" applyAlignment="1">
      <alignment horizontal="right"/>
    </xf>
    <xf numFmtId="168" fontId="38" fillId="0" borderId="0" xfId="3" applyNumberFormat="1" applyFont="1" applyAlignment="1">
      <alignment horizontal="right"/>
    </xf>
    <xf numFmtId="175" fontId="27" fillId="0" borderId="0" xfId="3" applyNumberFormat="1" applyFont="1"/>
    <xf numFmtId="0" fontId="31" fillId="0" borderId="13" xfId="3" applyFont="1" applyBorder="1"/>
    <xf numFmtId="0" fontId="31" fillId="0" borderId="0" xfId="3" applyFont="1"/>
    <xf numFmtId="0" fontId="39" fillId="0" borderId="0" xfId="3" applyFont="1"/>
    <xf numFmtId="0" fontId="27" fillId="0" borderId="0" xfId="3" applyFont="1"/>
    <xf numFmtId="176" fontId="32" fillId="0" borderId="0" xfId="3" applyNumberFormat="1" applyFont="1"/>
    <xf numFmtId="175" fontId="15" fillId="0" borderId="0" xfId="3" applyNumberFormat="1" applyFont="1"/>
    <xf numFmtId="176" fontId="27" fillId="0" borderId="0" xfId="3" applyNumberFormat="1" applyFont="1"/>
    <xf numFmtId="0" fontId="38" fillId="0" borderId="0" xfId="3" applyFont="1"/>
    <xf numFmtId="177" fontId="32" fillId="0" borderId="0" xfId="3" applyNumberFormat="1" applyFont="1" applyAlignment="1">
      <alignment horizontal="right" vertical="center"/>
    </xf>
    <xf numFmtId="178" fontId="32" fillId="0" borderId="0" xfId="3" applyNumberFormat="1" applyFont="1" applyAlignment="1">
      <alignment horizontal="right" vertical="center"/>
    </xf>
    <xf numFmtId="175" fontId="15" fillId="0" borderId="13" xfId="3" applyNumberFormat="1" applyFont="1" applyBorder="1"/>
    <xf numFmtId="175" fontId="38" fillId="0" borderId="13" xfId="3" applyNumberFormat="1" applyFont="1" applyBorder="1"/>
    <xf numFmtId="168" fontId="40" fillId="0" borderId="0" xfId="3" applyNumberFormat="1" applyFont="1"/>
    <xf numFmtId="168" fontId="27" fillId="0" borderId="0" xfId="3" applyNumberFormat="1" applyFont="1" applyAlignment="1">
      <alignment horizontal="right"/>
    </xf>
    <xf numFmtId="168" fontId="27" fillId="6" borderId="15" xfId="3" applyNumberFormat="1" applyFont="1" applyFill="1" applyBorder="1" applyAlignment="1">
      <alignment horizontal="right"/>
    </xf>
    <xf numFmtId="168" fontId="37" fillId="0" borderId="0" xfId="3" applyNumberFormat="1" applyFont="1" applyAlignment="1">
      <alignment horizontal="right"/>
    </xf>
    <xf numFmtId="37" fontId="1" fillId="0" borderId="0" xfId="3" applyNumberFormat="1" applyFont="1"/>
    <xf numFmtId="37" fontId="27" fillId="0" borderId="0" xfId="3" applyNumberFormat="1" applyFont="1"/>
    <xf numFmtId="179" fontId="15" fillId="0" borderId="13" xfId="3" applyNumberFormat="1" applyFont="1" applyBorder="1" applyProtection="1">
      <protection locked="0"/>
    </xf>
    <xf numFmtId="169" fontId="37" fillId="0" borderId="0" xfId="5" applyNumberFormat="1" applyFont="1"/>
    <xf numFmtId="169" fontId="27" fillId="0" borderId="0" xfId="5" applyNumberFormat="1" applyFont="1"/>
    <xf numFmtId="169" fontId="27" fillId="6" borderId="0" xfId="5" applyNumberFormat="1" applyFont="1" applyFill="1"/>
    <xf numFmtId="174" fontId="37" fillId="0" borderId="0" xfId="3" applyNumberFormat="1" applyFont="1"/>
    <xf numFmtId="174" fontId="27" fillId="6" borderId="0" xfId="3" applyNumberFormat="1" applyFont="1" applyFill="1"/>
    <xf numFmtId="175" fontId="37" fillId="0" borderId="0" xfId="3" applyNumberFormat="1" applyFont="1"/>
    <xf numFmtId="175" fontId="27" fillId="6" borderId="0" xfId="3" applyNumberFormat="1" applyFont="1" applyFill="1"/>
    <xf numFmtId="170" fontId="15" fillId="0" borderId="0" xfId="3" applyNumberFormat="1" applyFont="1"/>
    <xf numFmtId="173" fontId="41" fillId="0" borderId="17" xfId="3" applyNumberFormat="1" applyFont="1" applyBorder="1" applyAlignment="1">
      <alignment horizontal="right" vertical="center"/>
    </xf>
    <xf numFmtId="0" fontId="4" fillId="0" borderId="0" xfId="3" applyFont="1"/>
    <xf numFmtId="180" fontId="42" fillId="0" borderId="0" xfId="6" applyNumberFormat="1" applyFont="1" applyAlignment="1" applyProtection="1">
      <alignment horizontal="center"/>
      <protection locked="0"/>
    </xf>
    <xf numFmtId="0" fontId="23" fillId="0" borderId="0" xfId="3" applyFont="1"/>
    <xf numFmtId="0" fontId="23" fillId="2" borderId="0" xfId="3" applyFont="1" applyFill="1"/>
    <xf numFmtId="167" fontId="26" fillId="6" borderId="28" xfId="3" applyNumberFormat="1" applyFont="1" applyFill="1" applyBorder="1" applyAlignment="1" applyProtection="1">
      <alignment horizontal="center" vertical="center"/>
      <protection hidden="1"/>
    </xf>
    <xf numFmtId="168" fontId="10" fillId="6" borderId="6" xfId="3" applyNumberFormat="1" applyFill="1" applyBorder="1" applyAlignment="1">
      <alignment horizontal="right"/>
    </xf>
    <xf numFmtId="168" fontId="10" fillId="6" borderId="29" xfId="3" applyNumberFormat="1" applyFill="1" applyBorder="1" applyAlignment="1">
      <alignment horizontal="right"/>
    </xf>
    <xf numFmtId="167" fontId="26" fillId="6" borderId="30" xfId="3" applyNumberFormat="1" applyFont="1" applyFill="1" applyBorder="1" applyAlignment="1" applyProtection="1">
      <alignment horizontal="center" vertical="center"/>
      <protection hidden="1"/>
    </xf>
    <xf numFmtId="168" fontId="10" fillId="6" borderId="0" xfId="3" applyNumberFormat="1" applyFill="1" applyAlignment="1">
      <alignment horizontal="right"/>
    </xf>
    <xf numFmtId="168" fontId="10" fillId="6" borderId="31" xfId="3" applyNumberFormat="1" applyFill="1" applyBorder="1" applyAlignment="1">
      <alignment horizontal="right"/>
    </xf>
    <xf numFmtId="167" fontId="26" fillId="6" borderId="32" xfId="3" applyNumberFormat="1" applyFont="1" applyFill="1" applyBorder="1" applyAlignment="1" applyProtection="1">
      <alignment horizontal="center" vertical="center"/>
      <protection hidden="1"/>
    </xf>
    <xf numFmtId="168" fontId="10" fillId="6" borderId="33" xfId="3" applyNumberFormat="1" applyFill="1" applyBorder="1" applyAlignment="1">
      <alignment horizontal="right"/>
    </xf>
    <xf numFmtId="168" fontId="10" fillId="6" borderId="34" xfId="3" applyNumberFormat="1" applyFill="1" applyBorder="1" applyAlignment="1">
      <alignment horizontal="right"/>
    </xf>
    <xf numFmtId="169" fontId="10" fillId="6" borderId="6" xfId="3" applyNumberFormat="1" applyFill="1" applyBorder="1" applyAlignment="1">
      <alignment horizontal="right"/>
    </xf>
    <xf numFmtId="169" fontId="10" fillId="6" borderId="29" xfId="3" applyNumberFormat="1" applyFill="1" applyBorder="1" applyAlignment="1">
      <alignment horizontal="right"/>
    </xf>
    <xf numFmtId="181" fontId="43" fillId="6" borderId="35" xfId="3" applyNumberFormat="1" applyFont="1" applyFill="1" applyBorder="1" applyAlignment="1">
      <alignment horizontal="center"/>
    </xf>
    <xf numFmtId="168" fontId="43" fillId="6" borderId="14" xfId="3" applyNumberFormat="1" applyFont="1" applyFill="1" applyBorder="1" applyAlignment="1">
      <alignment horizontal="right"/>
    </xf>
    <xf numFmtId="168" fontId="43" fillId="6" borderId="36" xfId="3" applyNumberFormat="1" applyFont="1" applyFill="1" applyBorder="1" applyAlignment="1">
      <alignment horizontal="right"/>
    </xf>
    <xf numFmtId="167" fontId="26" fillId="6" borderId="37" xfId="3" applyNumberFormat="1" applyFont="1" applyFill="1" applyBorder="1" applyAlignment="1" applyProtection="1">
      <alignment horizontal="center" vertical="center"/>
      <protection hidden="1"/>
    </xf>
    <xf numFmtId="169" fontId="10" fillId="6" borderId="38" xfId="3" applyNumberFormat="1" applyFill="1" applyBorder="1" applyAlignment="1">
      <alignment horizontal="right"/>
    </xf>
    <xf numFmtId="169" fontId="10" fillId="6" borderId="39" xfId="3" applyNumberFormat="1" applyFill="1" applyBorder="1" applyAlignment="1">
      <alignment horizontal="right"/>
    </xf>
    <xf numFmtId="174" fontId="10" fillId="6" borderId="0" xfId="3" applyNumberFormat="1" applyFill="1" applyAlignment="1">
      <alignment horizontal="right"/>
    </xf>
    <xf numFmtId="174" fontId="10" fillId="6" borderId="31" xfId="3" applyNumberFormat="1" applyFill="1" applyBorder="1" applyAlignment="1">
      <alignment horizontal="right"/>
    </xf>
    <xf numFmtId="168" fontId="10" fillId="6" borderId="38" xfId="3" applyNumberFormat="1" applyFill="1" applyBorder="1" applyAlignment="1">
      <alignment horizontal="right"/>
    </xf>
    <xf numFmtId="168" fontId="10" fillId="6" borderId="39" xfId="3" applyNumberFormat="1" applyFill="1" applyBorder="1" applyAlignment="1">
      <alignment horizontal="right"/>
    </xf>
    <xf numFmtId="169" fontId="10" fillId="6" borderId="0" xfId="3" applyNumberFormat="1" applyFill="1" applyAlignment="1">
      <alignment horizontal="right"/>
    </xf>
    <xf numFmtId="169" fontId="10" fillId="6" borderId="31" xfId="3" applyNumberFormat="1" applyFill="1" applyBorder="1" applyAlignment="1">
      <alignment horizontal="right"/>
    </xf>
    <xf numFmtId="174" fontId="10" fillId="6" borderId="33" xfId="3" applyNumberFormat="1" applyFill="1" applyBorder="1" applyAlignment="1">
      <alignment horizontal="right"/>
    </xf>
    <xf numFmtId="174" fontId="10" fillId="6" borderId="34" xfId="3" applyNumberFormat="1" applyFill="1" applyBorder="1" applyAlignment="1">
      <alignment horizontal="right"/>
    </xf>
    <xf numFmtId="170" fontId="27" fillId="6" borderId="0" xfId="7" applyNumberFormat="1" applyFont="1" applyFill="1"/>
    <xf numFmtId="0" fontId="6" fillId="4" borderId="0" xfId="1" applyFont="1" applyFill="1"/>
    <xf numFmtId="0" fontId="1" fillId="4" borderId="0" xfId="1" applyFont="1" applyFill="1"/>
    <xf numFmtId="164" fontId="5" fillId="4" borderId="0" xfId="1" applyNumberFormat="1" applyFont="1" applyFill="1"/>
    <xf numFmtId="0" fontId="3" fillId="4" borderId="0" xfId="1" applyFont="1" applyFill="1"/>
  </cellXfs>
  <cellStyles count="8">
    <cellStyle name="Comma 2" xfId="6" xr:uid="{002BA15F-1F1A-4792-B81E-99316844EF66}"/>
    <cellStyle name="Hyperlink 2" xfId="4" xr:uid="{806DFAA6-FD5E-49EA-8F93-CEF5AEBD3801}"/>
    <cellStyle name="Hyperlink 2 2" xfId="2" xr:uid="{9247A620-78DB-4C68-90B4-76710382F130}"/>
    <cellStyle name="Normal" xfId="0" builtinId="0"/>
    <cellStyle name="Normal 2" xfId="3" xr:uid="{F03B39ED-6D7E-4B60-9568-065A12B7EFE3}"/>
    <cellStyle name="Normal 2 2 2" xfId="1" xr:uid="{46B9CE99-DB57-4141-8DB3-DDC6282A723B}"/>
    <cellStyle name="Percent" xfId="7" builtinId="5"/>
    <cellStyle name="Percent 2" xfId="5" xr:uid="{B0FEF227-DBD6-42A3-916E-D0C27228DDE6}"/>
  </cellStyles>
  <dxfs count="3">
    <dxf>
      <font>
        <b/>
        <i val="0"/>
        <strike val="0"/>
        <color theme="0"/>
      </font>
      <fill>
        <patternFill>
          <bgColor rgb="FF947131"/>
        </patternFill>
      </fill>
    </dxf>
    <dxf>
      <font>
        <b/>
        <i val="0"/>
        <strike val="0"/>
        <color theme="0"/>
      </font>
      <fill>
        <patternFill>
          <bgColor rgb="FF947131"/>
        </patternFill>
      </fill>
    </dxf>
    <dxf>
      <font>
        <b/>
        <i val="0"/>
        <color theme="0"/>
      </font>
      <fill>
        <patternFill>
          <fgColor auto="1"/>
          <bgColor rgb="FF9471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Model!$B$191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E7F2FF"/>
            </a:solidFill>
            <a:ln>
              <a:noFill/>
            </a:ln>
            <a:effectLst/>
          </c:spPr>
          <c:invertIfNegative val="0"/>
          <c:cat>
            <c:numRef>
              <c:f>Model!$D$4:$K$4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Model!$D$191:$K$191</c:f>
              <c:numCache>
                <c:formatCode>_(#,##0_);\(#,##0\);_("–"_);_(@_)</c:formatCode>
                <c:ptCount val="8"/>
                <c:pt idx="0">
                  <c:v>81422</c:v>
                </c:pt>
                <c:pt idx="1">
                  <c:v>86698</c:v>
                </c:pt>
                <c:pt idx="2">
                  <c:v>93085.92</c:v>
                </c:pt>
                <c:pt idx="3">
                  <c:v>98671.075200000007</c:v>
                </c:pt>
                <c:pt idx="4">
                  <c:v>104591.33971200002</c:v>
                </c:pt>
                <c:pt idx="5">
                  <c:v>110866.82009472002</c:v>
                </c:pt>
                <c:pt idx="6">
                  <c:v>117518.82930040323</c:v>
                </c:pt>
                <c:pt idx="7">
                  <c:v>124569.95905842743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04-42F3-B01C-E51879249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Model!$B$193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 cmpd="sng" algn="ctr">
              <a:solidFill>
                <a:srgbClr val="3271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Model!$D$4:$K$4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Model!$D$193:$K$193</c:f>
              <c:numCache>
                <c:formatCode>_(#,##0.0%_);\(#,##0.0%\);_("–"_);_(@_)</c:formatCode>
                <c:ptCount val="8"/>
                <c:pt idx="0">
                  <c:v>0.14917344206725455</c:v>
                </c:pt>
                <c:pt idx="1">
                  <c:v>0.16172230039908647</c:v>
                </c:pt>
                <c:pt idx="2">
                  <c:v>0.15496643788878064</c:v>
                </c:pt>
                <c:pt idx="3">
                  <c:v>0.12705168120434149</c:v>
                </c:pt>
                <c:pt idx="4">
                  <c:v>0.13317819226887545</c:v>
                </c:pt>
                <c:pt idx="5">
                  <c:v>0.13919225490213538</c:v>
                </c:pt>
                <c:pt idx="6">
                  <c:v>0.14509598968344864</c:v>
                </c:pt>
                <c:pt idx="7">
                  <c:v>0.15089209016752558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04-42F3-B01C-E51879249EB8}"/>
            </c:ext>
          </c:extLst>
        </c:ser>
        <c:ser>
          <c:idx val="2"/>
          <c:order val="2"/>
          <c:tx>
            <c:strRef>
              <c:f>Model!$B$196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 cmpd="sng" algn="ctr">
              <a:solidFill>
                <a:srgbClr val="94713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Model!$D$196:$K$196</c:f>
              <c:numCache>
                <c:formatCode>_(#,##0.0%_);\(#,##0.0%\);_("–"_);_(@_)</c:formatCode>
                <c:ptCount val="8"/>
                <c:pt idx="0">
                  <c:v>6.3680577730834423E-2</c:v>
                </c:pt>
                <c:pt idx="1">
                  <c:v>8.7072366144547747E-2</c:v>
                </c:pt>
                <c:pt idx="2">
                  <c:v>9.3550054143526767E-2</c:v>
                </c:pt>
                <c:pt idx="3">
                  <c:v>5.773927260093345E-2</c:v>
                </c:pt>
                <c:pt idx="4">
                  <c:v>6.2525768322075459E-2</c:v>
                </c:pt>
                <c:pt idx="5">
                  <c:v>6.7205364972874618E-2</c:v>
                </c:pt>
                <c:pt idx="6">
                  <c:v>7.1781142345753529E-2</c:v>
                </c:pt>
                <c:pt idx="7">
                  <c:v>7.6256491010984404E-2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04-42F3-B01C-E51879249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&quot;Year &quot;0;&quot;Year &quot;\-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  <c:max val="0.30000000000000004"/>
        </c:scaling>
        <c:delete val="0"/>
        <c:axPos val="r"/>
        <c:numFmt formatCode="_(#,##0.0%_);\(#,##0.0%\);_(&quot;–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&quot;Year &quot;0;&quot;Year &quot;\-0" sourceLinked="1"/>
        <c:majorTickMark val="out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76400777572706335"/>
          <c:h val="7.794514664041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Model!$B$200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rgbClr val="E7F2FF"/>
            </a:solidFill>
            <a:ln>
              <a:noFill/>
            </a:ln>
            <a:effectLst/>
          </c:spPr>
          <c:invertIfNegative val="0"/>
          <c:cat>
            <c:numRef>
              <c:f>Model!$D$4:$K$4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Model!$D$200:$K$200</c:f>
              <c:numCache>
                <c:formatCode>_(#,##0_);\(#,##0\);_("–"_);_(@_)</c:formatCode>
                <c:ptCount val="8"/>
                <c:pt idx="0">
                  <c:v>-3004.9999999999973</c:v>
                </c:pt>
                <c:pt idx="1">
                  <c:v>-3911.0000000000018</c:v>
                </c:pt>
                <c:pt idx="2">
                  <c:v>-3710.8353600000046</c:v>
                </c:pt>
                <c:pt idx="3">
                  <c:v>-5199.197982870588</c:v>
                </c:pt>
                <c:pt idx="4">
                  <c:v>-4739.9262853722357</c:v>
                </c:pt>
                <c:pt idx="5">
                  <c:v>-5024.3218624945766</c:v>
                </c:pt>
                <c:pt idx="6">
                  <c:v>-5325.7811742442464</c:v>
                </c:pt>
                <c:pt idx="7">
                  <c:v>-5645.3280446989011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9-4AA9-8DE2-A5A0F476A34B}"/>
            </c:ext>
          </c:extLst>
        </c:ser>
        <c:ser>
          <c:idx val="3"/>
          <c:order val="1"/>
          <c:tx>
            <c:strRef>
              <c:f>Model!$B$201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rgbClr val="3271D2"/>
            </a:solidFill>
            <a:ln>
              <a:noFill/>
            </a:ln>
            <a:effectLst/>
          </c:spPr>
          <c:invertIfNegative val="0"/>
          <c:cat>
            <c:numRef>
              <c:f>Model!$D$4:$K$4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Model!$D$201:$K$201</c:f>
              <c:numCache>
                <c:formatCode>_(#,##0_);\(#,##0\);_("–"_);_(@_)</c:formatCode>
                <c:ptCount val="8"/>
                <c:pt idx="0">
                  <c:v>-4312</c:v>
                </c:pt>
                <c:pt idx="1">
                  <c:v>-4209</c:v>
                </c:pt>
                <c:pt idx="2">
                  <c:v>-2930.9750848000026</c:v>
                </c:pt>
                <c:pt idx="3">
                  <c:v>-3988.0372761600029</c:v>
                </c:pt>
                <c:pt idx="4">
                  <c:v>-4577.7577127296026</c:v>
                </c:pt>
                <c:pt idx="5">
                  <c:v>-5215.5915754933812</c:v>
                </c:pt>
                <c:pt idx="6">
                  <c:v>-5904.9450700229881</c:v>
                </c:pt>
                <c:pt idx="7">
                  <c:v>-6649.4875742243657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09-4AA9-8DE2-A5A0F476A34B}"/>
            </c:ext>
          </c:extLst>
        </c:ser>
        <c:ser>
          <c:idx val="0"/>
          <c:order val="2"/>
          <c:tx>
            <c:strRef>
              <c:f>Model!$B$199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rgbClr val="1B3E70"/>
            </a:solidFill>
            <a:ln>
              <a:noFill/>
            </a:ln>
            <a:effectLst/>
          </c:spPr>
          <c:invertIfNegative val="0"/>
          <c:cat>
            <c:numRef>
              <c:f>Model!$D$4:$K$4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Model!$D$199:$K$199</c:f>
              <c:numCache>
                <c:formatCode>_(#,##0_);\(#,##0\);_("–"_);_(@_)</c:formatCode>
                <c:ptCount val="8"/>
                <c:pt idx="0">
                  <c:v>6935</c:v>
                </c:pt>
                <c:pt idx="1">
                  <c:v>8749</c:v>
                </c:pt>
                <c:pt idx="2">
                  <c:v>10882.593892712332</c:v>
                </c:pt>
                <c:pt idx="3">
                  <c:v>7678.8463615719502</c:v>
                </c:pt>
                <c:pt idx="4">
                  <c:v>9229.4462174970613</c:v>
                </c:pt>
                <c:pt idx="5">
                  <c:v>10304.908770546886</c:v>
                </c:pt>
                <c:pt idx="6">
                  <c:v>11463.944736779709</c:v>
                </c:pt>
                <c:pt idx="7">
                  <c:v>12712.407840986491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09-4AA9-8DE2-A5A0F476A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Model!$B$202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 cmpd="sng" algn="ctr">
              <a:solidFill>
                <a:srgbClr val="94713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Model!$D$202:$K$202</c:f>
              <c:numCache>
                <c:formatCode>_(#,##0_);\(#,##0\);_("–"_);_(@_)</c:formatCode>
                <c:ptCount val="8"/>
                <c:pt idx="0">
                  <c:v>-381.99999999999727</c:v>
                </c:pt>
                <c:pt idx="1">
                  <c:v>628.99999999999818</c:v>
                </c:pt>
                <c:pt idx="2">
                  <c:v>4240.7834479123248</c:v>
                </c:pt>
                <c:pt idx="3">
                  <c:v>-1508.3888974586407</c:v>
                </c:pt>
                <c:pt idx="4">
                  <c:v>-88.237780604777072</c:v>
                </c:pt>
                <c:pt idx="5">
                  <c:v>64.995332558928567</c:v>
                </c:pt>
                <c:pt idx="6">
                  <c:v>233.21849251247477</c:v>
                </c:pt>
                <c:pt idx="7">
                  <c:v>417.59222206322374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09-4AA9-8DE2-A5A0F476A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&quot;Year &quot;0;&quot;Year &quot;\-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86634672331237528"/>
          <c:h val="7.80172179996498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'Model-R'!$B$192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E7F2FF"/>
            </a:solidFill>
            <a:ln>
              <a:noFill/>
            </a:ln>
            <a:effectLst/>
          </c:spPr>
          <c:invertIfNegative val="0"/>
          <c:cat>
            <c:numRef>
              <c:f>'Model-R'!$D$5:$K$5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'Model-R'!$D$192:$K$192</c:f>
              <c:numCache>
                <c:formatCode>_(#,##0_);\(#,##0\);_("–"_);_(@_)</c:formatCode>
                <c:ptCount val="8"/>
                <c:pt idx="0">
                  <c:v>81422</c:v>
                </c:pt>
                <c:pt idx="1">
                  <c:v>86698</c:v>
                </c:pt>
                <c:pt idx="2">
                  <c:v>93085.92</c:v>
                </c:pt>
                <c:pt idx="3">
                  <c:v>98671.075200000007</c:v>
                </c:pt>
                <c:pt idx="4">
                  <c:v>104591.33971200002</c:v>
                </c:pt>
                <c:pt idx="5">
                  <c:v>110866.82009472002</c:v>
                </c:pt>
                <c:pt idx="6">
                  <c:v>117518.82930040323</c:v>
                </c:pt>
                <c:pt idx="7">
                  <c:v>124569.95905842743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F-4EB2-B5E5-813B812AB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'Model-R'!$B$194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 cmpd="sng" algn="ctr">
              <a:solidFill>
                <a:srgbClr val="3271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'Model-R'!$D$5:$K$5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'Model-R'!$D$194:$K$194</c:f>
              <c:numCache>
                <c:formatCode>_(#,##0.0%_);\(#,##0.0%\);_("–"_);_(@_)</c:formatCode>
                <c:ptCount val="8"/>
                <c:pt idx="0">
                  <c:v>0.14917344206725455</c:v>
                </c:pt>
                <c:pt idx="1">
                  <c:v>0.16172230039908647</c:v>
                </c:pt>
                <c:pt idx="2">
                  <c:v>0.15496643788878064</c:v>
                </c:pt>
                <c:pt idx="3">
                  <c:v>0.12705168120434149</c:v>
                </c:pt>
                <c:pt idx="4">
                  <c:v>0.13317819226887545</c:v>
                </c:pt>
                <c:pt idx="5">
                  <c:v>0.13919225490213538</c:v>
                </c:pt>
                <c:pt idx="6">
                  <c:v>0.14509598968344864</c:v>
                </c:pt>
                <c:pt idx="7">
                  <c:v>0.15089209016752558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EB2-B5E5-813B812AB74B}"/>
            </c:ext>
          </c:extLst>
        </c:ser>
        <c:ser>
          <c:idx val="2"/>
          <c:order val="2"/>
          <c:tx>
            <c:strRef>
              <c:f>'Model-R'!$B$197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 cmpd="sng" algn="ctr">
              <a:solidFill>
                <a:srgbClr val="94713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'Model-R'!$D$197:$K$197</c:f>
              <c:numCache>
                <c:formatCode>_(#,##0.0%_);\(#,##0.0%\);_("–"_);_(@_)</c:formatCode>
                <c:ptCount val="8"/>
                <c:pt idx="0">
                  <c:v>6.3680577730834423E-2</c:v>
                </c:pt>
                <c:pt idx="1">
                  <c:v>8.7072366144547747E-2</c:v>
                </c:pt>
                <c:pt idx="2">
                  <c:v>9.3550054143526767E-2</c:v>
                </c:pt>
                <c:pt idx="3">
                  <c:v>5.773927260093345E-2</c:v>
                </c:pt>
                <c:pt idx="4">
                  <c:v>6.2525768322075459E-2</c:v>
                </c:pt>
                <c:pt idx="5">
                  <c:v>6.7205364972874618E-2</c:v>
                </c:pt>
                <c:pt idx="6">
                  <c:v>7.1781142345753529E-2</c:v>
                </c:pt>
                <c:pt idx="7">
                  <c:v>7.6256491010984404E-2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1F-4EB2-B5E5-813B812AB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&quot;Year &quot;0;&quot;Year &quot;\-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  <c:max val="0.30000000000000004"/>
        </c:scaling>
        <c:delete val="0"/>
        <c:axPos val="r"/>
        <c:numFmt formatCode="_(#,##0.0%_);\(#,##0.0%\);_(&quot;–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&quot;Year &quot;0;&quot;Year &quot;\-0" sourceLinked="1"/>
        <c:majorTickMark val="out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76400777572706335"/>
          <c:h val="7.794514664041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'Model-R'!$B$201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rgbClr val="E7F2FF"/>
            </a:solidFill>
            <a:ln>
              <a:noFill/>
            </a:ln>
            <a:effectLst/>
          </c:spPr>
          <c:invertIfNegative val="0"/>
          <c:cat>
            <c:numRef>
              <c:f>'Model-R'!$D$5:$K$5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'Model-R'!$D$201:$K$201</c:f>
              <c:numCache>
                <c:formatCode>_(#,##0_);\(#,##0\);_("–"_);_(@_)</c:formatCode>
                <c:ptCount val="8"/>
                <c:pt idx="0">
                  <c:v>-3004.9999999999973</c:v>
                </c:pt>
                <c:pt idx="1">
                  <c:v>-3911.0000000000018</c:v>
                </c:pt>
                <c:pt idx="2">
                  <c:v>-3710.8353600000046</c:v>
                </c:pt>
                <c:pt idx="3">
                  <c:v>-5199.197982870588</c:v>
                </c:pt>
                <c:pt idx="4">
                  <c:v>-4739.9262853722357</c:v>
                </c:pt>
                <c:pt idx="5">
                  <c:v>-5024.3218624945766</c:v>
                </c:pt>
                <c:pt idx="6">
                  <c:v>-5325.7811742442464</c:v>
                </c:pt>
                <c:pt idx="7">
                  <c:v>-5645.3280446989011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1-4192-AE10-1980072F98F2}"/>
            </c:ext>
          </c:extLst>
        </c:ser>
        <c:ser>
          <c:idx val="3"/>
          <c:order val="1"/>
          <c:tx>
            <c:strRef>
              <c:f>'Model-R'!$B$202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rgbClr val="3271D2"/>
            </a:solidFill>
            <a:ln>
              <a:noFill/>
            </a:ln>
            <a:effectLst/>
          </c:spPr>
          <c:invertIfNegative val="0"/>
          <c:cat>
            <c:numRef>
              <c:f>'Model-R'!$D$5:$K$5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'Model-R'!$D$202:$K$202</c:f>
              <c:numCache>
                <c:formatCode>_(#,##0_);\(#,##0\);_("–"_);_(@_)</c:formatCode>
                <c:ptCount val="8"/>
                <c:pt idx="0">
                  <c:v>-4312</c:v>
                </c:pt>
                <c:pt idx="1">
                  <c:v>-4209</c:v>
                </c:pt>
                <c:pt idx="2">
                  <c:v>-2930.9750848000026</c:v>
                </c:pt>
                <c:pt idx="3">
                  <c:v>-3988.0372761600029</c:v>
                </c:pt>
                <c:pt idx="4">
                  <c:v>-4577.7577127296026</c:v>
                </c:pt>
                <c:pt idx="5">
                  <c:v>-5215.5915754933812</c:v>
                </c:pt>
                <c:pt idx="6">
                  <c:v>-5904.9450700229881</c:v>
                </c:pt>
                <c:pt idx="7">
                  <c:v>-6649.4875742243657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61-4192-AE10-1980072F98F2}"/>
            </c:ext>
          </c:extLst>
        </c:ser>
        <c:ser>
          <c:idx val="0"/>
          <c:order val="2"/>
          <c:tx>
            <c:strRef>
              <c:f>'Model-R'!$B$200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rgbClr val="1B3E70"/>
            </a:solidFill>
            <a:ln>
              <a:noFill/>
            </a:ln>
            <a:effectLst/>
          </c:spPr>
          <c:invertIfNegative val="0"/>
          <c:cat>
            <c:numRef>
              <c:f>'Model-R'!$D$5:$K$5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'Model-R'!$D$200:$K$200</c:f>
              <c:numCache>
                <c:formatCode>_(#,##0_);\(#,##0\);_("–"_);_(@_)</c:formatCode>
                <c:ptCount val="8"/>
                <c:pt idx="0">
                  <c:v>6935</c:v>
                </c:pt>
                <c:pt idx="1">
                  <c:v>8749</c:v>
                </c:pt>
                <c:pt idx="2">
                  <c:v>10882.593892712332</c:v>
                </c:pt>
                <c:pt idx="3">
                  <c:v>7678.8463615719502</c:v>
                </c:pt>
                <c:pt idx="4">
                  <c:v>9229.4462174970613</c:v>
                </c:pt>
                <c:pt idx="5">
                  <c:v>10304.908770546886</c:v>
                </c:pt>
                <c:pt idx="6">
                  <c:v>11463.944736779709</c:v>
                </c:pt>
                <c:pt idx="7">
                  <c:v>12712.407840986491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61-4192-AE10-1980072F9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'Model-R'!$B$203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 cmpd="sng" algn="ctr">
              <a:solidFill>
                <a:srgbClr val="94713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'Model-R'!$D$203:$K$203</c:f>
              <c:numCache>
                <c:formatCode>_(#,##0_);\(#,##0\);_("–"_);_(@_)</c:formatCode>
                <c:ptCount val="8"/>
                <c:pt idx="0">
                  <c:v>-381.99999999999727</c:v>
                </c:pt>
                <c:pt idx="1">
                  <c:v>628.99999999999818</c:v>
                </c:pt>
                <c:pt idx="2">
                  <c:v>4240.7834479123248</c:v>
                </c:pt>
                <c:pt idx="3">
                  <c:v>-1508.3888974586407</c:v>
                </c:pt>
                <c:pt idx="4">
                  <c:v>-88.237780604777072</c:v>
                </c:pt>
                <c:pt idx="5">
                  <c:v>64.995332558928567</c:v>
                </c:pt>
                <c:pt idx="6">
                  <c:v>233.21849251247477</c:v>
                </c:pt>
                <c:pt idx="7">
                  <c:v>417.59222206322374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61-4192-AE10-1980072F9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&quot;Year &quot;0;&quot;Year &quot;\-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86634672331237528"/>
          <c:h val="7.80172179996498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oratefinanceinstitute.com/" TargetMode="Externa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56110</xdr:colOff>
      <xdr:row>205</xdr:row>
      <xdr:rowOff>85090</xdr:rowOff>
    </xdr:from>
    <xdr:to>
      <xdr:col>4</xdr:col>
      <xdr:colOff>900198</xdr:colOff>
      <xdr:row>220</xdr:row>
      <xdr:rowOff>149051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2B4E9-21CA-4FFB-9D18-22515E92B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871104</xdr:colOff>
      <xdr:row>205</xdr:row>
      <xdr:rowOff>96405</xdr:rowOff>
    </xdr:from>
    <xdr:to>
      <xdr:col>11</xdr:col>
      <xdr:colOff>46181</xdr:colOff>
      <xdr:row>220</xdr:row>
      <xdr:rowOff>162906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DD5905-E5F4-49BF-A0AE-3020E4CD7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56110</xdr:colOff>
      <xdr:row>206</xdr:row>
      <xdr:rowOff>85090</xdr:rowOff>
    </xdr:from>
    <xdr:to>
      <xdr:col>4</xdr:col>
      <xdr:colOff>900198</xdr:colOff>
      <xdr:row>221</xdr:row>
      <xdr:rowOff>149051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E32C6F-041E-47AC-9B20-314430624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871104</xdr:colOff>
      <xdr:row>206</xdr:row>
      <xdr:rowOff>96405</xdr:rowOff>
    </xdr:from>
    <xdr:to>
      <xdr:col>11</xdr:col>
      <xdr:colOff>46181</xdr:colOff>
      <xdr:row>221</xdr:row>
      <xdr:rowOff>162906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53821A-EFF6-4BB9-8204-EFFA390E7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130967</xdr:colOff>
      <xdr:row>0</xdr:row>
      <xdr:rowOff>138154</xdr:rowOff>
    </xdr:from>
    <xdr:ext cx="1211037" cy="354142"/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A612BC-1B83-46B3-B39E-378EAA83E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67" y="138154"/>
          <a:ext cx="1211037" cy="3541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00F9-F2A1-450C-B712-516AA8D9F895}">
  <sheetPr>
    <pageSetUpPr fitToPage="1"/>
  </sheetPr>
  <dimension ref="A1:W40"/>
  <sheetViews>
    <sheetView showGridLines="0" zoomScaleNormal="100" zoomScaleSheetLayoutView="85" workbookViewId="0">
      <selection activeCell="H33" sqref="H33"/>
    </sheetView>
  </sheetViews>
  <sheetFormatPr baseColWidth="10" defaultColWidth="9.6640625" defaultRowHeight="19.5" customHeight="1"/>
  <cols>
    <col min="1" max="1" width="5" style="1" customWidth="1"/>
    <col min="2" max="2" width="5.1640625" style="1" customWidth="1"/>
    <col min="3" max="3" width="19.6640625" style="1" customWidth="1"/>
    <col min="4" max="7" width="11.33203125" style="1" customWidth="1"/>
    <col min="8" max="8" width="19.6640625" style="1" customWidth="1"/>
    <col min="9" max="12" width="11.33203125" style="1" customWidth="1"/>
    <col min="13" max="13" width="28.1640625" style="1" customWidth="1"/>
    <col min="14" max="14" width="11.33203125" style="1" customWidth="1"/>
    <col min="15" max="15" width="5.1640625" style="1" customWidth="1"/>
    <col min="16" max="16" width="11.5" style="1" customWidth="1"/>
    <col min="17" max="16384" width="9.6640625" style="1"/>
  </cols>
  <sheetData>
    <row r="1" spans="1:17" ht="19.5" customHeight="1" thickBot="1">
      <c r="A1" s="42"/>
    </row>
    <row r="2" spans="1:17" ht="19.5" customHeight="1" thickTop="1">
      <c r="B2" s="41"/>
      <c r="C2" s="40"/>
      <c r="D2" s="40"/>
      <c r="E2" s="40"/>
      <c r="F2" s="40"/>
      <c r="G2" s="39"/>
      <c r="H2" s="39"/>
      <c r="I2" s="39"/>
      <c r="J2" s="39"/>
      <c r="K2" s="39"/>
      <c r="L2" s="39"/>
      <c r="M2" s="39"/>
      <c r="N2" s="39"/>
      <c r="O2" s="38"/>
    </row>
    <row r="3" spans="1:17" ht="19.5" customHeight="1">
      <c r="B3" s="36"/>
      <c r="C3" s="35"/>
      <c r="D3" s="35"/>
      <c r="E3" s="35"/>
      <c r="F3" s="35"/>
      <c r="G3" s="34"/>
      <c r="H3" s="34"/>
      <c r="I3" s="34"/>
      <c r="J3" s="34"/>
      <c r="K3" s="34"/>
      <c r="L3" s="34"/>
      <c r="M3" s="34"/>
      <c r="N3" s="34"/>
      <c r="O3" s="33"/>
    </row>
    <row r="4" spans="1:17" ht="19.5" customHeight="1">
      <c r="B4" s="36"/>
      <c r="C4" s="35"/>
      <c r="D4" s="35"/>
      <c r="E4" s="35"/>
      <c r="F4" s="35"/>
      <c r="G4" s="34"/>
      <c r="H4" s="34"/>
      <c r="I4" s="34"/>
      <c r="J4" s="34"/>
      <c r="K4" s="34"/>
      <c r="L4" s="34"/>
      <c r="M4" s="34"/>
      <c r="N4" s="34"/>
      <c r="O4" s="33"/>
    </row>
    <row r="5" spans="1:17" ht="19.5" customHeight="1">
      <c r="B5" s="36"/>
      <c r="C5" s="35"/>
      <c r="D5" s="35"/>
      <c r="E5" s="35"/>
      <c r="F5" s="35"/>
      <c r="G5" s="34"/>
      <c r="H5" s="34"/>
      <c r="I5" s="34"/>
      <c r="J5" s="34"/>
      <c r="K5" s="34"/>
      <c r="L5" s="34"/>
      <c r="M5" s="34"/>
      <c r="N5" s="34"/>
      <c r="O5" s="33"/>
    </row>
    <row r="6" spans="1:17" ht="19.5" customHeight="1">
      <c r="B6" s="36"/>
      <c r="C6" s="35"/>
      <c r="D6" s="35"/>
      <c r="E6" s="35"/>
      <c r="F6" s="35"/>
      <c r="G6" s="34"/>
      <c r="H6" s="37"/>
      <c r="I6" s="34"/>
      <c r="J6" s="34"/>
      <c r="K6" s="34"/>
      <c r="L6" s="34"/>
      <c r="M6" s="34"/>
      <c r="N6" s="34"/>
      <c r="O6" s="33"/>
    </row>
    <row r="7" spans="1:17" ht="19.5" customHeight="1">
      <c r="B7" s="36"/>
      <c r="C7" s="35"/>
      <c r="D7" s="35"/>
      <c r="E7" s="35"/>
      <c r="F7" s="35"/>
      <c r="G7" s="34"/>
      <c r="H7" s="34"/>
      <c r="I7" s="34"/>
      <c r="J7" s="34"/>
      <c r="K7" s="34"/>
      <c r="L7" s="34"/>
      <c r="M7" s="34"/>
      <c r="N7" s="34"/>
      <c r="O7" s="33"/>
    </row>
    <row r="8" spans="1:17" ht="19.5" customHeight="1">
      <c r="B8" s="36"/>
      <c r="C8" s="35"/>
      <c r="D8" s="35"/>
      <c r="E8" s="35"/>
      <c r="F8" s="35"/>
      <c r="G8" s="34"/>
      <c r="H8" s="34"/>
      <c r="I8" s="34"/>
      <c r="J8" s="34"/>
      <c r="K8" s="34"/>
      <c r="L8" s="34"/>
      <c r="M8" s="34"/>
      <c r="N8" s="34"/>
      <c r="O8" s="33"/>
    </row>
    <row r="9" spans="1:17" ht="19.5" customHeight="1">
      <c r="B9" s="36"/>
      <c r="C9" s="35"/>
      <c r="D9" s="35"/>
      <c r="E9" s="35"/>
      <c r="F9" s="35"/>
      <c r="G9" s="34"/>
      <c r="H9" s="34"/>
      <c r="I9" s="34"/>
      <c r="J9" s="34"/>
      <c r="K9" s="34"/>
      <c r="L9" s="34"/>
      <c r="M9" s="34"/>
      <c r="N9" s="34"/>
      <c r="O9" s="33"/>
    </row>
    <row r="10" spans="1:17" ht="19.5" customHeight="1">
      <c r="B10" s="6"/>
      <c r="O10" s="5"/>
    </row>
    <row r="11" spans="1:17" ht="28.5" customHeight="1">
      <c r="B11" s="6"/>
      <c r="C11" s="32" t="s">
        <v>5</v>
      </c>
      <c r="N11" s="31"/>
      <c r="O11" s="5"/>
    </row>
    <row r="12" spans="1:17" ht="19.5" customHeight="1">
      <c r="B12" s="6"/>
      <c r="C12" s="30"/>
      <c r="L12" s="29"/>
      <c r="O12" s="5"/>
    </row>
    <row r="13" spans="1:17" ht="19.5" customHeight="1">
      <c r="B13" s="6"/>
      <c r="O13" s="5"/>
    </row>
    <row r="14" spans="1:17" ht="19.5" customHeight="1">
      <c r="B14" s="6"/>
      <c r="C14" s="28" t="s">
        <v>4</v>
      </c>
      <c r="D14" s="7"/>
      <c r="E14" s="7"/>
      <c r="F14" s="7"/>
      <c r="G14" s="7"/>
      <c r="H14" s="7"/>
      <c r="J14" s="27"/>
      <c r="K14" s="26" t="s">
        <v>3</v>
      </c>
      <c r="L14" s="25"/>
      <c r="M14" s="24"/>
      <c r="N14" s="23"/>
      <c r="O14" s="5"/>
    </row>
    <row r="15" spans="1:17" ht="19.5" customHeight="1">
      <c r="B15" s="6"/>
      <c r="D15" s="7"/>
      <c r="E15" s="7"/>
      <c r="F15" s="7"/>
      <c r="G15" s="7"/>
      <c r="H15" s="7"/>
      <c r="J15" s="7"/>
      <c r="K15" s="7"/>
      <c r="L15" s="7"/>
      <c r="M15" s="7"/>
      <c r="N15" s="7"/>
      <c r="O15" s="5"/>
    </row>
    <row r="16" spans="1:17" ht="19.5" customHeight="1">
      <c r="B16" s="6"/>
      <c r="C16" s="22" t="s">
        <v>2</v>
      </c>
      <c r="D16" s="7"/>
      <c r="E16" s="7"/>
      <c r="F16" s="7"/>
      <c r="G16" s="7"/>
      <c r="H16" s="7"/>
      <c r="K16" s="17" t="s">
        <v>1</v>
      </c>
      <c r="M16" s="17"/>
      <c r="N16" s="21">
        <f>IF(SUM(Model!D83:K83)=0,0,1)</f>
        <v>0</v>
      </c>
      <c r="O16" s="5"/>
      <c r="Q16" s="20"/>
    </row>
    <row r="17" spans="2:23" ht="19.5" customHeight="1">
      <c r="B17" s="6"/>
      <c r="C17" s="10"/>
      <c r="D17" s="7"/>
      <c r="E17" s="7"/>
      <c r="F17" s="7"/>
      <c r="G17" s="7"/>
      <c r="H17" s="7"/>
      <c r="K17" s="10"/>
      <c r="L17" s="10"/>
      <c r="M17" s="10"/>
      <c r="N17" s="10"/>
      <c r="O17" s="5"/>
    </row>
    <row r="18" spans="2:23" ht="19.5" customHeight="1">
      <c r="B18" s="6"/>
      <c r="C18" s="10"/>
      <c r="D18" s="7"/>
      <c r="E18" s="7"/>
      <c r="F18" s="7"/>
      <c r="G18" s="7"/>
      <c r="H18" s="7"/>
      <c r="K18" s="10"/>
      <c r="L18" s="10"/>
      <c r="M18" s="10"/>
      <c r="N18" s="10"/>
      <c r="O18" s="5"/>
    </row>
    <row r="19" spans="2:23" ht="19.5" customHeight="1">
      <c r="B19" s="6"/>
      <c r="C19" s="19"/>
      <c r="D19" s="7"/>
      <c r="E19" s="7"/>
      <c r="F19" s="7"/>
      <c r="G19" s="7"/>
      <c r="H19" s="7"/>
      <c r="O19" s="5"/>
    </row>
    <row r="20" spans="2:23" ht="19.5" customHeight="1">
      <c r="B20" s="6"/>
      <c r="C20" s="12"/>
      <c r="D20" s="7"/>
      <c r="E20" s="7"/>
      <c r="F20" s="7"/>
      <c r="G20" s="7"/>
      <c r="H20" s="7"/>
      <c r="I20" s="17"/>
      <c r="M20" s="17"/>
      <c r="N20" s="16"/>
      <c r="O20" s="5"/>
    </row>
    <row r="21" spans="2:23" ht="19.5" customHeight="1">
      <c r="B21" s="6"/>
      <c r="C21" s="10"/>
      <c r="D21" s="10"/>
      <c r="E21" s="18"/>
      <c r="F21" s="18"/>
      <c r="G21" s="7"/>
      <c r="H21" s="7"/>
      <c r="I21" s="17"/>
      <c r="M21" s="17"/>
      <c r="N21" s="16"/>
      <c r="O21" s="5"/>
    </row>
    <row r="22" spans="2:23" ht="19.5" customHeight="1">
      <c r="B22" s="6"/>
      <c r="C22" s="10"/>
      <c r="D22" s="10"/>
      <c r="G22" s="7"/>
      <c r="H22" s="7"/>
      <c r="I22" s="17"/>
      <c r="M22" s="17"/>
      <c r="N22" s="16"/>
      <c r="O22" s="5"/>
    </row>
    <row r="23" spans="2:23" ht="19.5" customHeight="1">
      <c r="B23" s="6"/>
      <c r="C23" s="10"/>
      <c r="D23" s="10"/>
      <c r="F23" s="15"/>
      <c r="G23" s="7"/>
      <c r="H23" s="7"/>
      <c r="O23" s="5"/>
      <c r="R23" s="14"/>
      <c r="W23" s="14"/>
    </row>
    <row r="24" spans="2:23" ht="19.5" customHeight="1">
      <c r="B24" s="6"/>
      <c r="C24" s="10"/>
      <c r="D24" s="10"/>
      <c r="E24" s="13"/>
      <c r="F24" s="13"/>
      <c r="G24" s="7"/>
      <c r="H24" s="7"/>
      <c r="O24" s="5"/>
    </row>
    <row r="25" spans="2:23" ht="19.5" customHeight="1">
      <c r="B25" s="6"/>
      <c r="C25" s="12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5"/>
    </row>
    <row r="26" spans="2:23" ht="19.5" customHeight="1">
      <c r="B26" s="6"/>
      <c r="C26" s="10"/>
      <c r="D26" s="11"/>
      <c r="E26" s="11"/>
      <c r="F26" s="7"/>
      <c r="G26" s="7"/>
      <c r="H26" s="7"/>
      <c r="I26" s="7"/>
      <c r="J26" s="7"/>
      <c r="K26" s="7"/>
      <c r="L26" s="7"/>
      <c r="M26" s="7"/>
      <c r="N26" s="7"/>
      <c r="O26" s="5"/>
    </row>
    <row r="27" spans="2:23" ht="19.5" customHeight="1">
      <c r="B27" s="6"/>
      <c r="C27" s="10"/>
      <c r="D27" s="10"/>
      <c r="E27" s="9"/>
      <c r="F27" s="7"/>
      <c r="G27" s="7"/>
      <c r="H27" s="7"/>
      <c r="I27" s="7"/>
      <c r="J27" s="7"/>
      <c r="K27" s="7"/>
      <c r="L27" s="7"/>
      <c r="M27" s="7"/>
      <c r="N27" s="7"/>
      <c r="O27" s="5"/>
    </row>
    <row r="28" spans="2:23" ht="19.5" customHeight="1">
      <c r="B28" s="6"/>
      <c r="C28" s="10"/>
      <c r="D28" s="10"/>
      <c r="E28" s="9"/>
      <c r="F28" s="7"/>
      <c r="G28" s="7"/>
      <c r="H28" s="7"/>
      <c r="I28" s="7"/>
      <c r="J28" s="7"/>
      <c r="K28" s="7"/>
      <c r="L28" s="7"/>
      <c r="M28" s="7"/>
      <c r="N28" s="7"/>
      <c r="O28" s="5"/>
    </row>
    <row r="29" spans="2:23" ht="19.5" customHeight="1">
      <c r="B29" s="6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5"/>
    </row>
    <row r="30" spans="2:23" ht="19.5" customHeight="1">
      <c r="B30" s="6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5"/>
    </row>
    <row r="31" spans="2:23" ht="19.5" customHeight="1">
      <c r="B31" s="6"/>
      <c r="C31" s="185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5"/>
    </row>
    <row r="32" spans="2:23" ht="19.5" customHeight="1">
      <c r="B32" s="6"/>
      <c r="C32" s="187"/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5"/>
    </row>
    <row r="33" spans="2:16" ht="19.5" customHeight="1">
      <c r="B33" s="6"/>
      <c r="C33" s="187"/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5"/>
    </row>
    <row r="34" spans="2:16" ht="19.5" customHeight="1">
      <c r="B34" s="6"/>
      <c r="C34" s="187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5"/>
    </row>
    <row r="35" spans="2:16" ht="19.5" customHeight="1">
      <c r="B35" s="6"/>
      <c r="C35" s="187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5"/>
    </row>
    <row r="36" spans="2:16" ht="19.5" customHeight="1">
      <c r="B36" s="6"/>
      <c r="C36" s="187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5"/>
    </row>
    <row r="37" spans="2:16" ht="19.5" customHeight="1">
      <c r="B37" s="6"/>
      <c r="C37" s="187"/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5"/>
    </row>
    <row r="38" spans="2:16" ht="19.5" customHeight="1">
      <c r="B38" s="6"/>
      <c r="C38" s="187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5"/>
    </row>
    <row r="39" spans="2:16" ht="19.5" customHeight="1" thickBot="1"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2" t="s">
        <v>0</v>
      </c>
    </row>
    <row r="40" spans="2:16" ht="19.5" customHeight="1" thickTop="1">
      <c r="P40" s="1" t="s">
        <v>0</v>
      </c>
    </row>
  </sheetData>
  <conditionalFormatting sqref="N16">
    <cfRule type="expression" dxfId="2" priority="1">
      <formula>N16=1</formula>
    </cfRule>
  </conditionalFormatting>
  <hyperlinks>
    <hyperlink ref="C16" location="Model!A1" tooltip="Model" display="Model" xr:uid="{4B11AABC-1BFF-4DB8-80DD-3D8D97C12BEB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004F-0B9F-47E5-9396-B772C460061D}">
  <dimension ref="A2:T223"/>
  <sheetViews>
    <sheetView showGridLines="0" tabSelected="1" zoomScaleNormal="100" zoomScaleSheetLayoutView="70" workbookViewId="0">
      <pane ySplit="1" topLeftCell="A2" activePane="bottomLeft" state="frozen"/>
      <selection activeCell="O203" sqref="O203"/>
      <selection pane="bottomLeft" activeCell="N50" sqref="N50:P50"/>
    </sheetView>
  </sheetViews>
  <sheetFormatPr baseColWidth="10" defaultColWidth="9.1640625" defaultRowHeight="15" customHeight="1" outlineLevelRow="1"/>
  <cols>
    <col min="1" max="1" width="9.1640625" style="43"/>
    <col min="2" max="2" width="41.1640625" style="43" customWidth="1"/>
    <col min="3" max="11" width="13.1640625" style="43" customWidth="1"/>
    <col min="12" max="12" width="2.5" style="43" customWidth="1"/>
    <col min="13" max="13" width="5.6640625" style="43" bestFit="1" customWidth="1"/>
    <col min="14" max="14" width="34.5" style="43" customWidth="1"/>
    <col min="15" max="16384" width="9.1640625" style="43"/>
  </cols>
  <sheetData>
    <row r="2" spans="1:20" s="47" customFormat="1" ht="15" customHeight="1">
      <c r="A2" s="47" t="s">
        <v>0</v>
      </c>
      <c r="B2" s="64" t="s">
        <v>107</v>
      </c>
      <c r="C2" s="64"/>
      <c r="D2" s="64"/>
      <c r="E2" s="64"/>
      <c r="F2" s="64"/>
      <c r="G2" s="64"/>
      <c r="H2" s="64"/>
      <c r="I2" s="64"/>
      <c r="J2" s="64"/>
      <c r="K2" s="64"/>
      <c r="N2" s="43"/>
    </row>
    <row r="3" spans="1:20" ht="15" customHeight="1" outlineLevel="1">
      <c r="B3" s="52"/>
      <c r="C3" s="52"/>
      <c r="G3" s="132"/>
      <c r="H3" s="132"/>
      <c r="I3" s="132"/>
      <c r="J3" s="132"/>
      <c r="K3" s="132"/>
    </row>
    <row r="4" spans="1:20" s="143" customFormat="1" ht="15" customHeight="1" outlineLevel="1" thickBot="1">
      <c r="A4" s="144"/>
      <c r="B4" s="59" t="s">
        <v>18</v>
      </c>
      <c r="C4" s="59"/>
      <c r="D4" s="154">
        <v>-2</v>
      </c>
      <c r="E4" s="61">
        <f t="shared" ref="E4:K4" si="0">+D4+1</f>
        <v>-1</v>
      </c>
      <c r="F4" s="61">
        <f t="shared" si="0"/>
        <v>0</v>
      </c>
      <c r="G4" s="60">
        <f t="shared" si="0"/>
        <v>1</v>
      </c>
      <c r="H4" s="60">
        <f t="shared" si="0"/>
        <v>2</v>
      </c>
      <c r="I4" s="60">
        <f t="shared" si="0"/>
        <v>3</v>
      </c>
      <c r="J4" s="60">
        <f t="shared" si="0"/>
        <v>4</v>
      </c>
      <c r="K4" s="60">
        <f t="shared" si="0"/>
        <v>5</v>
      </c>
      <c r="L4" s="144"/>
      <c r="M4" s="144"/>
      <c r="N4" s="144"/>
      <c r="O4" s="144"/>
      <c r="P4" s="144"/>
      <c r="Q4" s="144"/>
      <c r="R4" s="144"/>
    </row>
    <row r="5" spans="1:20" ht="15" customHeight="1" outlineLevel="1">
      <c r="B5" s="52"/>
      <c r="C5" s="52"/>
      <c r="G5" s="132"/>
      <c r="H5" s="132"/>
      <c r="I5" s="132"/>
      <c r="J5" s="132"/>
      <c r="K5" s="132"/>
    </row>
    <row r="6" spans="1:20" ht="15" customHeight="1" outlineLevel="1">
      <c r="B6" s="52" t="s">
        <v>53</v>
      </c>
      <c r="C6" s="52"/>
      <c r="D6" s="121">
        <v>365</v>
      </c>
      <c r="E6" s="121">
        <v>365</v>
      </c>
      <c r="F6" s="121">
        <v>365</v>
      </c>
      <c r="G6" s="121">
        <v>365</v>
      </c>
      <c r="H6" s="121">
        <v>365</v>
      </c>
      <c r="I6" s="121">
        <v>365</v>
      </c>
      <c r="J6" s="121">
        <v>365</v>
      </c>
      <c r="K6" s="121">
        <v>365</v>
      </c>
      <c r="N6" s="52"/>
    </row>
    <row r="7" spans="1:20" ht="15" customHeight="1" outlineLevel="1"/>
    <row r="8" spans="1:20" ht="15" customHeight="1" outlineLevel="1">
      <c r="B8" s="52" t="s">
        <v>7</v>
      </c>
      <c r="C8" s="52"/>
      <c r="E8" s="153"/>
      <c r="G8" s="132"/>
      <c r="H8" s="132"/>
      <c r="I8" s="132"/>
      <c r="J8" s="132"/>
      <c r="K8" s="132"/>
    </row>
    <row r="9" spans="1:20" ht="15" customHeight="1" outlineLevel="1">
      <c r="B9" s="50" t="s">
        <v>106</v>
      </c>
      <c r="C9" s="50"/>
      <c r="D9" s="50"/>
      <c r="E9" s="148">
        <f>E34/D34-1</f>
        <v>6.4798211785512594E-2</v>
      </c>
      <c r="F9" s="148">
        <f>F34/E34-1</f>
        <v>7.3680131029550733E-2</v>
      </c>
      <c r="G9" s="146">
        <v>0.06</v>
      </c>
      <c r="H9" s="146">
        <v>0.06</v>
      </c>
      <c r="I9" s="146">
        <v>0.06</v>
      </c>
      <c r="J9" s="146">
        <v>0.06</v>
      </c>
      <c r="K9" s="146">
        <v>0.06</v>
      </c>
      <c r="M9" s="48">
        <f>'Model-R'!O10</f>
        <v>1</v>
      </c>
      <c r="N9" s="50"/>
    </row>
    <row r="10" spans="1:20" ht="15" customHeight="1" outlineLevel="1">
      <c r="B10" s="50" t="s">
        <v>105</v>
      </c>
      <c r="C10" s="50"/>
      <c r="D10" s="148">
        <f>D36/D34</f>
        <v>0.53180958463314587</v>
      </c>
      <c r="E10" s="148">
        <f t="shared" ref="E10:F10" si="1">E36/E34</f>
        <v>0.56451129207132811</v>
      </c>
      <c r="F10" s="148">
        <f t="shared" si="1"/>
        <v>0.57417121730117726</v>
      </c>
      <c r="G10" s="146">
        <v>0.55000000000000004</v>
      </c>
      <c r="H10" s="146">
        <v>0.55000000000000004</v>
      </c>
      <c r="I10" s="146">
        <v>0.55000000000000004</v>
      </c>
      <c r="J10" s="146">
        <v>0.55000000000000004</v>
      </c>
      <c r="K10" s="146">
        <v>0.55000000000000004</v>
      </c>
      <c r="M10" s="48">
        <f>'Model-R'!O11</f>
        <v>1</v>
      </c>
      <c r="N10" s="50"/>
    </row>
    <row r="11" spans="1:20" ht="15" customHeight="1" outlineLevel="1">
      <c r="B11" s="50" t="s">
        <v>104</v>
      </c>
      <c r="C11" s="50"/>
      <c r="D11" s="148">
        <f>-D38/D34</f>
        <v>7.2265481073911231E-2</v>
      </c>
      <c r="E11" s="148">
        <f t="shared" ref="E11:F11" si="2">-E38/E34</f>
        <v>7.4061685390666446E-2</v>
      </c>
      <c r="F11" s="148">
        <f t="shared" si="2"/>
        <v>6.624003286426132E-2</v>
      </c>
      <c r="G11" s="146">
        <v>7.4999999999999997E-2</v>
      </c>
      <c r="H11" s="146">
        <v>7.4999999999999997E-2</v>
      </c>
      <c r="I11" s="146">
        <v>7.4999999999999997E-2</v>
      </c>
      <c r="J11" s="146">
        <v>7.4999999999999997E-2</v>
      </c>
      <c r="K11" s="146">
        <v>7.4999999999999997E-2</v>
      </c>
      <c r="M11" s="48">
        <f>'Model-R'!O12</f>
        <v>1</v>
      </c>
      <c r="N11" s="50"/>
    </row>
    <row r="12" spans="1:20" ht="15" customHeight="1" outlineLevel="1">
      <c r="B12" s="50" t="s">
        <v>103</v>
      </c>
      <c r="C12" s="50"/>
      <c r="D12" s="152">
        <f>-D39</f>
        <v>23507</v>
      </c>
      <c r="E12" s="152">
        <f t="shared" ref="E12:F12" si="3">-E39</f>
        <v>26569</v>
      </c>
      <c r="F12" s="152">
        <f t="shared" si="3"/>
        <v>30830.072</v>
      </c>
      <c r="G12" s="151">
        <v>32063</v>
      </c>
      <c r="H12" s="151">
        <v>33346</v>
      </c>
      <c r="I12" s="151">
        <v>34680</v>
      </c>
      <c r="J12" s="151">
        <v>36067</v>
      </c>
      <c r="K12" s="151">
        <v>37509</v>
      </c>
      <c r="M12" s="48">
        <f>'Model-R'!O13</f>
        <v>1</v>
      </c>
      <c r="N12" s="50"/>
      <c r="P12" s="151"/>
      <c r="Q12" s="151"/>
      <c r="R12" s="151"/>
      <c r="S12" s="151"/>
      <c r="T12" s="151"/>
    </row>
    <row r="13" spans="1:20" ht="15" customHeight="1" outlineLevel="1">
      <c r="B13" s="50" t="s">
        <v>102</v>
      </c>
      <c r="C13" s="50"/>
      <c r="D13" s="148">
        <f>-D40/D34</f>
        <v>2.1664906290683107E-2</v>
      </c>
      <c r="E13" s="148">
        <f t="shared" ref="E13:F13" si="4">-E40/E34</f>
        <v>2.2272716787007773E-2</v>
      </c>
      <c r="F13" s="148">
        <f t="shared" si="4"/>
        <v>2.176458222682872E-2</v>
      </c>
      <c r="G13" s="146">
        <v>2.3E-2</v>
      </c>
      <c r="H13" s="146">
        <v>2.3E-2</v>
      </c>
      <c r="I13" s="146">
        <v>2.3E-2</v>
      </c>
      <c r="J13" s="146">
        <v>2.3E-2</v>
      </c>
      <c r="K13" s="146">
        <v>2.3E-2</v>
      </c>
      <c r="M13" s="48">
        <f>'Model-R'!O14</f>
        <v>1</v>
      </c>
      <c r="N13" s="50"/>
    </row>
    <row r="14" spans="1:20" ht="15" customHeight="1" outlineLevel="1">
      <c r="B14" s="50" t="s">
        <v>38</v>
      </c>
      <c r="C14" s="50"/>
      <c r="D14" s="148">
        <f>-D41/D34</f>
        <v>3.6353811009309525E-2</v>
      </c>
      <c r="E14" s="148">
        <f t="shared" ref="E14:F14" si="5">-E41/E34</f>
        <v>3.2330618930079123E-2</v>
      </c>
      <c r="F14" s="148">
        <f t="shared" si="5"/>
        <v>3.1227444064580338E-2</v>
      </c>
      <c r="G14" s="146">
        <v>3.2000000000000001E-2</v>
      </c>
      <c r="H14" s="146">
        <v>3.2000000000000001E-2</v>
      </c>
      <c r="I14" s="146">
        <v>3.2000000000000001E-2</v>
      </c>
      <c r="J14" s="146">
        <v>3.2000000000000001E-2</v>
      </c>
      <c r="K14" s="146">
        <v>3.2000000000000001E-2</v>
      </c>
      <c r="M14" s="48">
        <f>'Model-R'!O15</f>
        <v>1</v>
      </c>
      <c r="N14" s="50"/>
    </row>
    <row r="15" spans="1:20" ht="15" customHeight="1" outlineLevel="1">
      <c r="B15" s="50" t="s">
        <v>101</v>
      </c>
      <c r="C15" s="50"/>
      <c r="D15" s="148">
        <f>-D44/AVERAGE(C73:D73)</f>
        <v>6.2E-2</v>
      </c>
      <c r="E15" s="148">
        <f t="shared" ref="E15:F15" si="6">-E44/AVERAGE(D73:E73)</f>
        <v>6.2E-2</v>
      </c>
      <c r="F15" s="148">
        <f t="shared" si="6"/>
        <v>6.2E-2</v>
      </c>
      <c r="G15" s="146">
        <v>6.2E-2</v>
      </c>
      <c r="H15" s="146">
        <v>6.2E-2</v>
      </c>
      <c r="I15" s="146">
        <v>6.2E-2</v>
      </c>
      <c r="J15" s="146">
        <v>6.2E-2</v>
      </c>
      <c r="K15" s="146">
        <v>6.2E-2</v>
      </c>
      <c r="L15" s="132"/>
      <c r="M15" s="48">
        <f>'Model-R'!O16</f>
        <v>1</v>
      </c>
      <c r="N15" s="50"/>
    </row>
    <row r="16" spans="1:20" ht="15" customHeight="1" outlineLevel="1">
      <c r="B16" s="50" t="s">
        <v>100</v>
      </c>
      <c r="C16" s="50"/>
      <c r="D16" s="148">
        <f>-D47/D45</f>
        <v>0.347470425371256</v>
      </c>
      <c r="E16" s="148">
        <f t="shared" ref="E16:F16" si="7">-E47/E45</f>
        <v>0.24343555822810181</v>
      </c>
      <c r="F16" s="148">
        <f t="shared" si="7"/>
        <v>0.15276420725750778</v>
      </c>
      <c r="G16" s="146">
        <v>0.3</v>
      </c>
      <c r="H16" s="146">
        <v>0.3</v>
      </c>
      <c r="I16" s="146">
        <v>0.3</v>
      </c>
      <c r="J16" s="146">
        <v>0.3</v>
      </c>
      <c r="K16" s="146">
        <v>0.3</v>
      </c>
      <c r="M16" s="48">
        <f>'Model-R'!O17</f>
        <v>1</v>
      </c>
      <c r="N16" s="50"/>
    </row>
    <row r="17" spans="1:18" ht="15" customHeight="1" outlineLevel="1">
      <c r="G17" s="10"/>
      <c r="H17" s="10"/>
      <c r="I17" s="10"/>
      <c r="J17" s="10"/>
      <c r="K17" s="10"/>
      <c r="N17" s="50"/>
    </row>
    <row r="18" spans="1:18" ht="15" customHeight="1" outlineLevel="1">
      <c r="B18" s="52" t="s">
        <v>84</v>
      </c>
      <c r="C18" s="52"/>
      <c r="D18" s="10"/>
      <c r="G18" s="10"/>
      <c r="H18" s="10"/>
      <c r="I18" s="10"/>
      <c r="J18" s="10"/>
      <c r="K18" s="10"/>
      <c r="N18" s="50"/>
    </row>
    <row r="19" spans="1:18" ht="15" customHeight="1" outlineLevel="1">
      <c r="B19" s="50" t="s">
        <v>40</v>
      </c>
      <c r="C19" s="92" t="s">
        <v>39</v>
      </c>
      <c r="D19" s="150">
        <f>D34/D64</f>
        <v>4.2268597830036869</v>
      </c>
      <c r="E19" s="150">
        <f t="shared" ref="E19:F19" si="8">E34/E64</f>
        <v>4.2559520887536202</v>
      </c>
      <c r="F19" s="150">
        <f t="shared" si="8"/>
        <v>4.3960292798110974</v>
      </c>
      <c r="G19" s="149">
        <v>4.25</v>
      </c>
      <c r="H19" s="149">
        <v>4.25</v>
      </c>
      <c r="I19" s="149">
        <v>4.25</v>
      </c>
      <c r="J19" s="149">
        <v>4.25</v>
      </c>
      <c r="K19" s="149">
        <v>4.25</v>
      </c>
      <c r="M19" s="48">
        <f>'Model-R'!O20</f>
        <v>1</v>
      </c>
      <c r="N19" s="50"/>
    </row>
    <row r="20" spans="1:18" ht="15" customHeight="1" outlineLevel="1">
      <c r="B20" s="50" t="s">
        <v>99</v>
      </c>
      <c r="C20" s="92" t="s">
        <v>50</v>
      </c>
      <c r="D20" s="51">
        <f>D60/D34*365</f>
        <v>56.864545208911593</v>
      </c>
      <c r="E20" s="51">
        <f t="shared" ref="E20:F20" si="9">E60/E34*365</f>
        <v>59.251770513737341</v>
      </c>
      <c r="F20" s="51">
        <f t="shared" si="9"/>
        <v>57.723457210284863</v>
      </c>
      <c r="G20" s="121">
        <v>60</v>
      </c>
      <c r="H20" s="121">
        <v>60</v>
      </c>
      <c r="I20" s="121">
        <v>60</v>
      </c>
      <c r="J20" s="121">
        <v>60</v>
      </c>
      <c r="K20" s="121">
        <v>60</v>
      </c>
      <c r="M20" s="48">
        <f>'Model-R'!O21</f>
        <v>1</v>
      </c>
      <c r="N20" s="50"/>
    </row>
    <row r="21" spans="1:18" ht="15" customHeight="1" outlineLevel="1">
      <c r="B21" s="50" t="s">
        <v>98</v>
      </c>
      <c r="C21" s="92" t="s">
        <v>50</v>
      </c>
      <c r="D21" s="51">
        <f>-D61/D35*365</f>
        <v>68.631987618373074</v>
      </c>
      <c r="E21" s="51">
        <f t="shared" ref="E21:F21" si="10">-E61/E35*365</f>
        <v>74.351493802309562</v>
      </c>
      <c r="F21" s="51">
        <f t="shared" si="10"/>
        <v>74</v>
      </c>
      <c r="G21" s="121">
        <v>75</v>
      </c>
      <c r="H21" s="121">
        <v>75</v>
      </c>
      <c r="I21" s="121">
        <v>75</v>
      </c>
      <c r="J21" s="121">
        <v>75</v>
      </c>
      <c r="K21" s="121">
        <v>75</v>
      </c>
      <c r="M21" s="48">
        <f>'Model-R'!O22</f>
        <v>1</v>
      </c>
      <c r="N21" s="50"/>
    </row>
    <row r="22" spans="1:18" ht="15" customHeight="1" outlineLevel="1">
      <c r="B22" s="50" t="s">
        <v>97</v>
      </c>
      <c r="C22" s="92" t="s">
        <v>50</v>
      </c>
      <c r="D22" s="51">
        <f>-D69/D35*365</f>
        <v>95.757325358726149</v>
      </c>
      <c r="E22" s="51">
        <f t="shared" ref="E22:F22" si="11">-E69/E35*365</f>
        <v>101.54571458840979</v>
      </c>
      <c r="F22" s="51">
        <f t="shared" si="11"/>
        <v>102</v>
      </c>
      <c r="G22" s="121">
        <v>100</v>
      </c>
      <c r="H22" s="121">
        <v>100</v>
      </c>
      <c r="I22" s="121">
        <v>100</v>
      </c>
      <c r="J22" s="121">
        <v>100</v>
      </c>
      <c r="K22" s="121">
        <v>100</v>
      </c>
      <c r="M22" s="48">
        <f>'Model-R'!O23</f>
        <v>1</v>
      </c>
      <c r="N22" s="50"/>
    </row>
    <row r="23" spans="1:18" ht="15" customHeight="1" outlineLevel="1">
      <c r="B23" s="50" t="s">
        <v>49</v>
      </c>
      <c r="C23" s="50"/>
      <c r="D23" s="148">
        <f>-D70/D47</f>
        <v>0.39406012314378847</v>
      </c>
      <c r="E23" s="148">
        <f t="shared" ref="E23:F23" si="12">-E70/E47</f>
        <v>0.36805269658295597</v>
      </c>
      <c r="F23" s="148">
        <f t="shared" si="12"/>
        <v>0.37002475352237196</v>
      </c>
      <c r="G23" s="146">
        <v>0.37</v>
      </c>
      <c r="H23" s="146">
        <v>0.37</v>
      </c>
      <c r="I23" s="146">
        <v>0.37</v>
      </c>
      <c r="J23" s="146">
        <v>0.37</v>
      </c>
      <c r="K23" s="146">
        <v>0.37</v>
      </c>
      <c r="M23" s="48">
        <f>'Model-R'!O24</f>
        <v>1</v>
      </c>
      <c r="N23" s="50"/>
    </row>
    <row r="24" spans="1:18" ht="15" customHeight="1" outlineLevel="1">
      <c r="B24" s="50" t="s">
        <v>96</v>
      </c>
      <c r="C24" s="50"/>
      <c r="D24" s="51">
        <f>D73</f>
        <v>20000</v>
      </c>
      <c r="E24" s="51">
        <f t="shared" ref="E24:F24" si="13">E73</f>
        <v>20000</v>
      </c>
      <c r="F24" s="51">
        <f t="shared" si="13"/>
        <v>20000</v>
      </c>
      <c r="G24" s="121">
        <v>20000</v>
      </c>
      <c r="H24" s="121">
        <v>20000</v>
      </c>
      <c r="I24" s="121">
        <v>20000</v>
      </c>
      <c r="J24" s="121">
        <v>20000</v>
      </c>
      <c r="K24" s="121">
        <v>20000</v>
      </c>
      <c r="M24" s="48">
        <f>'Model-R'!O25</f>
        <v>1</v>
      </c>
      <c r="N24" s="50"/>
    </row>
    <row r="25" spans="1:18" ht="15" customHeight="1" outlineLevel="1">
      <c r="B25" s="50" t="s">
        <v>95</v>
      </c>
      <c r="C25" s="50"/>
      <c r="D25" s="51">
        <f>D77</f>
        <v>7627</v>
      </c>
      <c r="E25" s="51">
        <f t="shared" ref="E25:F25" si="14">E77</f>
        <v>7627</v>
      </c>
      <c r="F25" s="51">
        <f t="shared" si="14"/>
        <v>7627</v>
      </c>
      <c r="G25" s="121">
        <v>7627</v>
      </c>
      <c r="H25" s="121">
        <v>7627</v>
      </c>
      <c r="I25" s="121">
        <v>7627</v>
      </c>
      <c r="J25" s="121">
        <v>7627</v>
      </c>
      <c r="K25" s="121">
        <v>7627</v>
      </c>
      <c r="M25" s="48">
        <f>'Model-R'!O26</f>
        <v>1</v>
      </c>
      <c r="N25" s="50"/>
    </row>
    <row r="26" spans="1:18" ht="15" customHeight="1" outlineLevel="1">
      <c r="B26" s="50" t="s">
        <v>94</v>
      </c>
      <c r="C26" s="50"/>
      <c r="D26" s="148">
        <f>D50/D48</f>
        <v>0.83162970106075218</v>
      </c>
      <c r="E26" s="148">
        <f t="shared" ref="E26:F26" si="15">E50/E48</f>
        <v>0.55755729235660356</v>
      </c>
      <c r="F26" s="148">
        <f t="shared" si="15"/>
        <v>0.33657673104707847</v>
      </c>
      <c r="G26" s="146">
        <v>0.7</v>
      </c>
      <c r="H26" s="146">
        <v>0.7</v>
      </c>
      <c r="I26" s="146">
        <v>0.7</v>
      </c>
      <c r="J26" s="146">
        <v>0.7</v>
      </c>
      <c r="K26" s="146">
        <v>0.7</v>
      </c>
      <c r="M26" s="48">
        <f>'Model-R'!O27</f>
        <v>1</v>
      </c>
      <c r="N26" s="99"/>
    </row>
    <row r="27" spans="1:18" ht="15" customHeight="1" outlineLevel="1">
      <c r="B27" s="50"/>
      <c r="C27" s="50"/>
      <c r="D27" s="147"/>
      <c r="E27" s="147"/>
      <c r="F27" s="147"/>
      <c r="G27" s="146"/>
      <c r="H27" s="146"/>
      <c r="I27" s="146"/>
      <c r="J27" s="146"/>
      <c r="K27" s="146"/>
      <c r="N27" s="99"/>
    </row>
    <row r="28" spans="1:18" ht="15" customHeight="1" outlineLevel="1">
      <c r="B28" s="44"/>
      <c r="C28" s="44"/>
      <c r="D28" s="145"/>
      <c r="E28" s="145"/>
      <c r="F28" s="145"/>
      <c r="G28" s="145"/>
      <c r="H28" s="145"/>
      <c r="I28" s="145"/>
      <c r="J28" s="145"/>
      <c r="K28" s="145"/>
      <c r="N28" s="99"/>
    </row>
    <row r="29" spans="1:18" ht="15" customHeight="1">
      <c r="G29" s="132"/>
      <c r="H29" s="132"/>
      <c r="I29" s="132"/>
      <c r="J29" s="132"/>
      <c r="K29" s="132"/>
      <c r="N29" s="99"/>
    </row>
    <row r="30" spans="1:18" s="47" customFormat="1" ht="15" customHeight="1">
      <c r="A30" s="47" t="s">
        <v>0</v>
      </c>
      <c r="B30" s="64" t="s">
        <v>7</v>
      </c>
      <c r="C30" s="64"/>
      <c r="D30" s="64"/>
      <c r="E30" s="64"/>
      <c r="F30" s="64"/>
      <c r="G30" s="64"/>
      <c r="H30" s="64"/>
      <c r="I30" s="64"/>
      <c r="J30" s="64"/>
      <c r="K30" s="64"/>
    </row>
    <row r="31" spans="1:18" s="47" customFormat="1" ht="15" customHeight="1" outlineLevel="1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1:18" s="143" customFormat="1" ht="15" customHeight="1" outlineLevel="1" thickBot="1">
      <c r="A32" s="144"/>
      <c r="B32" s="59" t="s">
        <v>18</v>
      </c>
      <c r="C32" s="59"/>
      <c r="D32" s="61">
        <f t="shared" ref="D32:K32" si="16">+D$4</f>
        <v>-2</v>
      </c>
      <c r="E32" s="61">
        <f t="shared" si="16"/>
        <v>-1</v>
      </c>
      <c r="F32" s="61">
        <f t="shared" si="16"/>
        <v>0</v>
      </c>
      <c r="G32" s="60">
        <f t="shared" si="16"/>
        <v>1</v>
      </c>
      <c r="H32" s="60">
        <f t="shared" si="16"/>
        <v>2</v>
      </c>
      <c r="I32" s="60">
        <f t="shared" si="16"/>
        <v>3</v>
      </c>
      <c r="J32" s="60">
        <f t="shared" si="16"/>
        <v>4</v>
      </c>
      <c r="K32" s="60">
        <f t="shared" si="16"/>
        <v>5</v>
      </c>
      <c r="L32" s="144"/>
      <c r="M32" s="144"/>
      <c r="N32" s="144"/>
      <c r="O32" s="144"/>
      <c r="P32" s="144"/>
      <c r="Q32" s="144"/>
      <c r="R32" s="144"/>
    </row>
    <row r="33" spans="2:14" ht="15" customHeight="1" outlineLevel="1">
      <c r="B33" s="52"/>
      <c r="C33" s="52"/>
      <c r="G33" s="132"/>
      <c r="H33" s="132"/>
      <c r="I33" s="132"/>
      <c r="J33" s="132"/>
      <c r="K33" s="132"/>
    </row>
    <row r="34" spans="2:14" ht="15" customHeight="1" outlineLevel="1">
      <c r="B34" s="50" t="s">
        <v>93</v>
      </c>
      <c r="C34" s="50"/>
      <c r="D34" s="121">
        <v>81422</v>
      </c>
      <c r="E34" s="121">
        <v>86698</v>
      </c>
      <c r="F34" s="121">
        <v>93085.92</v>
      </c>
      <c r="G34" s="51">
        <f>F34*(1+G9)</f>
        <v>98671.075200000007</v>
      </c>
      <c r="H34" s="51">
        <f t="shared" ref="H34:K34" si="17">G34*(1+H9)</f>
        <v>104591.33971200002</v>
      </c>
      <c r="I34" s="51">
        <f t="shared" si="17"/>
        <v>110866.82009472002</v>
      </c>
      <c r="J34" s="51">
        <f t="shared" si="17"/>
        <v>117518.82930040323</v>
      </c>
      <c r="K34" s="51">
        <f t="shared" si="17"/>
        <v>124569.95905842743</v>
      </c>
      <c r="M34" s="48">
        <f>'Model-R'!O35</f>
        <v>1</v>
      </c>
    </row>
    <row r="35" spans="2:14" ht="15" customHeight="1" outlineLevel="1">
      <c r="B35" s="50" t="s">
        <v>52</v>
      </c>
      <c r="C35" s="50"/>
      <c r="D35" s="142">
        <v>-38121</v>
      </c>
      <c r="E35" s="142">
        <v>-37756</v>
      </c>
      <c r="F35" s="142">
        <v>-39638.663999999997</v>
      </c>
      <c r="G35" s="51">
        <f>-G34*(1-G10)</f>
        <v>-44401.983840000001</v>
      </c>
      <c r="H35" s="51">
        <f t="shared" ref="H35:K35" si="18">-H34*(1-H10)</f>
        <v>-47066.102870400005</v>
      </c>
      <c r="I35" s="51">
        <f t="shared" si="18"/>
        <v>-49890.069042624003</v>
      </c>
      <c r="J35" s="51">
        <f t="shared" si="18"/>
        <v>-52883.47318518145</v>
      </c>
      <c r="K35" s="51">
        <f t="shared" si="18"/>
        <v>-56056.481576292339</v>
      </c>
      <c r="M35" s="48">
        <f>'Model-R'!O36</f>
        <v>1</v>
      </c>
    </row>
    <row r="36" spans="2:14" ht="15" customHeight="1" outlineLevel="1">
      <c r="B36" s="69" t="s">
        <v>92</v>
      </c>
      <c r="C36" s="69"/>
      <c r="D36" s="67">
        <f>SUM(D34:D35)</f>
        <v>43301</v>
      </c>
      <c r="E36" s="67">
        <f t="shared" ref="E36:F36" si="19">SUM(E34:E35)</f>
        <v>48942</v>
      </c>
      <c r="F36" s="67">
        <f t="shared" si="19"/>
        <v>53447.256000000001</v>
      </c>
      <c r="G36" s="67">
        <f>SUM(G34:G35)</f>
        <v>54269.091360000006</v>
      </c>
      <c r="H36" s="67">
        <f t="shared" ref="H36:K36" si="20">SUM(H34:H35)</f>
        <v>57525.23684160001</v>
      </c>
      <c r="I36" s="67">
        <f t="shared" si="20"/>
        <v>60976.75105209602</v>
      </c>
      <c r="J36" s="67">
        <f t="shared" si="20"/>
        <v>64635.356115221781</v>
      </c>
      <c r="K36" s="67">
        <f t="shared" si="20"/>
        <v>68513.477482135087</v>
      </c>
      <c r="M36" s="48">
        <f>'Model-R'!O37</f>
        <v>1</v>
      </c>
    </row>
    <row r="37" spans="2:14" ht="15" customHeight="1" outlineLevel="1">
      <c r="B37" s="69"/>
      <c r="C37" s="69"/>
      <c r="D37" s="66"/>
      <c r="E37" s="66"/>
      <c r="F37" s="66"/>
      <c r="G37" s="66"/>
      <c r="H37" s="66"/>
      <c r="I37" s="66"/>
      <c r="J37" s="66"/>
      <c r="K37" s="66"/>
    </row>
    <row r="38" spans="2:14" ht="15" customHeight="1" outlineLevel="1">
      <c r="B38" s="50" t="s">
        <v>91</v>
      </c>
      <c r="C38" s="50"/>
      <c r="D38" s="142">
        <v>-5884</v>
      </c>
      <c r="E38" s="142">
        <v>-6421</v>
      </c>
      <c r="F38" s="142">
        <v>-6166.0144</v>
      </c>
      <c r="G38" s="83">
        <f>-G34*G11</f>
        <v>-7400.3306400000001</v>
      </c>
      <c r="H38" s="83">
        <f t="shared" ref="H38:K38" si="21">-H34*H11</f>
        <v>-7844.3504784000006</v>
      </c>
      <c r="I38" s="83">
        <f t="shared" si="21"/>
        <v>-8315.0115071040018</v>
      </c>
      <c r="J38" s="83">
        <f t="shared" si="21"/>
        <v>-8813.9121975302423</v>
      </c>
      <c r="K38" s="83">
        <f t="shared" si="21"/>
        <v>-9342.7469293820559</v>
      </c>
      <c r="M38" s="48">
        <f>'Model-R'!O39</f>
        <v>1</v>
      </c>
    </row>
    <row r="39" spans="2:14" ht="15" customHeight="1" outlineLevel="1">
      <c r="B39" s="50" t="s">
        <v>90</v>
      </c>
      <c r="C39" s="50"/>
      <c r="D39" s="142">
        <v>-23507</v>
      </c>
      <c r="E39" s="142">
        <v>-26569</v>
      </c>
      <c r="F39" s="142">
        <v>-30830.072</v>
      </c>
      <c r="G39" s="83">
        <f>-G12</f>
        <v>-32063</v>
      </c>
      <c r="H39" s="83">
        <f t="shared" ref="H39:K39" si="22">-H12</f>
        <v>-33346</v>
      </c>
      <c r="I39" s="83">
        <f t="shared" si="22"/>
        <v>-34680</v>
      </c>
      <c r="J39" s="83">
        <f t="shared" si="22"/>
        <v>-36067</v>
      </c>
      <c r="K39" s="83">
        <f t="shared" si="22"/>
        <v>-37509</v>
      </c>
      <c r="M39" s="48">
        <f>'Model-R'!O40</f>
        <v>1</v>
      </c>
    </row>
    <row r="40" spans="2:14" ht="15" customHeight="1" outlineLevel="1">
      <c r="B40" s="50" t="s">
        <v>89</v>
      </c>
      <c r="C40" s="50"/>
      <c r="D40" s="142">
        <v>-1764</v>
      </c>
      <c r="E40" s="142">
        <v>-1931</v>
      </c>
      <c r="F40" s="142">
        <v>-2025.9761599999999</v>
      </c>
      <c r="G40" s="83">
        <f>-G34*G13</f>
        <v>-2269.4347296000001</v>
      </c>
      <c r="H40" s="83">
        <f t="shared" ref="H40:K40" si="23">-H34*H13</f>
        <v>-2405.6008133760001</v>
      </c>
      <c r="I40" s="83">
        <f t="shared" si="23"/>
        <v>-2549.9368621785607</v>
      </c>
      <c r="J40" s="83">
        <f t="shared" si="23"/>
        <v>-2702.9330739092743</v>
      </c>
      <c r="K40" s="83">
        <f t="shared" si="23"/>
        <v>-2865.1090583438308</v>
      </c>
      <c r="M40" s="48">
        <f>'Model-R'!O41</f>
        <v>1</v>
      </c>
    </row>
    <row r="41" spans="2:14" ht="15" customHeight="1" outlineLevel="1">
      <c r="B41" s="50" t="s">
        <v>69</v>
      </c>
      <c r="C41" s="50"/>
      <c r="D41" s="142">
        <v>-2960</v>
      </c>
      <c r="E41" s="142">
        <v>-2803</v>
      </c>
      <c r="F41" s="142">
        <v>-2906.83536</v>
      </c>
      <c r="G41" s="83">
        <f>G151</f>
        <v>-3157.4744064000001</v>
      </c>
      <c r="H41" s="83">
        <f t="shared" ref="H41:K41" si="24">H151</f>
        <v>-3346.9228707840007</v>
      </c>
      <c r="I41" s="83">
        <f t="shared" si="24"/>
        <v>-3547.7382430310408</v>
      </c>
      <c r="J41" s="83">
        <f t="shared" si="24"/>
        <v>-3760.6025376129037</v>
      </c>
      <c r="K41" s="83">
        <f t="shared" si="24"/>
        <v>-3986.2386898696777</v>
      </c>
      <c r="M41" s="48">
        <f>'Model-R'!O42</f>
        <v>1</v>
      </c>
    </row>
    <row r="42" spans="2:14" ht="15" customHeight="1" outlineLevel="1">
      <c r="B42" s="69" t="s">
        <v>88</v>
      </c>
      <c r="C42" s="69"/>
      <c r="D42" s="67">
        <f>SUM(D36:D41)</f>
        <v>9186</v>
      </c>
      <c r="E42" s="67">
        <f t="shared" ref="E42:F42" si="25">SUM(E36:E41)</f>
        <v>11218</v>
      </c>
      <c r="F42" s="67">
        <f t="shared" si="25"/>
        <v>11518.358080000002</v>
      </c>
      <c r="G42" s="67">
        <f>SUM(G36:G41)</f>
        <v>9378.8515840000055</v>
      </c>
      <c r="H42" s="67">
        <f t="shared" ref="H42:K42" si="26">SUM(H36:H41)</f>
        <v>10582.362679040005</v>
      </c>
      <c r="I42" s="67">
        <f t="shared" si="26"/>
        <v>11884.064439782413</v>
      </c>
      <c r="J42" s="67">
        <f t="shared" si="26"/>
        <v>13290.908306169364</v>
      </c>
      <c r="K42" s="67">
        <f t="shared" si="26"/>
        <v>14810.382804539524</v>
      </c>
      <c r="M42" s="48">
        <f>'Model-R'!O43</f>
        <v>1</v>
      </c>
    </row>
    <row r="43" spans="2:14" ht="15" customHeight="1" outlineLevel="1">
      <c r="B43" s="69"/>
      <c r="C43" s="69"/>
      <c r="D43" s="66"/>
      <c r="E43" s="66"/>
      <c r="F43" s="66"/>
      <c r="G43" s="66"/>
      <c r="H43" s="66"/>
      <c r="I43" s="66"/>
      <c r="J43" s="66"/>
      <c r="K43" s="66"/>
    </row>
    <row r="44" spans="2:14" ht="15" customHeight="1" outlineLevel="1">
      <c r="B44" s="50" t="s">
        <v>87</v>
      </c>
      <c r="C44" s="50"/>
      <c r="D44" s="121">
        <v>-1240</v>
      </c>
      <c r="E44" s="121">
        <v>-1240</v>
      </c>
      <c r="F44" s="121">
        <v>-1240</v>
      </c>
      <c r="G44" s="51">
        <f>-G168</f>
        <v>-1240</v>
      </c>
      <c r="H44" s="51">
        <f t="shared" ref="H44:K44" si="27">-H168</f>
        <v>-1240</v>
      </c>
      <c r="I44" s="51">
        <f t="shared" si="27"/>
        <v>-1240</v>
      </c>
      <c r="J44" s="51">
        <f t="shared" si="27"/>
        <v>-1240</v>
      </c>
      <c r="K44" s="51">
        <f t="shared" si="27"/>
        <v>-1240</v>
      </c>
      <c r="M44" s="48">
        <f>'Model-R'!O45</f>
        <v>1</v>
      </c>
    </row>
    <row r="45" spans="2:14" ht="15" customHeight="1" outlineLevel="1">
      <c r="B45" s="50" t="s">
        <v>86</v>
      </c>
      <c r="C45" s="50"/>
      <c r="D45" s="141">
        <f>SUM(D42:D44)</f>
        <v>7946</v>
      </c>
      <c r="E45" s="141">
        <f t="shared" ref="E45:F45" si="28">SUM(E42:E44)</f>
        <v>9978</v>
      </c>
      <c r="F45" s="141">
        <f t="shared" si="28"/>
        <v>10278.358080000002</v>
      </c>
      <c r="G45" s="141">
        <f>SUM(G42:G44)</f>
        <v>8138.8515840000055</v>
      </c>
      <c r="H45" s="141">
        <f t="shared" ref="H45:K45" si="29">SUM(H42:H44)</f>
        <v>9342.3626790400049</v>
      </c>
      <c r="I45" s="141">
        <f t="shared" si="29"/>
        <v>10644.064439782413</v>
      </c>
      <c r="J45" s="141">
        <f t="shared" si="29"/>
        <v>12050.908306169364</v>
      </c>
      <c r="K45" s="141">
        <f t="shared" si="29"/>
        <v>13570.382804539524</v>
      </c>
      <c r="M45" s="48">
        <f>'Model-R'!O46</f>
        <v>1</v>
      </c>
    </row>
    <row r="46" spans="2:14" ht="15" customHeight="1" outlineLevel="1">
      <c r="B46" s="50"/>
      <c r="C46" s="50"/>
      <c r="D46" s="140"/>
      <c r="E46" s="140"/>
      <c r="F46" s="140"/>
      <c r="G46" s="140"/>
      <c r="H46" s="140"/>
      <c r="I46" s="140"/>
      <c r="J46" s="140"/>
      <c r="K46" s="140"/>
    </row>
    <row r="47" spans="2:14" ht="15" customHeight="1" outlineLevel="1">
      <c r="B47" s="50" t="s">
        <v>51</v>
      </c>
      <c r="C47" s="50"/>
      <c r="D47" s="121">
        <v>-2761</v>
      </c>
      <c r="E47" s="121">
        <v>-2429</v>
      </c>
      <c r="F47" s="121">
        <v>-1570.1652240000001</v>
      </c>
      <c r="G47" s="51">
        <f>-G45*G16</f>
        <v>-2441.6554752000015</v>
      </c>
      <c r="H47" s="51">
        <f t="shared" ref="H47:K47" si="30">-H45*H16</f>
        <v>-2802.7088037120016</v>
      </c>
      <c r="I47" s="51">
        <f t="shared" si="30"/>
        <v>-3193.2193319347239</v>
      </c>
      <c r="J47" s="51">
        <f t="shared" si="30"/>
        <v>-3615.2724918508088</v>
      </c>
      <c r="K47" s="51">
        <f t="shared" si="30"/>
        <v>-4071.1148413618571</v>
      </c>
      <c r="M47" s="48">
        <f>'Model-R'!O48</f>
        <v>1</v>
      </c>
      <c r="N47" s="10"/>
    </row>
    <row r="48" spans="2:14" ht="15" customHeight="1" outlineLevel="1" thickBot="1">
      <c r="B48" s="69" t="s">
        <v>14</v>
      </c>
      <c r="C48" s="69"/>
      <c r="D48" s="120">
        <f>SUM(D45:D47)</f>
        <v>5185</v>
      </c>
      <c r="E48" s="120">
        <f t="shared" ref="E48:K48" si="31">SUM(E45:E47)</f>
        <v>7549</v>
      </c>
      <c r="F48" s="120">
        <f t="shared" si="31"/>
        <v>8708.1928560000015</v>
      </c>
      <c r="G48" s="120">
        <f t="shared" si="31"/>
        <v>5697.1961088000044</v>
      </c>
      <c r="H48" s="120">
        <f t="shared" si="31"/>
        <v>6539.6538753280038</v>
      </c>
      <c r="I48" s="120">
        <f t="shared" si="31"/>
        <v>7450.8451078476883</v>
      </c>
      <c r="J48" s="120">
        <f t="shared" si="31"/>
        <v>8435.6358143185553</v>
      </c>
      <c r="K48" s="120">
        <f t="shared" si="31"/>
        <v>9499.2679631776664</v>
      </c>
      <c r="M48" s="48">
        <f>'Model-R'!O49</f>
        <v>1</v>
      </c>
    </row>
    <row r="49" spans="1:14" ht="15" customHeight="1" outlineLevel="1">
      <c r="B49" s="52"/>
      <c r="C49" s="52"/>
      <c r="D49" s="139"/>
      <c r="E49" s="139"/>
      <c r="F49" s="139"/>
      <c r="G49" s="84"/>
      <c r="H49" s="84"/>
      <c r="I49" s="84"/>
      <c r="J49" s="84"/>
      <c r="K49" s="84"/>
    </row>
    <row r="50" spans="1:14" ht="15" customHeight="1" outlineLevel="1">
      <c r="B50" s="43" t="s">
        <v>85</v>
      </c>
      <c r="D50" s="121">
        <v>4312</v>
      </c>
      <c r="E50" s="121">
        <v>4209</v>
      </c>
      <c r="F50" s="121">
        <v>2930.9750848000026</v>
      </c>
      <c r="G50" s="51">
        <f>G26*G48</f>
        <v>3988.0372761600029</v>
      </c>
      <c r="H50" s="51">
        <f t="shared" ref="H50:K50" si="32">H26*H48</f>
        <v>4577.7577127296026</v>
      </c>
      <c r="I50" s="51">
        <f t="shared" si="32"/>
        <v>5215.5915754933812</v>
      </c>
      <c r="J50" s="51">
        <f t="shared" si="32"/>
        <v>5904.9450700229881</v>
      </c>
      <c r="K50" s="51">
        <f t="shared" si="32"/>
        <v>6649.4875742243657</v>
      </c>
      <c r="M50" s="48">
        <f>'Model-R'!O51</f>
        <v>1</v>
      </c>
      <c r="N50" s="50"/>
    </row>
    <row r="51" spans="1:14" ht="15" customHeight="1" outlineLevel="1">
      <c r="D51" s="121"/>
      <c r="E51" s="121"/>
      <c r="F51" s="121"/>
      <c r="G51" s="82"/>
      <c r="H51" s="82"/>
      <c r="I51" s="82"/>
      <c r="J51" s="82"/>
      <c r="K51" s="82"/>
    </row>
    <row r="52" spans="1:14" ht="15" customHeight="1" outlineLevel="1">
      <c r="B52" s="44"/>
      <c r="C52" s="44"/>
      <c r="D52" s="138"/>
      <c r="E52" s="138"/>
      <c r="F52" s="138"/>
      <c r="G52" s="137"/>
      <c r="H52" s="137"/>
      <c r="I52" s="137"/>
      <c r="J52" s="137"/>
      <c r="K52" s="137"/>
    </row>
    <row r="53" spans="1:14" ht="15" customHeight="1">
      <c r="G53" s="132"/>
      <c r="H53" s="132"/>
      <c r="I53" s="132"/>
      <c r="J53" s="132"/>
      <c r="K53" s="132"/>
    </row>
    <row r="54" spans="1:14" s="47" customFormat="1" ht="15" customHeight="1">
      <c r="A54" s="47" t="s">
        <v>0</v>
      </c>
      <c r="B54" s="64" t="s">
        <v>84</v>
      </c>
      <c r="C54" s="64"/>
      <c r="D54" s="64"/>
      <c r="E54" s="64"/>
      <c r="F54" s="64"/>
      <c r="G54" s="64"/>
      <c r="H54" s="64"/>
      <c r="I54" s="64"/>
      <c r="J54" s="64"/>
      <c r="K54" s="64"/>
    </row>
    <row r="55" spans="1:14" s="47" customFormat="1" ht="15" customHeight="1" outlineLevel="1">
      <c r="B55" s="63"/>
      <c r="C55" s="63"/>
      <c r="D55" s="63"/>
      <c r="E55" s="63"/>
      <c r="F55" s="63"/>
      <c r="G55" s="63"/>
      <c r="H55" s="63"/>
      <c r="I55" s="63"/>
      <c r="J55" s="63"/>
      <c r="K55" s="63"/>
    </row>
    <row r="56" spans="1:14" ht="15" customHeight="1" outlineLevel="1" thickBot="1">
      <c r="B56" s="59" t="s">
        <v>18</v>
      </c>
      <c r="C56" s="59"/>
      <c r="D56" s="61">
        <f t="shared" ref="D56:K56" si="33">+D$4</f>
        <v>-2</v>
      </c>
      <c r="E56" s="61">
        <f t="shared" si="33"/>
        <v>-1</v>
      </c>
      <c r="F56" s="61">
        <f t="shared" si="33"/>
        <v>0</v>
      </c>
      <c r="G56" s="60">
        <f t="shared" si="33"/>
        <v>1</v>
      </c>
      <c r="H56" s="60">
        <f t="shared" si="33"/>
        <v>2</v>
      </c>
      <c r="I56" s="60">
        <f t="shared" si="33"/>
        <v>3</v>
      </c>
      <c r="J56" s="60">
        <f t="shared" si="33"/>
        <v>4</v>
      </c>
      <c r="K56" s="60">
        <f t="shared" si="33"/>
        <v>5</v>
      </c>
    </row>
    <row r="57" spans="1:14" ht="15" customHeight="1" outlineLevel="1">
      <c r="B57" s="59"/>
      <c r="C57" s="59"/>
      <c r="D57" s="136"/>
      <c r="E57" s="136"/>
      <c r="F57" s="136"/>
      <c r="G57" s="135"/>
      <c r="H57" s="135"/>
      <c r="I57" s="135"/>
      <c r="J57" s="135"/>
      <c r="K57" s="135"/>
    </row>
    <row r="58" spans="1:14" ht="15" customHeight="1" outlineLevel="1">
      <c r="B58" s="52" t="s">
        <v>83</v>
      </c>
      <c r="C58" s="52"/>
      <c r="D58" s="134"/>
      <c r="E58" s="134"/>
      <c r="F58" s="134"/>
      <c r="G58" s="132"/>
      <c r="H58" s="132"/>
      <c r="I58" s="132"/>
      <c r="J58" s="132"/>
      <c r="K58" s="132"/>
    </row>
    <row r="59" spans="1:14" ht="15" customHeight="1" outlineLevel="1">
      <c r="B59" s="50" t="s">
        <v>82</v>
      </c>
      <c r="D59" s="51">
        <f>D113</f>
        <v>5289.0000000000027</v>
      </c>
      <c r="E59" s="51">
        <f t="shared" ref="E59:K59" si="34">E113</f>
        <v>5918.0000000000009</v>
      </c>
      <c r="F59" s="51">
        <f t="shared" si="34"/>
        <v>10158.783447912327</v>
      </c>
      <c r="G59" s="51">
        <f t="shared" si="34"/>
        <v>8650.394550453686</v>
      </c>
      <c r="H59" s="51">
        <f t="shared" si="34"/>
        <v>8562.1567698489089</v>
      </c>
      <c r="I59" s="51">
        <f t="shared" si="34"/>
        <v>8627.1521024078374</v>
      </c>
      <c r="J59" s="51">
        <f t="shared" si="34"/>
        <v>8860.3705949203122</v>
      </c>
      <c r="K59" s="51">
        <f t="shared" si="34"/>
        <v>9277.962816983536</v>
      </c>
      <c r="M59" s="48">
        <f>'Model-R'!O60</f>
        <v>1</v>
      </c>
    </row>
    <row r="60" spans="1:14" ht="15" customHeight="1" outlineLevel="1">
      <c r="B60" s="50" t="s">
        <v>45</v>
      </c>
      <c r="D60" s="121">
        <v>12685</v>
      </c>
      <c r="E60" s="121">
        <v>14074</v>
      </c>
      <c r="F60" s="121">
        <v>14721.208547945205</v>
      </c>
      <c r="G60" s="51">
        <f>G132</f>
        <v>16219.90277260274</v>
      </c>
      <c r="H60" s="51">
        <f t="shared" ref="H60:K60" si="35">H132</f>
        <v>17193.096938958905</v>
      </c>
      <c r="I60" s="51">
        <f t="shared" si="35"/>
        <v>18224.682755296442</v>
      </c>
      <c r="J60" s="51">
        <f t="shared" si="35"/>
        <v>19318.16372061423</v>
      </c>
      <c r="K60" s="51">
        <f t="shared" si="35"/>
        <v>20477.253543851082</v>
      </c>
      <c r="M60" s="48">
        <f>'Model-R'!O61</f>
        <v>1</v>
      </c>
    </row>
    <row r="61" spans="1:14" ht="15" customHeight="1" outlineLevel="1">
      <c r="B61" s="50" t="s">
        <v>67</v>
      </c>
      <c r="D61" s="121">
        <v>7168</v>
      </c>
      <c r="E61" s="121">
        <v>7691</v>
      </c>
      <c r="F61" s="121">
        <v>8036.3318794520546</v>
      </c>
      <c r="G61" s="51">
        <f>G133</f>
        <v>9123.6953095890403</v>
      </c>
      <c r="H61" s="51">
        <f t="shared" ref="H61:K61" si="36">H133</f>
        <v>9671.1170281643845</v>
      </c>
      <c r="I61" s="51">
        <f t="shared" si="36"/>
        <v>10251.384049854247</v>
      </c>
      <c r="J61" s="51">
        <f t="shared" si="36"/>
        <v>10866.467092845503</v>
      </c>
      <c r="K61" s="51">
        <f t="shared" si="36"/>
        <v>11518.455118416234</v>
      </c>
      <c r="M61" s="48">
        <f>'Model-R'!O62</f>
        <v>1</v>
      </c>
      <c r="N61" s="126"/>
    </row>
    <row r="62" spans="1:14" ht="15" customHeight="1" outlineLevel="1">
      <c r="B62" s="50" t="s">
        <v>81</v>
      </c>
      <c r="D62" s="118">
        <f>SUM(D59:D61)</f>
        <v>25142.000000000004</v>
      </c>
      <c r="E62" s="118">
        <f t="shared" ref="E62:K62" si="37">SUM(E59:E61)</f>
        <v>27683</v>
      </c>
      <c r="F62" s="118">
        <f t="shared" si="37"/>
        <v>32916.323875309587</v>
      </c>
      <c r="G62" s="118">
        <f t="shared" si="37"/>
        <v>33993.992632645466</v>
      </c>
      <c r="H62" s="118">
        <f t="shared" si="37"/>
        <v>35426.370736972196</v>
      </c>
      <c r="I62" s="118">
        <f t="shared" si="37"/>
        <v>37103.218907558527</v>
      </c>
      <c r="J62" s="118">
        <f t="shared" si="37"/>
        <v>39045.001408380042</v>
      </c>
      <c r="K62" s="118">
        <f t="shared" si="37"/>
        <v>41273.67147925085</v>
      </c>
      <c r="M62" s="48">
        <f>'Model-R'!O63</f>
        <v>1</v>
      </c>
      <c r="N62" s="133"/>
    </row>
    <row r="63" spans="1:14" ht="15" customHeight="1" outlineLevel="1">
      <c r="B63" s="69"/>
      <c r="C63" s="52"/>
      <c r="D63" s="122"/>
      <c r="E63" s="122"/>
      <c r="F63" s="122"/>
      <c r="G63" s="57"/>
      <c r="H63" s="57"/>
      <c r="I63" s="57"/>
      <c r="J63" s="57"/>
      <c r="K63" s="57"/>
      <c r="N63" s="126"/>
    </row>
    <row r="64" spans="1:14" ht="15" customHeight="1" outlineLevel="1">
      <c r="B64" s="50" t="s">
        <v>80</v>
      </c>
      <c r="D64" s="121">
        <v>19262.999999999996</v>
      </c>
      <c r="E64" s="121">
        <v>20371</v>
      </c>
      <c r="F64" s="121">
        <v>21175.000000000004</v>
      </c>
      <c r="G64" s="51">
        <f>G152</f>
        <v>23216.723576470591</v>
      </c>
      <c r="H64" s="51">
        <f t="shared" ref="H64:K64" si="38">H152</f>
        <v>24609.726991058826</v>
      </c>
      <c r="I64" s="51">
        <f t="shared" si="38"/>
        <v>26086.31061052236</v>
      </c>
      <c r="J64" s="51">
        <f t="shared" si="38"/>
        <v>27651.489247153702</v>
      </c>
      <c r="K64" s="51">
        <f t="shared" si="38"/>
        <v>29310.578601982925</v>
      </c>
      <c r="M64" s="48">
        <f>'Model-R'!O65</f>
        <v>1</v>
      </c>
      <c r="N64" s="126"/>
    </row>
    <row r="65" spans="2:14" ht="15" customHeight="1" outlineLevel="1">
      <c r="B65" s="50"/>
      <c r="D65" s="121"/>
      <c r="E65" s="121"/>
      <c r="F65" s="121"/>
      <c r="G65" s="82"/>
      <c r="H65" s="82"/>
      <c r="I65" s="82"/>
      <c r="J65" s="82"/>
      <c r="K65" s="82"/>
      <c r="N65" s="126"/>
    </row>
    <row r="66" spans="2:14" ht="15" customHeight="1" outlineLevel="1" thickBot="1">
      <c r="B66" s="69" t="s">
        <v>79</v>
      </c>
      <c r="C66" s="52"/>
      <c r="D66" s="120">
        <f>SUM(D62:D65)</f>
        <v>44405</v>
      </c>
      <c r="E66" s="120">
        <f t="shared" ref="E66:K66" si="39">SUM(E62:E65)</f>
        <v>48054</v>
      </c>
      <c r="F66" s="120">
        <f t="shared" si="39"/>
        <v>54091.323875309594</v>
      </c>
      <c r="G66" s="120">
        <f t="shared" si="39"/>
        <v>57210.716209116057</v>
      </c>
      <c r="H66" s="120">
        <f t="shared" si="39"/>
        <v>60036.097728031018</v>
      </c>
      <c r="I66" s="120">
        <f t="shared" si="39"/>
        <v>63189.52951808089</v>
      </c>
      <c r="J66" s="120">
        <f t="shared" si="39"/>
        <v>66696.490655533737</v>
      </c>
      <c r="K66" s="120">
        <f t="shared" si="39"/>
        <v>70584.250081233768</v>
      </c>
      <c r="M66" s="48">
        <f>'Model-R'!O67</f>
        <v>1</v>
      </c>
      <c r="N66" s="131"/>
    </row>
    <row r="67" spans="2:14" ht="15" customHeight="1" outlineLevel="1">
      <c r="D67" s="122"/>
      <c r="E67" s="122"/>
      <c r="F67" s="122"/>
      <c r="G67" s="57"/>
      <c r="H67" s="57"/>
      <c r="I67" s="57"/>
      <c r="J67" s="57"/>
      <c r="K67" s="57"/>
      <c r="N67" s="126"/>
    </row>
    <row r="68" spans="2:14" ht="15" customHeight="1" outlineLevel="1">
      <c r="B68" s="52" t="s">
        <v>78</v>
      </c>
      <c r="C68" s="52"/>
      <c r="D68" s="122"/>
      <c r="E68" s="122"/>
      <c r="F68" s="122"/>
      <c r="G68" s="57"/>
      <c r="H68" s="57"/>
      <c r="I68" s="57"/>
      <c r="J68" s="57"/>
      <c r="K68" s="57"/>
      <c r="N68" s="126"/>
    </row>
    <row r="69" spans="2:14" ht="15" customHeight="1" outlineLevel="1">
      <c r="B69" s="50" t="s">
        <v>43</v>
      </c>
      <c r="D69" s="121">
        <v>10001</v>
      </c>
      <c r="E69" s="121">
        <v>10504</v>
      </c>
      <c r="F69" s="121">
        <v>11077.106104109589</v>
      </c>
      <c r="G69" s="51">
        <f>G134</f>
        <v>12164.927079452054</v>
      </c>
      <c r="H69" s="51">
        <f t="shared" ref="H69:K69" si="40">H134</f>
        <v>12894.822704219179</v>
      </c>
      <c r="I69" s="51">
        <f t="shared" si="40"/>
        <v>13668.512066472329</v>
      </c>
      <c r="J69" s="51">
        <f t="shared" si="40"/>
        <v>14488.622790460671</v>
      </c>
      <c r="K69" s="51">
        <f t="shared" si="40"/>
        <v>15357.940157888312</v>
      </c>
      <c r="M69" s="48">
        <f>'Model-R'!O70</f>
        <v>1</v>
      </c>
      <c r="N69" s="126"/>
    </row>
    <row r="70" spans="2:14" ht="15" customHeight="1" outlineLevel="1">
      <c r="B70" s="50" t="s">
        <v>42</v>
      </c>
      <c r="D70" s="121">
        <v>1088</v>
      </c>
      <c r="E70" s="121">
        <v>894</v>
      </c>
      <c r="F70" s="121">
        <v>581</v>
      </c>
      <c r="G70" s="51">
        <f>G135</f>
        <v>903.41252582400057</v>
      </c>
      <c r="H70" s="51">
        <f t="shared" ref="H70:K70" si="41">H135</f>
        <v>1037.0022573734407</v>
      </c>
      <c r="I70" s="51">
        <f t="shared" si="41"/>
        <v>1181.4911528158477</v>
      </c>
      <c r="J70" s="51">
        <f t="shared" si="41"/>
        <v>1337.6508219847992</v>
      </c>
      <c r="K70" s="51">
        <f t="shared" si="41"/>
        <v>1506.3124913038871</v>
      </c>
      <c r="M70" s="48">
        <f>'Model-R'!O71</f>
        <v>1</v>
      </c>
    </row>
    <row r="71" spans="2:14" ht="15" customHeight="1" outlineLevel="1">
      <c r="B71" s="50" t="s">
        <v>77</v>
      </c>
      <c r="D71" s="118">
        <f>SUM(D69:D70)</f>
        <v>11089</v>
      </c>
      <c r="E71" s="118">
        <f t="shared" ref="E71:K71" si="42">SUM(E69:E70)</f>
        <v>11398</v>
      </c>
      <c r="F71" s="118">
        <f t="shared" si="42"/>
        <v>11658.106104109589</v>
      </c>
      <c r="G71" s="118">
        <f t="shared" si="42"/>
        <v>13068.339605276054</v>
      </c>
      <c r="H71" s="118">
        <f t="shared" si="42"/>
        <v>13931.82496159262</v>
      </c>
      <c r="I71" s="118">
        <f t="shared" si="42"/>
        <v>14850.003219288177</v>
      </c>
      <c r="J71" s="118">
        <f t="shared" si="42"/>
        <v>15826.273612445471</v>
      </c>
      <c r="K71" s="118">
        <f t="shared" si="42"/>
        <v>16864.2526491922</v>
      </c>
      <c r="M71" s="48">
        <f>'Model-R'!O72</f>
        <v>1</v>
      </c>
      <c r="N71" s="133"/>
    </row>
    <row r="72" spans="2:14" ht="15" customHeight="1" outlineLevel="1">
      <c r="B72" s="69"/>
      <c r="C72" s="52"/>
      <c r="D72" s="122"/>
      <c r="E72" s="122"/>
      <c r="F72" s="122"/>
      <c r="G72" s="57"/>
      <c r="H72" s="57"/>
      <c r="I72" s="57"/>
      <c r="J72" s="57"/>
      <c r="K72" s="57"/>
      <c r="N72" s="126"/>
    </row>
    <row r="73" spans="2:14" ht="15" customHeight="1" outlineLevel="1">
      <c r="B73" s="50" t="s">
        <v>76</v>
      </c>
      <c r="D73" s="121">
        <v>20000</v>
      </c>
      <c r="E73" s="121">
        <v>20000</v>
      </c>
      <c r="F73" s="121">
        <v>20000</v>
      </c>
      <c r="G73" s="51">
        <f>G163</f>
        <v>20000</v>
      </c>
      <c r="H73" s="51">
        <f t="shared" ref="H73:K73" si="43">H163</f>
        <v>20000</v>
      </c>
      <c r="I73" s="51">
        <f t="shared" si="43"/>
        <v>20000</v>
      </c>
      <c r="J73" s="51">
        <f t="shared" si="43"/>
        <v>20000</v>
      </c>
      <c r="K73" s="51">
        <f t="shared" si="43"/>
        <v>20000</v>
      </c>
      <c r="L73" s="132"/>
      <c r="M73" s="48">
        <f>'Model-R'!O74</f>
        <v>1</v>
      </c>
    </row>
    <row r="74" spans="2:14" ht="15" customHeight="1" outlineLevel="1">
      <c r="B74" s="50" t="s">
        <v>75</v>
      </c>
      <c r="C74" s="99"/>
      <c r="D74" s="118">
        <f>SUM(D71:D73)</f>
        <v>31089</v>
      </c>
      <c r="E74" s="118">
        <f t="shared" ref="E74:K74" si="44">SUM(E71:E73)</f>
        <v>31398</v>
      </c>
      <c r="F74" s="118">
        <f t="shared" si="44"/>
        <v>31658.106104109589</v>
      </c>
      <c r="G74" s="118">
        <f t="shared" si="44"/>
        <v>33068.339605276051</v>
      </c>
      <c r="H74" s="118">
        <f t="shared" si="44"/>
        <v>33931.824961592618</v>
      </c>
      <c r="I74" s="118">
        <f t="shared" si="44"/>
        <v>34850.003219288177</v>
      </c>
      <c r="J74" s="118">
        <f t="shared" si="44"/>
        <v>35826.273612445468</v>
      </c>
      <c r="K74" s="118">
        <f t="shared" si="44"/>
        <v>36864.252649192204</v>
      </c>
      <c r="L74" s="132"/>
      <c r="M74" s="48">
        <f>'Model-R'!O75</f>
        <v>1</v>
      </c>
      <c r="N74" s="126"/>
    </row>
    <row r="75" spans="2:14" ht="15" customHeight="1" outlineLevel="1">
      <c r="D75" s="121"/>
      <c r="E75" s="121"/>
      <c r="F75" s="121"/>
      <c r="G75" s="82"/>
      <c r="H75" s="82"/>
      <c r="I75" s="82"/>
      <c r="J75" s="82"/>
      <c r="K75" s="82"/>
      <c r="L75" s="132"/>
      <c r="M75" s="132"/>
      <c r="N75" s="126"/>
    </row>
    <row r="76" spans="2:14" ht="15" customHeight="1" outlineLevel="1">
      <c r="B76" s="52" t="s">
        <v>74</v>
      </c>
      <c r="C76" s="52"/>
      <c r="D76" s="122"/>
      <c r="E76" s="122"/>
      <c r="F76" s="122"/>
      <c r="G76" s="57"/>
      <c r="H76" s="57"/>
      <c r="I76" s="57"/>
      <c r="J76" s="57"/>
      <c r="K76" s="57"/>
      <c r="N76" s="126"/>
    </row>
    <row r="77" spans="2:14" ht="15" customHeight="1" outlineLevel="1">
      <c r="B77" s="50" t="s">
        <v>26</v>
      </c>
      <c r="D77" s="121">
        <v>7627</v>
      </c>
      <c r="E77" s="121">
        <v>7627</v>
      </c>
      <c r="F77" s="121">
        <v>7627</v>
      </c>
      <c r="G77" s="51">
        <f>G173</f>
        <v>7627</v>
      </c>
      <c r="H77" s="51">
        <f t="shared" ref="H77:K77" si="45">H173</f>
        <v>7627</v>
      </c>
      <c r="I77" s="51">
        <f t="shared" si="45"/>
        <v>7627</v>
      </c>
      <c r="J77" s="51">
        <f t="shared" si="45"/>
        <v>7627</v>
      </c>
      <c r="K77" s="51">
        <f t="shared" si="45"/>
        <v>7627</v>
      </c>
      <c r="M77" s="48">
        <f>'Model-R'!O78</f>
        <v>1</v>
      </c>
    </row>
    <row r="78" spans="2:14" ht="15" customHeight="1" outlineLevel="1">
      <c r="B78" s="50" t="s">
        <v>73</v>
      </c>
      <c r="D78" s="121">
        <v>5689</v>
      </c>
      <c r="E78" s="121">
        <v>9029</v>
      </c>
      <c r="F78" s="121">
        <v>14806.217771200003</v>
      </c>
      <c r="G78" s="51">
        <f>G182</f>
        <v>16515.376603839999</v>
      </c>
      <c r="H78" s="51">
        <f t="shared" ref="H78:K78" si="46">H182</f>
        <v>18477.2727664384</v>
      </c>
      <c r="I78" s="51">
        <f t="shared" si="46"/>
        <v>20712.526298792705</v>
      </c>
      <c r="J78" s="51">
        <f t="shared" si="46"/>
        <v>23243.217043088276</v>
      </c>
      <c r="K78" s="51">
        <f t="shared" si="46"/>
        <v>26092.997432041579</v>
      </c>
      <c r="M78" s="48">
        <f>'Model-R'!O79</f>
        <v>1</v>
      </c>
      <c r="N78" s="126"/>
    </row>
    <row r="79" spans="2:14" ht="15" customHeight="1" outlineLevel="1">
      <c r="B79" s="69" t="s">
        <v>72</v>
      </c>
      <c r="C79" s="52"/>
      <c r="D79" s="67">
        <f>SUM(D77:D78)</f>
        <v>13316</v>
      </c>
      <c r="E79" s="67">
        <f t="shared" ref="E79:K79" si="47">SUM(E77:E78)</f>
        <v>16656</v>
      </c>
      <c r="F79" s="67">
        <f t="shared" si="47"/>
        <v>22433.217771200005</v>
      </c>
      <c r="G79" s="67">
        <f t="shared" si="47"/>
        <v>24142.376603839999</v>
      </c>
      <c r="H79" s="67">
        <f t="shared" si="47"/>
        <v>26104.2727664384</v>
      </c>
      <c r="I79" s="67">
        <f t="shared" si="47"/>
        <v>28339.526298792705</v>
      </c>
      <c r="J79" s="67">
        <f t="shared" si="47"/>
        <v>30870.217043088276</v>
      </c>
      <c r="K79" s="67">
        <f t="shared" si="47"/>
        <v>33719.997432041579</v>
      </c>
      <c r="M79" s="48">
        <f>'Model-R'!O80</f>
        <v>1</v>
      </c>
      <c r="N79" s="131"/>
    </row>
    <row r="80" spans="2:14" ht="15" customHeight="1" outlineLevel="1">
      <c r="B80" s="69"/>
      <c r="C80" s="52"/>
      <c r="D80" s="66"/>
      <c r="E80" s="66"/>
      <c r="F80" s="66"/>
      <c r="G80" s="66"/>
      <c r="H80" s="66"/>
      <c r="I80" s="66"/>
      <c r="J80" s="66"/>
      <c r="K80" s="66"/>
      <c r="N80" s="131"/>
    </row>
    <row r="81" spans="1:14" ht="15" customHeight="1" outlineLevel="1" thickBot="1">
      <c r="B81" s="69" t="s">
        <v>71</v>
      </c>
      <c r="D81" s="120">
        <f>D74+D79</f>
        <v>44405</v>
      </c>
      <c r="E81" s="120">
        <f t="shared" ref="E81:K81" si="48">E74+E79</f>
        <v>48054</v>
      </c>
      <c r="F81" s="120">
        <f t="shared" si="48"/>
        <v>54091.323875309594</v>
      </c>
      <c r="G81" s="120">
        <f t="shared" si="48"/>
        <v>57210.71620911605</v>
      </c>
      <c r="H81" s="120">
        <f t="shared" si="48"/>
        <v>60036.097728031018</v>
      </c>
      <c r="I81" s="120">
        <f t="shared" si="48"/>
        <v>63189.529518080883</v>
      </c>
      <c r="J81" s="120">
        <f t="shared" si="48"/>
        <v>66696.490655533737</v>
      </c>
      <c r="K81" s="120">
        <f t="shared" si="48"/>
        <v>70584.250081233782</v>
      </c>
      <c r="M81" s="48">
        <f>'Model-R'!O82</f>
        <v>1</v>
      </c>
      <c r="N81" s="131"/>
    </row>
    <row r="82" spans="1:14" ht="15" customHeight="1" outlineLevel="1">
      <c r="B82" s="50"/>
      <c r="D82" s="57"/>
      <c r="E82" s="57"/>
      <c r="F82" s="57"/>
      <c r="G82" s="57"/>
      <c r="H82" s="57"/>
      <c r="I82" s="57"/>
      <c r="J82" s="57"/>
      <c r="K82" s="57"/>
      <c r="N82" s="130"/>
    </row>
    <row r="83" spans="1:14" ht="15" customHeight="1" outlineLevel="1">
      <c r="B83" s="54" t="s">
        <v>70</v>
      </c>
      <c r="C83" s="128"/>
      <c r="D83" s="51">
        <f>D66-D81</f>
        <v>0</v>
      </c>
      <c r="E83" s="51">
        <f t="shared" ref="E83:K83" si="49">E66-E81</f>
        <v>0</v>
      </c>
      <c r="F83" s="51">
        <f t="shared" si="49"/>
        <v>0</v>
      </c>
      <c r="G83" s="51">
        <f t="shared" si="49"/>
        <v>0</v>
      </c>
      <c r="H83" s="51">
        <f t="shared" si="49"/>
        <v>0</v>
      </c>
      <c r="I83" s="51">
        <f t="shared" si="49"/>
        <v>0</v>
      </c>
      <c r="J83" s="51">
        <f t="shared" si="49"/>
        <v>0</v>
      </c>
      <c r="K83" s="51">
        <f t="shared" si="49"/>
        <v>0</v>
      </c>
      <c r="M83" s="48">
        <f>'Model-R'!O84</f>
        <v>1</v>
      </c>
      <c r="N83" s="129"/>
    </row>
    <row r="84" spans="1:14" ht="15" customHeight="1" outlineLevel="1">
      <c r="B84" s="128"/>
      <c r="C84" s="128"/>
      <c r="D84" s="82"/>
      <c r="E84" s="82"/>
      <c r="F84" s="82"/>
      <c r="G84" s="82"/>
      <c r="H84" s="82"/>
      <c r="I84" s="82"/>
      <c r="J84" s="82"/>
      <c r="K84" s="82"/>
      <c r="N84" s="126"/>
    </row>
    <row r="85" spans="1:14" ht="15" customHeight="1" outlineLevel="1">
      <c r="B85" s="127"/>
      <c r="C85" s="127"/>
      <c r="D85" s="85"/>
      <c r="E85" s="85"/>
      <c r="F85" s="85"/>
      <c r="G85" s="85"/>
      <c r="H85" s="85"/>
      <c r="I85" s="85"/>
      <c r="J85" s="85"/>
      <c r="K85" s="85"/>
      <c r="N85" s="126"/>
    </row>
    <row r="86" spans="1:14" ht="15" customHeight="1">
      <c r="D86" s="57"/>
      <c r="E86" s="82"/>
      <c r="F86" s="82"/>
      <c r="G86" s="82"/>
      <c r="H86" s="82"/>
      <c r="I86" s="82"/>
      <c r="J86" s="82"/>
      <c r="K86" s="82"/>
      <c r="N86" s="126"/>
    </row>
    <row r="87" spans="1:14" s="47" customFormat="1" ht="15" customHeight="1">
      <c r="A87" s="47" t="s">
        <v>0</v>
      </c>
      <c r="B87" s="64" t="s">
        <v>6</v>
      </c>
      <c r="C87" s="64"/>
      <c r="D87" s="64"/>
      <c r="E87" s="64"/>
      <c r="F87" s="64"/>
      <c r="G87" s="64"/>
      <c r="H87" s="64"/>
      <c r="I87" s="64"/>
      <c r="J87" s="64"/>
      <c r="K87" s="64"/>
    </row>
    <row r="88" spans="1:14" s="47" customFormat="1" ht="15" customHeight="1" outlineLevel="1">
      <c r="B88" s="63"/>
      <c r="C88" s="63"/>
      <c r="D88" s="62"/>
      <c r="E88" s="62"/>
      <c r="F88" s="62"/>
      <c r="G88" s="62"/>
      <c r="H88" s="62"/>
      <c r="I88" s="62"/>
      <c r="J88" s="62"/>
      <c r="K88" s="62"/>
    </row>
    <row r="89" spans="1:14" ht="15" customHeight="1" outlineLevel="1" thickBot="1">
      <c r="B89" s="59" t="s">
        <v>18</v>
      </c>
      <c r="C89" s="59"/>
      <c r="D89" s="61">
        <f t="shared" ref="D89:K89" si="50">+D$4</f>
        <v>-2</v>
      </c>
      <c r="E89" s="61">
        <f t="shared" si="50"/>
        <v>-1</v>
      </c>
      <c r="F89" s="61">
        <f t="shared" si="50"/>
        <v>0</v>
      </c>
      <c r="G89" s="60">
        <f t="shared" si="50"/>
        <v>1</v>
      </c>
      <c r="H89" s="60">
        <f t="shared" si="50"/>
        <v>2</v>
      </c>
      <c r="I89" s="60">
        <f t="shared" si="50"/>
        <v>3</v>
      </c>
      <c r="J89" s="60">
        <f t="shared" si="50"/>
        <v>4</v>
      </c>
      <c r="K89" s="60">
        <f t="shared" si="50"/>
        <v>5</v>
      </c>
      <c r="N89" s="47"/>
    </row>
    <row r="90" spans="1:14" ht="15" customHeight="1" outlineLevel="1">
      <c r="B90" s="59"/>
      <c r="C90" s="59"/>
      <c r="D90" s="58"/>
      <c r="E90" s="58"/>
      <c r="F90" s="58"/>
      <c r="G90" s="58"/>
      <c r="H90" s="58"/>
      <c r="I90" s="58"/>
      <c r="J90" s="58"/>
      <c r="K90" s="58"/>
    </row>
    <row r="91" spans="1:14" ht="15" customHeight="1" outlineLevel="1">
      <c r="B91" s="52" t="s">
        <v>66</v>
      </c>
      <c r="C91" s="52"/>
      <c r="D91" s="125"/>
      <c r="E91" s="125"/>
      <c r="F91" s="125"/>
      <c r="G91" s="124"/>
      <c r="H91" s="124"/>
      <c r="I91" s="124"/>
      <c r="J91" s="124"/>
      <c r="K91" s="124"/>
    </row>
    <row r="92" spans="1:14" ht="15" customHeight="1" outlineLevel="1">
      <c r="B92" s="50" t="s">
        <v>14</v>
      </c>
      <c r="D92" s="51">
        <f>D48</f>
        <v>5185</v>
      </c>
      <c r="E92" s="51">
        <f t="shared" ref="E92:K92" si="51">E48</f>
        <v>7549</v>
      </c>
      <c r="F92" s="51">
        <f t="shared" si="51"/>
        <v>8708.1928560000015</v>
      </c>
      <c r="G92" s="51">
        <f t="shared" si="51"/>
        <v>5697.1961088000044</v>
      </c>
      <c r="H92" s="51">
        <f t="shared" si="51"/>
        <v>6539.6538753280038</v>
      </c>
      <c r="I92" s="51">
        <f t="shared" si="51"/>
        <v>7450.8451078476883</v>
      </c>
      <c r="J92" s="51">
        <f t="shared" si="51"/>
        <v>8435.6358143185553</v>
      </c>
      <c r="K92" s="51">
        <f t="shared" si="51"/>
        <v>9499.2679631776664</v>
      </c>
      <c r="M92" s="48">
        <f>'Model-R'!O93</f>
        <v>1</v>
      </c>
    </row>
    <row r="93" spans="1:14" ht="15" customHeight="1" outlineLevel="1">
      <c r="B93" s="50" t="s">
        <v>69</v>
      </c>
      <c r="D93" s="51">
        <f>-D41</f>
        <v>2960</v>
      </c>
      <c r="E93" s="51">
        <f t="shared" ref="E93:K93" si="52">-E41</f>
        <v>2803</v>
      </c>
      <c r="F93" s="51">
        <f t="shared" si="52"/>
        <v>2906.83536</v>
      </c>
      <c r="G93" s="51">
        <f t="shared" si="52"/>
        <v>3157.4744064000001</v>
      </c>
      <c r="H93" s="51">
        <f t="shared" si="52"/>
        <v>3346.9228707840007</v>
      </c>
      <c r="I93" s="51">
        <f t="shared" si="52"/>
        <v>3547.7382430310408</v>
      </c>
      <c r="J93" s="51">
        <f t="shared" si="52"/>
        <v>3760.6025376129037</v>
      </c>
      <c r="K93" s="51">
        <f t="shared" si="52"/>
        <v>3986.2386898696777</v>
      </c>
      <c r="M93" s="48">
        <f>'Model-R'!O94</f>
        <v>1</v>
      </c>
    </row>
    <row r="94" spans="1:14" ht="15" customHeight="1" outlineLevel="1">
      <c r="B94" s="50" t="s">
        <v>68</v>
      </c>
      <c r="D94" s="122"/>
      <c r="E94" s="122"/>
      <c r="F94" s="122"/>
      <c r="G94" s="122"/>
      <c r="H94" s="122"/>
      <c r="I94" s="122"/>
      <c r="J94" s="122"/>
      <c r="K94" s="122"/>
    </row>
    <row r="95" spans="1:14" ht="15" customHeight="1" outlineLevel="1">
      <c r="B95" s="123" t="s">
        <v>45</v>
      </c>
      <c r="C95" s="50"/>
      <c r="D95" s="51">
        <f>D138</f>
        <v>-1280</v>
      </c>
      <c r="E95" s="51">
        <f t="shared" ref="E95:K95" si="53">E138</f>
        <v>-1389</v>
      </c>
      <c r="F95" s="51">
        <f t="shared" si="53"/>
        <v>-647.20854794520528</v>
      </c>
      <c r="G95" s="51">
        <f t="shared" si="53"/>
        <v>-1498.6942246575345</v>
      </c>
      <c r="H95" s="51">
        <f t="shared" si="53"/>
        <v>-973.19416635616471</v>
      </c>
      <c r="I95" s="51">
        <f t="shared" si="53"/>
        <v>-1031.5858163375378</v>
      </c>
      <c r="J95" s="51">
        <f t="shared" si="53"/>
        <v>-1093.4809653177872</v>
      </c>
      <c r="K95" s="51">
        <f t="shared" si="53"/>
        <v>-1159.0898232368527</v>
      </c>
      <c r="M95" s="48">
        <f>'Model-R'!O96</f>
        <v>1</v>
      </c>
    </row>
    <row r="96" spans="1:14" ht="15" customHeight="1" outlineLevel="1">
      <c r="B96" s="123" t="s">
        <v>67</v>
      </c>
      <c r="C96" s="50"/>
      <c r="D96" s="51">
        <f t="shared" ref="D96:K98" si="54">D139</f>
        <v>-470</v>
      </c>
      <c r="E96" s="51">
        <f t="shared" si="54"/>
        <v>-523</v>
      </c>
      <c r="F96" s="51">
        <f t="shared" si="54"/>
        <v>-345.33187945205464</v>
      </c>
      <c r="G96" s="51">
        <f t="shared" si="54"/>
        <v>-1087.3634301369857</v>
      </c>
      <c r="H96" s="51">
        <f t="shared" si="54"/>
        <v>-547.42171857534413</v>
      </c>
      <c r="I96" s="51">
        <f t="shared" si="54"/>
        <v>-580.2670216898623</v>
      </c>
      <c r="J96" s="51">
        <f t="shared" si="54"/>
        <v>-615.08304299125666</v>
      </c>
      <c r="K96" s="51">
        <f t="shared" si="54"/>
        <v>-651.98802557073031</v>
      </c>
      <c r="M96" s="48">
        <f>'Model-R'!O97</f>
        <v>1</v>
      </c>
    </row>
    <row r="97" spans="2:13" ht="15" customHeight="1" outlineLevel="1">
      <c r="B97" s="123" t="s">
        <v>43</v>
      </c>
      <c r="C97" s="50"/>
      <c r="D97" s="51">
        <f t="shared" si="54"/>
        <v>490</v>
      </c>
      <c r="E97" s="51">
        <f t="shared" si="54"/>
        <v>503</v>
      </c>
      <c r="F97" s="51">
        <f t="shared" si="54"/>
        <v>573.10610410958907</v>
      </c>
      <c r="G97" s="51">
        <f t="shared" si="54"/>
        <v>1087.8209753424653</v>
      </c>
      <c r="H97" s="51">
        <f t="shared" si="54"/>
        <v>729.8956247671249</v>
      </c>
      <c r="I97" s="51">
        <f t="shared" si="54"/>
        <v>773.68936225314974</v>
      </c>
      <c r="J97" s="51">
        <f t="shared" si="54"/>
        <v>820.11072398834222</v>
      </c>
      <c r="K97" s="51">
        <f t="shared" si="54"/>
        <v>869.31736742764042</v>
      </c>
      <c r="M97" s="48">
        <f>'Model-R'!O98</f>
        <v>1</v>
      </c>
    </row>
    <row r="98" spans="2:13" ht="15" customHeight="1" outlineLevel="1">
      <c r="B98" s="123" t="s">
        <v>42</v>
      </c>
      <c r="C98" s="50"/>
      <c r="D98" s="51">
        <f t="shared" si="54"/>
        <v>50</v>
      </c>
      <c r="E98" s="51">
        <f t="shared" si="54"/>
        <v>-194</v>
      </c>
      <c r="F98" s="51">
        <f t="shared" si="54"/>
        <v>-313</v>
      </c>
      <c r="G98" s="51">
        <f t="shared" si="54"/>
        <v>322.41252582400057</v>
      </c>
      <c r="H98" s="51">
        <f t="shared" si="54"/>
        <v>133.5897315494401</v>
      </c>
      <c r="I98" s="51">
        <f t="shared" si="54"/>
        <v>144.48889544240706</v>
      </c>
      <c r="J98" s="51">
        <f t="shared" si="54"/>
        <v>156.1596691689515</v>
      </c>
      <c r="K98" s="51">
        <f t="shared" si="54"/>
        <v>168.66166931908788</v>
      </c>
      <c r="M98" s="48">
        <f>'Model-R'!O99</f>
        <v>1</v>
      </c>
    </row>
    <row r="99" spans="2:13" ht="15" customHeight="1" outlineLevel="1">
      <c r="B99" s="50" t="s">
        <v>66</v>
      </c>
      <c r="D99" s="118">
        <f>SUM(D92:D98)</f>
        <v>6935</v>
      </c>
      <c r="E99" s="118">
        <f t="shared" ref="E99:K99" si="55">SUM(E92:E98)</f>
        <v>8749</v>
      </c>
      <c r="F99" s="118">
        <f t="shared" si="55"/>
        <v>10882.593892712332</v>
      </c>
      <c r="G99" s="118">
        <f t="shared" si="55"/>
        <v>7678.8463615719502</v>
      </c>
      <c r="H99" s="118">
        <f t="shared" si="55"/>
        <v>9229.4462174970613</v>
      </c>
      <c r="I99" s="118">
        <f t="shared" si="55"/>
        <v>10304.908770546886</v>
      </c>
      <c r="J99" s="118">
        <f t="shared" si="55"/>
        <v>11463.944736779709</v>
      </c>
      <c r="K99" s="118">
        <f t="shared" si="55"/>
        <v>12712.407840986491</v>
      </c>
      <c r="M99" s="48">
        <f>'Model-R'!O100</f>
        <v>1</v>
      </c>
    </row>
    <row r="100" spans="2:13" ht="15" customHeight="1" outlineLevel="1">
      <c r="D100" s="122"/>
      <c r="E100" s="122"/>
      <c r="F100" s="122"/>
      <c r="G100" s="57"/>
      <c r="H100" s="57"/>
      <c r="I100" s="57"/>
      <c r="J100" s="57"/>
      <c r="K100" s="57"/>
    </row>
    <row r="101" spans="2:13" ht="15" customHeight="1" outlineLevel="1">
      <c r="B101" s="52" t="s">
        <v>65</v>
      </c>
      <c r="C101" s="52"/>
      <c r="D101" s="122"/>
      <c r="E101" s="122"/>
      <c r="F101" s="122"/>
      <c r="G101" s="57"/>
      <c r="H101" s="57"/>
      <c r="I101" s="57"/>
      <c r="J101" s="57"/>
      <c r="K101" s="57"/>
    </row>
    <row r="102" spans="2:13" ht="15" customHeight="1" outlineLevel="1">
      <c r="B102" s="50" t="s">
        <v>64</v>
      </c>
      <c r="D102" s="121">
        <v>-3004.9999999999973</v>
      </c>
      <c r="E102" s="121">
        <v>-3911.0000000000018</v>
      </c>
      <c r="F102" s="121">
        <v>-3710.8353600000046</v>
      </c>
      <c r="G102" s="51">
        <f>-G150</f>
        <v>-5199.197982870588</v>
      </c>
      <c r="H102" s="51">
        <f t="shared" ref="H102:K102" si="56">-H150</f>
        <v>-4739.9262853722357</v>
      </c>
      <c r="I102" s="51">
        <f t="shared" si="56"/>
        <v>-5024.3218624945766</v>
      </c>
      <c r="J102" s="51">
        <f t="shared" si="56"/>
        <v>-5325.7811742442464</v>
      </c>
      <c r="K102" s="51">
        <f t="shared" si="56"/>
        <v>-5645.3280446989011</v>
      </c>
      <c r="M102" s="48">
        <f>'Model-R'!O103</f>
        <v>1</v>
      </c>
    </row>
    <row r="103" spans="2:13" ht="15" customHeight="1" outlineLevel="1">
      <c r="B103" s="50" t="s">
        <v>63</v>
      </c>
      <c r="D103" s="118">
        <f>SUM(D102)</f>
        <v>-3004.9999999999973</v>
      </c>
      <c r="E103" s="118">
        <f t="shared" ref="E103:K103" si="57">SUM(E102)</f>
        <v>-3911.0000000000018</v>
      </c>
      <c r="F103" s="118">
        <f t="shared" si="57"/>
        <v>-3710.8353600000046</v>
      </c>
      <c r="G103" s="118">
        <f t="shared" si="57"/>
        <v>-5199.197982870588</v>
      </c>
      <c r="H103" s="118">
        <f t="shared" si="57"/>
        <v>-4739.9262853722357</v>
      </c>
      <c r="I103" s="118">
        <f t="shared" si="57"/>
        <v>-5024.3218624945766</v>
      </c>
      <c r="J103" s="118">
        <f t="shared" si="57"/>
        <v>-5325.7811742442464</v>
      </c>
      <c r="K103" s="118">
        <f t="shared" si="57"/>
        <v>-5645.3280446989011</v>
      </c>
      <c r="M103" s="48">
        <f>'Model-R'!O104</f>
        <v>1</v>
      </c>
    </row>
    <row r="104" spans="2:13" ht="15" customHeight="1" outlineLevel="1">
      <c r="D104" s="122"/>
      <c r="E104" s="122"/>
      <c r="F104" s="122"/>
      <c r="G104" s="57"/>
      <c r="H104" s="57"/>
      <c r="I104" s="57"/>
      <c r="J104" s="57"/>
      <c r="K104" s="57"/>
    </row>
    <row r="105" spans="2:13" ht="15" customHeight="1" outlineLevel="1">
      <c r="B105" s="52" t="s">
        <v>62</v>
      </c>
      <c r="C105" s="52"/>
      <c r="D105" s="122"/>
      <c r="E105" s="122"/>
      <c r="F105" s="122"/>
      <c r="G105" s="57"/>
      <c r="H105" s="57"/>
      <c r="I105" s="57"/>
      <c r="J105" s="57"/>
      <c r="K105" s="57"/>
    </row>
    <row r="106" spans="2:13" ht="15" customHeight="1" outlineLevel="1">
      <c r="B106" s="50" t="s">
        <v>61</v>
      </c>
      <c r="D106" s="121">
        <v>0</v>
      </c>
      <c r="E106" s="51">
        <f>E172</f>
        <v>0</v>
      </c>
      <c r="F106" s="51">
        <f t="shared" ref="F106:K106" si="58">F172</f>
        <v>0</v>
      </c>
      <c r="G106" s="51">
        <f t="shared" si="58"/>
        <v>0</v>
      </c>
      <c r="H106" s="51">
        <f t="shared" si="58"/>
        <v>0</v>
      </c>
      <c r="I106" s="51">
        <f t="shared" si="58"/>
        <v>0</v>
      </c>
      <c r="J106" s="51">
        <f t="shared" si="58"/>
        <v>0</v>
      </c>
      <c r="K106" s="51">
        <f t="shared" si="58"/>
        <v>0</v>
      </c>
      <c r="M106" s="48">
        <f>'Model-R'!O107</f>
        <v>1</v>
      </c>
    </row>
    <row r="107" spans="2:13" ht="15" customHeight="1" outlineLevel="1">
      <c r="B107" s="50" t="s">
        <v>60</v>
      </c>
      <c r="D107" s="51">
        <f>D181</f>
        <v>-4312</v>
      </c>
      <c r="E107" s="51">
        <f t="shared" ref="E107:K107" si="59">E181</f>
        <v>-4209</v>
      </c>
      <c r="F107" s="51">
        <f t="shared" si="59"/>
        <v>-2930.9750848000026</v>
      </c>
      <c r="G107" s="51">
        <f t="shared" si="59"/>
        <v>-3988.0372761600029</v>
      </c>
      <c r="H107" s="51">
        <f t="shared" si="59"/>
        <v>-4577.7577127296026</v>
      </c>
      <c r="I107" s="51">
        <f t="shared" si="59"/>
        <v>-5215.5915754933812</v>
      </c>
      <c r="J107" s="51">
        <f t="shared" si="59"/>
        <v>-5904.9450700229881</v>
      </c>
      <c r="K107" s="51">
        <f t="shared" si="59"/>
        <v>-6649.4875742243657</v>
      </c>
      <c r="M107" s="48">
        <f>'Model-R'!O108</f>
        <v>1</v>
      </c>
    </row>
    <row r="108" spans="2:13" ht="15" customHeight="1" outlineLevel="1">
      <c r="B108" s="50" t="s">
        <v>59</v>
      </c>
      <c r="D108" s="121">
        <v>0</v>
      </c>
      <c r="E108" s="51">
        <f>E162</f>
        <v>0</v>
      </c>
      <c r="F108" s="51">
        <f t="shared" ref="F108:K108" si="60">F162</f>
        <v>0</v>
      </c>
      <c r="G108" s="51">
        <f t="shared" si="60"/>
        <v>0</v>
      </c>
      <c r="H108" s="51">
        <f t="shared" si="60"/>
        <v>0</v>
      </c>
      <c r="I108" s="51">
        <f t="shared" si="60"/>
        <v>0</v>
      </c>
      <c r="J108" s="51">
        <f t="shared" si="60"/>
        <v>0</v>
      </c>
      <c r="K108" s="51">
        <f t="shared" si="60"/>
        <v>0</v>
      </c>
      <c r="M108" s="48">
        <f>'Model-R'!O109</f>
        <v>1</v>
      </c>
    </row>
    <row r="109" spans="2:13" ht="15" customHeight="1" outlineLevel="1">
      <c r="B109" s="50" t="s">
        <v>58</v>
      </c>
      <c r="D109" s="118">
        <f>SUM(D106:D108)</f>
        <v>-4312</v>
      </c>
      <c r="E109" s="118">
        <f t="shared" ref="E109:K109" si="61">SUM(E106:E108)</f>
        <v>-4209</v>
      </c>
      <c r="F109" s="118">
        <f t="shared" si="61"/>
        <v>-2930.9750848000026</v>
      </c>
      <c r="G109" s="118">
        <f t="shared" si="61"/>
        <v>-3988.0372761600029</v>
      </c>
      <c r="H109" s="118">
        <f t="shared" si="61"/>
        <v>-4577.7577127296026</v>
      </c>
      <c r="I109" s="118">
        <f t="shared" si="61"/>
        <v>-5215.5915754933812</v>
      </c>
      <c r="J109" s="118">
        <f t="shared" si="61"/>
        <v>-5904.9450700229881</v>
      </c>
      <c r="K109" s="118">
        <f t="shared" si="61"/>
        <v>-6649.4875742243657</v>
      </c>
      <c r="M109" s="48">
        <f>'Model-R'!O110</f>
        <v>1</v>
      </c>
    </row>
    <row r="110" spans="2:13" ht="15" customHeight="1" outlineLevel="1">
      <c r="B110" s="50"/>
      <c r="D110" s="122"/>
      <c r="E110" s="122"/>
      <c r="F110" s="122"/>
      <c r="G110" s="57"/>
      <c r="H110" s="57"/>
      <c r="I110" s="57"/>
      <c r="J110" s="57"/>
      <c r="K110" s="57"/>
    </row>
    <row r="111" spans="2:13" ht="15" customHeight="1" outlineLevel="1">
      <c r="B111" s="50" t="s">
        <v>57</v>
      </c>
      <c r="D111" s="121">
        <v>5671</v>
      </c>
      <c r="E111" s="51">
        <f>D113</f>
        <v>5289.0000000000027</v>
      </c>
      <c r="F111" s="51">
        <f t="shared" ref="F111:K111" si="62">E113</f>
        <v>5918.0000000000009</v>
      </c>
      <c r="G111" s="51">
        <f t="shared" si="62"/>
        <v>10158.783447912327</v>
      </c>
      <c r="H111" s="51">
        <f t="shared" si="62"/>
        <v>8650.394550453686</v>
      </c>
      <c r="I111" s="51">
        <f t="shared" si="62"/>
        <v>8562.1567698489089</v>
      </c>
      <c r="J111" s="51">
        <f t="shared" si="62"/>
        <v>8627.1521024078374</v>
      </c>
      <c r="K111" s="51">
        <f t="shared" si="62"/>
        <v>8860.3705949203122</v>
      </c>
      <c r="M111" s="48">
        <f>'Model-R'!O112</f>
        <v>1</v>
      </c>
    </row>
    <row r="112" spans="2:13" ht="15" customHeight="1" outlineLevel="1">
      <c r="B112" s="50" t="s">
        <v>56</v>
      </c>
      <c r="D112" s="51">
        <f>D99+D103+D109</f>
        <v>-381.99999999999727</v>
      </c>
      <c r="E112" s="51">
        <f>E99+E103+E109</f>
        <v>628.99999999999818</v>
      </c>
      <c r="F112" s="51">
        <f t="shared" ref="F112:K112" si="63">F99+F103+F109</f>
        <v>4240.7834479123248</v>
      </c>
      <c r="G112" s="51">
        <f t="shared" si="63"/>
        <v>-1508.3888974586407</v>
      </c>
      <c r="H112" s="51">
        <f t="shared" si="63"/>
        <v>-88.237780604777072</v>
      </c>
      <c r="I112" s="51">
        <f t="shared" si="63"/>
        <v>64.995332558928567</v>
      </c>
      <c r="J112" s="51">
        <f t="shared" si="63"/>
        <v>233.21849251247477</v>
      </c>
      <c r="K112" s="51">
        <f t="shared" si="63"/>
        <v>417.59222206322374</v>
      </c>
      <c r="M112" s="48">
        <f>'Model-R'!O113</f>
        <v>1</v>
      </c>
    </row>
    <row r="113" spans="1:14" ht="15" customHeight="1" outlineLevel="1" thickBot="1">
      <c r="B113" s="69" t="s">
        <v>55</v>
      </c>
      <c r="C113" s="52"/>
      <c r="D113" s="120">
        <f>SUM(D111:D112)</f>
        <v>5289.0000000000027</v>
      </c>
      <c r="E113" s="120">
        <f>SUM(E111:E112)</f>
        <v>5918.0000000000009</v>
      </c>
      <c r="F113" s="120">
        <f t="shared" ref="F113:K113" si="64">SUM(F111:F112)</f>
        <v>10158.783447912327</v>
      </c>
      <c r="G113" s="120">
        <f t="shared" si="64"/>
        <v>8650.394550453686</v>
      </c>
      <c r="H113" s="120">
        <f t="shared" si="64"/>
        <v>8562.1567698489089</v>
      </c>
      <c r="I113" s="120">
        <f t="shared" si="64"/>
        <v>8627.1521024078374</v>
      </c>
      <c r="J113" s="120">
        <f t="shared" si="64"/>
        <v>8860.3705949203122</v>
      </c>
      <c r="K113" s="120">
        <f t="shared" si="64"/>
        <v>9277.962816983536</v>
      </c>
      <c r="M113" s="48">
        <f>'Model-R'!O114</f>
        <v>1</v>
      </c>
    </row>
    <row r="114" spans="1:14" ht="15" customHeight="1" outlineLevel="1">
      <c r="B114" s="52"/>
      <c r="C114" s="52"/>
      <c r="D114" s="66"/>
      <c r="E114" s="66"/>
      <c r="F114" s="66"/>
      <c r="G114" s="66"/>
      <c r="H114" s="66"/>
      <c r="I114" s="66"/>
      <c r="J114" s="66"/>
      <c r="K114" s="66"/>
    </row>
    <row r="115" spans="1:14" ht="15" customHeight="1" outlineLevel="1">
      <c r="B115" s="44"/>
      <c r="C115" s="44"/>
      <c r="D115" s="65"/>
      <c r="E115" s="65"/>
      <c r="F115" s="65"/>
      <c r="G115" s="65"/>
      <c r="H115" s="65"/>
      <c r="I115" s="65"/>
      <c r="J115" s="65"/>
      <c r="K115" s="65"/>
    </row>
    <row r="116" spans="1:14" ht="15" customHeight="1">
      <c r="D116" s="57"/>
      <c r="E116" s="57"/>
      <c r="F116" s="57"/>
      <c r="G116" s="57"/>
      <c r="H116" s="57"/>
      <c r="I116" s="57"/>
      <c r="J116" s="57"/>
      <c r="K116" s="57"/>
    </row>
    <row r="117" spans="1:14" s="47" customFormat="1" ht="15" customHeight="1">
      <c r="A117" s="47" t="s">
        <v>0</v>
      </c>
      <c r="B117" s="64" t="s">
        <v>54</v>
      </c>
      <c r="C117" s="64"/>
      <c r="D117" s="64"/>
      <c r="E117" s="64"/>
      <c r="F117" s="64"/>
      <c r="G117" s="64"/>
      <c r="H117" s="64"/>
      <c r="I117" s="64"/>
      <c r="J117" s="64"/>
      <c r="K117" s="64"/>
    </row>
    <row r="118" spans="1:14" s="47" customFormat="1" ht="15" customHeight="1" outlineLevel="1">
      <c r="B118" s="63"/>
      <c r="C118" s="63"/>
      <c r="D118" s="62"/>
      <c r="E118" s="62"/>
      <c r="F118" s="62"/>
      <c r="G118" s="62"/>
      <c r="H118" s="62"/>
      <c r="I118" s="62"/>
      <c r="J118" s="62"/>
      <c r="K118" s="62"/>
    </row>
    <row r="119" spans="1:14" s="47" customFormat="1" ht="15" customHeight="1" outlineLevel="1" thickBot="1">
      <c r="B119" s="59" t="s">
        <v>18</v>
      </c>
      <c r="C119" s="59"/>
      <c r="D119" s="61">
        <f t="shared" ref="D119:K119" si="65">+D$4</f>
        <v>-2</v>
      </c>
      <c r="E119" s="61">
        <f t="shared" si="65"/>
        <v>-1</v>
      </c>
      <c r="F119" s="61">
        <f t="shared" si="65"/>
        <v>0</v>
      </c>
      <c r="G119" s="60">
        <f t="shared" si="65"/>
        <v>1</v>
      </c>
      <c r="H119" s="60">
        <f t="shared" si="65"/>
        <v>2</v>
      </c>
      <c r="I119" s="60">
        <f t="shared" si="65"/>
        <v>3</v>
      </c>
      <c r="J119" s="60">
        <f t="shared" si="65"/>
        <v>4</v>
      </c>
      <c r="K119" s="60">
        <f t="shared" si="65"/>
        <v>5</v>
      </c>
    </row>
    <row r="120" spans="1:14" s="47" customFormat="1" ht="15" customHeight="1" outlineLevel="1">
      <c r="B120" s="63"/>
      <c r="C120" s="63"/>
      <c r="D120" s="62"/>
      <c r="E120" s="62"/>
      <c r="F120" s="62"/>
      <c r="G120" s="62"/>
      <c r="H120" s="62"/>
      <c r="I120" s="62"/>
      <c r="J120" s="62"/>
      <c r="K120" s="62"/>
    </row>
    <row r="121" spans="1:14" ht="15" customHeight="1" outlineLevel="1">
      <c r="B121" s="43" t="s">
        <v>53</v>
      </c>
      <c r="D121" s="119">
        <f>D6</f>
        <v>365</v>
      </c>
      <c r="E121" s="118">
        <f t="shared" ref="E121:K121" si="66">E6</f>
        <v>365</v>
      </c>
      <c r="F121" s="118">
        <f t="shared" si="66"/>
        <v>365</v>
      </c>
      <c r="G121" s="118">
        <f t="shared" si="66"/>
        <v>365</v>
      </c>
      <c r="H121" s="118">
        <f t="shared" si="66"/>
        <v>365</v>
      </c>
      <c r="I121" s="118">
        <f t="shared" si="66"/>
        <v>365</v>
      </c>
      <c r="J121" s="118">
        <f t="shared" si="66"/>
        <v>365</v>
      </c>
      <c r="K121" s="117">
        <f t="shared" si="66"/>
        <v>365</v>
      </c>
      <c r="M121" s="48">
        <f>'Model-R'!O122</f>
        <v>1</v>
      </c>
      <c r="N121" s="99"/>
    </row>
    <row r="122" spans="1:14" ht="15" customHeight="1" outlineLevel="1">
      <c r="B122" s="43" t="s">
        <v>17</v>
      </c>
      <c r="D122" s="116">
        <f>D34</f>
        <v>81422</v>
      </c>
      <c r="E122" s="115">
        <f t="shared" ref="E122:K122" si="67">E34</f>
        <v>86698</v>
      </c>
      <c r="F122" s="115">
        <f t="shared" si="67"/>
        <v>93085.92</v>
      </c>
      <c r="G122" s="115">
        <f t="shared" si="67"/>
        <v>98671.075200000007</v>
      </c>
      <c r="H122" s="115">
        <f t="shared" si="67"/>
        <v>104591.33971200002</v>
      </c>
      <c r="I122" s="115">
        <f t="shared" si="67"/>
        <v>110866.82009472002</v>
      </c>
      <c r="J122" s="115">
        <f t="shared" si="67"/>
        <v>117518.82930040323</v>
      </c>
      <c r="K122" s="114">
        <f t="shared" si="67"/>
        <v>124569.95905842743</v>
      </c>
      <c r="M122" s="48">
        <f>'Model-R'!O123</f>
        <v>1</v>
      </c>
      <c r="N122" s="99"/>
    </row>
    <row r="123" spans="1:14" ht="15" customHeight="1" outlineLevel="1">
      <c r="B123" s="43" t="s">
        <v>52</v>
      </c>
      <c r="D123" s="116">
        <f>-D35</f>
        <v>38121</v>
      </c>
      <c r="E123" s="115">
        <f t="shared" ref="E123:K123" si="68">-E35</f>
        <v>37756</v>
      </c>
      <c r="F123" s="115">
        <f t="shared" si="68"/>
        <v>39638.663999999997</v>
      </c>
      <c r="G123" s="115">
        <f t="shared" si="68"/>
        <v>44401.983840000001</v>
      </c>
      <c r="H123" s="115">
        <f t="shared" si="68"/>
        <v>47066.102870400005</v>
      </c>
      <c r="I123" s="115">
        <f t="shared" si="68"/>
        <v>49890.069042624003</v>
      </c>
      <c r="J123" s="115">
        <f t="shared" si="68"/>
        <v>52883.47318518145</v>
      </c>
      <c r="K123" s="114">
        <f t="shared" si="68"/>
        <v>56056.481576292339</v>
      </c>
      <c r="M123" s="48">
        <f>'Model-R'!O124</f>
        <v>1</v>
      </c>
      <c r="N123" s="99"/>
    </row>
    <row r="124" spans="1:14" ht="15" customHeight="1" outlineLevel="1">
      <c r="B124" s="43" t="s">
        <v>51</v>
      </c>
      <c r="D124" s="113">
        <f>-D47</f>
        <v>2761</v>
      </c>
      <c r="E124" s="112">
        <f t="shared" ref="E124:K124" si="69">-E47</f>
        <v>2429</v>
      </c>
      <c r="F124" s="112">
        <f t="shared" si="69"/>
        <v>1570.1652240000001</v>
      </c>
      <c r="G124" s="112">
        <f t="shared" si="69"/>
        <v>2441.6554752000015</v>
      </c>
      <c r="H124" s="112">
        <f t="shared" si="69"/>
        <v>2802.7088037120016</v>
      </c>
      <c r="I124" s="112">
        <f t="shared" si="69"/>
        <v>3193.2193319347239</v>
      </c>
      <c r="J124" s="112">
        <f t="shared" si="69"/>
        <v>3615.2724918508088</v>
      </c>
      <c r="K124" s="111">
        <f t="shared" si="69"/>
        <v>4071.1148413618571</v>
      </c>
      <c r="M124" s="48">
        <f>'Model-R'!O125</f>
        <v>1</v>
      </c>
      <c r="N124" s="99"/>
    </row>
    <row r="125" spans="1:14" ht="15" customHeight="1" outlineLevel="1">
      <c r="B125" s="52"/>
      <c r="C125" s="52"/>
      <c r="D125" s="107"/>
      <c r="E125" s="107"/>
      <c r="F125" s="107"/>
      <c r="G125" s="109"/>
      <c r="H125" s="109"/>
      <c r="I125" s="109"/>
      <c r="J125" s="109"/>
      <c r="K125" s="109"/>
      <c r="N125" s="99"/>
    </row>
    <row r="126" spans="1:14" ht="15" customHeight="1" outlineLevel="1">
      <c r="B126" s="43" t="s">
        <v>45</v>
      </c>
      <c r="C126" s="92" t="s">
        <v>50</v>
      </c>
      <c r="D126" s="51">
        <f>D20</f>
        <v>56.864545208911593</v>
      </c>
      <c r="E126" s="51">
        <f t="shared" ref="E126:K126" si="70">E20</f>
        <v>59.251770513737341</v>
      </c>
      <c r="F126" s="51">
        <f t="shared" si="70"/>
        <v>57.723457210284863</v>
      </c>
      <c r="G126" s="51">
        <f t="shared" si="70"/>
        <v>60</v>
      </c>
      <c r="H126" s="51">
        <f t="shared" si="70"/>
        <v>60</v>
      </c>
      <c r="I126" s="51">
        <f t="shared" si="70"/>
        <v>60</v>
      </c>
      <c r="J126" s="51">
        <f t="shared" si="70"/>
        <v>60</v>
      </c>
      <c r="K126" s="51">
        <f t="shared" si="70"/>
        <v>60</v>
      </c>
      <c r="M126" s="48">
        <f>'Model-R'!O127</f>
        <v>1</v>
      </c>
    </row>
    <row r="127" spans="1:14" ht="15" customHeight="1" outlineLevel="1">
      <c r="B127" s="43" t="s">
        <v>44</v>
      </c>
      <c r="C127" s="92" t="s">
        <v>50</v>
      </c>
      <c r="D127" s="51">
        <f t="shared" ref="D127:K128" si="71">D21</f>
        <v>68.631987618373074</v>
      </c>
      <c r="E127" s="51">
        <f t="shared" si="71"/>
        <v>74.351493802309562</v>
      </c>
      <c r="F127" s="51">
        <f t="shared" si="71"/>
        <v>74</v>
      </c>
      <c r="G127" s="51">
        <f t="shared" si="71"/>
        <v>75</v>
      </c>
      <c r="H127" s="51">
        <f t="shared" si="71"/>
        <v>75</v>
      </c>
      <c r="I127" s="51">
        <f t="shared" si="71"/>
        <v>75</v>
      </c>
      <c r="J127" s="51">
        <f t="shared" si="71"/>
        <v>75</v>
      </c>
      <c r="K127" s="51">
        <f t="shared" si="71"/>
        <v>75</v>
      </c>
      <c r="M127" s="48">
        <f>'Model-R'!O128</f>
        <v>1</v>
      </c>
    </row>
    <row r="128" spans="1:14" ht="15" customHeight="1" outlineLevel="1">
      <c r="B128" s="43" t="s">
        <v>43</v>
      </c>
      <c r="C128" s="92" t="s">
        <v>50</v>
      </c>
      <c r="D128" s="51">
        <f t="shared" si="71"/>
        <v>95.757325358726149</v>
      </c>
      <c r="E128" s="51">
        <f t="shared" si="71"/>
        <v>101.54571458840979</v>
      </c>
      <c r="F128" s="51">
        <f t="shared" si="71"/>
        <v>102</v>
      </c>
      <c r="G128" s="51">
        <f t="shared" si="71"/>
        <v>100</v>
      </c>
      <c r="H128" s="51">
        <f t="shared" si="71"/>
        <v>100</v>
      </c>
      <c r="I128" s="51">
        <f t="shared" si="71"/>
        <v>100</v>
      </c>
      <c r="J128" s="51">
        <f t="shared" si="71"/>
        <v>100</v>
      </c>
      <c r="K128" s="51">
        <f t="shared" si="71"/>
        <v>100</v>
      </c>
      <c r="M128" s="48">
        <f>'Model-R'!O129</f>
        <v>1</v>
      </c>
    </row>
    <row r="129" spans="2:14" ht="15" customHeight="1" outlineLevel="1">
      <c r="B129" s="99" t="s">
        <v>49</v>
      </c>
      <c r="D129" s="184">
        <f>D23</f>
        <v>0.39406012314378847</v>
      </c>
      <c r="E129" s="184">
        <f t="shared" ref="E129:K129" si="72">E23</f>
        <v>0.36805269658295597</v>
      </c>
      <c r="F129" s="184">
        <f t="shared" si="72"/>
        <v>0.37002475352237196</v>
      </c>
      <c r="G129" s="184">
        <f t="shared" si="72"/>
        <v>0.37</v>
      </c>
      <c r="H129" s="184">
        <f t="shared" si="72"/>
        <v>0.37</v>
      </c>
      <c r="I129" s="184">
        <f t="shared" si="72"/>
        <v>0.37</v>
      </c>
      <c r="J129" s="184">
        <f t="shared" si="72"/>
        <v>0.37</v>
      </c>
      <c r="K129" s="184">
        <f t="shared" si="72"/>
        <v>0.37</v>
      </c>
      <c r="M129" s="48">
        <f>'Model-R'!O130</f>
        <v>1</v>
      </c>
    </row>
    <row r="130" spans="2:14" ht="15" customHeight="1" outlineLevel="1">
      <c r="D130" s="107"/>
      <c r="E130" s="107"/>
      <c r="F130" s="107"/>
      <c r="G130" s="109"/>
      <c r="H130" s="109"/>
      <c r="I130" s="109"/>
      <c r="J130" s="109"/>
      <c r="K130" s="109"/>
      <c r="N130" s="99"/>
    </row>
    <row r="131" spans="2:14" ht="15" customHeight="1" outlineLevel="1">
      <c r="B131" s="52" t="s">
        <v>48</v>
      </c>
      <c r="D131" s="107"/>
      <c r="E131" s="107"/>
      <c r="F131" s="107"/>
      <c r="G131" s="109"/>
      <c r="H131" s="109"/>
      <c r="I131" s="109"/>
      <c r="J131" s="109"/>
      <c r="K131" s="109"/>
      <c r="N131" s="99"/>
    </row>
    <row r="132" spans="2:14" ht="15" customHeight="1" outlineLevel="1">
      <c r="B132" s="50" t="s">
        <v>45</v>
      </c>
      <c r="D132" s="104">
        <f>D60</f>
        <v>12685</v>
      </c>
      <c r="E132" s="104">
        <f t="shared" ref="E132:F132" si="73">E60</f>
        <v>14074</v>
      </c>
      <c r="F132" s="104">
        <f t="shared" si="73"/>
        <v>14721.208547945205</v>
      </c>
      <c r="G132" s="104">
        <f>G126/G121*G122</f>
        <v>16219.90277260274</v>
      </c>
      <c r="H132" s="104">
        <f t="shared" ref="H132:K132" si="74">H126/H121*H122</f>
        <v>17193.096938958905</v>
      </c>
      <c r="I132" s="104">
        <f t="shared" si="74"/>
        <v>18224.682755296442</v>
      </c>
      <c r="J132" s="104">
        <f t="shared" si="74"/>
        <v>19318.16372061423</v>
      </c>
      <c r="K132" s="104">
        <f t="shared" si="74"/>
        <v>20477.253543851082</v>
      </c>
      <c r="M132" s="48">
        <f>'Model-R'!O133</f>
        <v>1</v>
      </c>
    </row>
    <row r="133" spans="2:14" ht="15" customHeight="1" outlineLevel="1">
      <c r="B133" s="50" t="s">
        <v>44</v>
      </c>
      <c r="D133" s="104">
        <f>D61</f>
        <v>7168</v>
      </c>
      <c r="E133" s="104">
        <f t="shared" ref="E133:F133" si="75">E61</f>
        <v>7691</v>
      </c>
      <c r="F133" s="104">
        <f t="shared" si="75"/>
        <v>8036.3318794520546</v>
      </c>
      <c r="G133" s="104">
        <f>G127/G121*G123</f>
        <v>9123.6953095890403</v>
      </c>
      <c r="H133" s="104">
        <f t="shared" ref="H133:K133" si="76">H127/H121*H123</f>
        <v>9671.1170281643845</v>
      </c>
      <c r="I133" s="104">
        <f t="shared" si="76"/>
        <v>10251.384049854247</v>
      </c>
      <c r="J133" s="104">
        <f t="shared" si="76"/>
        <v>10866.467092845503</v>
      </c>
      <c r="K133" s="104">
        <f t="shared" si="76"/>
        <v>11518.455118416234</v>
      </c>
      <c r="M133" s="48">
        <f>'Model-R'!O134</f>
        <v>1</v>
      </c>
    </row>
    <row r="134" spans="2:14" ht="15" customHeight="1" outlineLevel="1">
      <c r="B134" s="50" t="s">
        <v>43</v>
      </c>
      <c r="D134" s="104">
        <f>D69</f>
        <v>10001</v>
      </c>
      <c r="E134" s="104">
        <f t="shared" ref="E134:F134" si="77">E69</f>
        <v>10504</v>
      </c>
      <c r="F134" s="104">
        <f t="shared" si="77"/>
        <v>11077.106104109589</v>
      </c>
      <c r="G134" s="104">
        <f>G128/G121*G123</f>
        <v>12164.927079452054</v>
      </c>
      <c r="H134" s="104">
        <f t="shared" ref="H134:K134" si="78">H128/H121*H123</f>
        <v>12894.822704219179</v>
      </c>
      <c r="I134" s="104">
        <f t="shared" si="78"/>
        <v>13668.512066472329</v>
      </c>
      <c r="J134" s="104">
        <f t="shared" si="78"/>
        <v>14488.622790460671</v>
      </c>
      <c r="K134" s="104">
        <f t="shared" si="78"/>
        <v>15357.940157888312</v>
      </c>
      <c r="M134" s="48">
        <f>'Model-R'!O135</f>
        <v>1</v>
      </c>
    </row>
    <row r="135" spans="2:14" ht="15" customHeight="1" outlineLevel="1">
      <c r="B135" s="50" t="s">
        <v>47</v>
      </c>
      <c r="D135" s="104">
        <f>D70</f>
        <v>1088</v>
      </c>
      <c r="E135" s="104">
        <f t="shared" ref="E135:F135" si="79">E70</f>
        <v>894</v>
      </c>
      <c r="F135" s="104">
        <f t="shared" si="79"/>
        <v>581</v>
      </c>
      <c r="G135" s="104">
        <f>G129*G124</f>
        <v>903.41252582400057</v>
      </c>
      <c r="H135" s="104">
        <f t="shared" ref="H135:K135" si="80">H129*H124</f>
        <v>1037.0022573734407</v>
      </c>
      <c r="I135" s="104">
        <f t="shared" si="80"/>
        <v>1181.4911528158477</v>
      </c>
      <c r="J135" s="104">
        <f t="shared" si="80"/>
        <v>1337.6508219847992</v>
      </c>
      <c r="K135" s="104">
        <f t="shared" si="80"/>
        <v>1506.3124913038871</v>
      </c>
      <c r="M135" s="48">
        <f>'Model-R'!O136</f>
        <v>1</v>
      </c>
    </row>
    <row r="136" spans="2:14" ht="15" customHeight="1" outlineLevel="1">
      <c r="D136" s="107"/>
      <c r="E136" s="107"/>
      <c r="F136" s="107"/>
      <c r="G136" s="106"/>
      <c r="H136" s="106"/>
      <c r="I136" s="106"/>
      <c r="J136" s="106"/>
      <c r="K136" s="106"/>
      <c r="N136" s="99"/>
    </row>
    <row r="137" spans="2:14" ht="15" customHeight="1" outlineLevel="1">
      <c r="B137" s="108" t="s">
        <v>46</v>
      </c>
      <c r="C137" s="108"/>
      <c r="D137" s="107"/>
      <c r="E137" s="107"/>
      <c r="F137" s="107"/>
      <c r="G137" s="106"/>
      <c r="H137" s="106"/>
      <c r="I137" s="106"/>
      <c r="J137" s="106"/>
      <c r="K137" s="106"/>
      <c r="N137" s="99"/>
    </row>
    <row r="138" spans="2:14" ht="15" customHeight="1" outlineLevel="1">
      <c r="B138" s="50" t="s">
        <v>45</v>
      </c>
      <c r="C138" s="50"/>
      <c r="D138" s="105">
        <v>-1280</v>
      </c>
      <c r="E138" s="104">
        <f>D132-E132</f>
        <v>-1389</v>
      </c>
      <c r="F138" s="104">
        <f t="shared" ref="F138:K138" si="81">E132-F132</f>
        <v>-647.20854794520528</v>
      </c>
      <c r="G138" s="104">
        <f t="shared" si="81"/>
        <v>-1498.6942246575345</v>
      </c>
      <c r="H138" s="104">
        <f t="shared" si="81"/>
        <v>-973.19416635616471</v>
      </c>
      <c r="I138" s="104">
        <f t="shared" si="81"/>
        <v>-1031.5858163375378</v>
      </c>
      <c r="J138" s="104">
        <f t="shared" si="81"/>
        <v>-1093.4809653177872</v>
      </c>
      <c r="K138" s="104">
        <f t="shared" si="81"/>
        <v>-1159.0898232368527</v>
      </c>
      <c r="M138" s="48">
        <f>'Model-R'!O139</f>
        <v>1</v>
      </c>
      <c r="N138" s="99"/>
    </row>
    <row r="139" spans="2:14" ht="15" customHeight="1" outlineLevel="1">
      <c r="B139" s="50" t="s">
        <v>44</v>
      </c>
      <c r="C139" s="50"/>
      <c r="D139" s="105">
        <v>-470</v>
      </c>
      <c r="E139" s="104">
        <f>D133-E133</f>
        <v>-523</v>
      </c>
      <c r="F139" s="104">
        <f t="shared" ref="F139:K139" si="82">E133-F133</f>
        <v>-345.33187945205464</v>
      </c>
      <c r="G139" s="104">
        <f t="shared" si="82"/>
        <v>-1087.3634301369857</v>
      </c>
      <c r="H139" s="104">
        <f t="shared" si="82"/>
        <v>-547.42171857534413</v>
      </c>
      <c r="I139" s="104">
        <f t="shared" si="82"/>
        <v>-580.2670216898623</v>
      </c>
      <c r="J139" s="104">
        <f t="shared" si="82"/>
        <v>-615.08304299125666</v>
      </c>
      <c r="K139" s="104">
        <f t="shared" si="82"/>
        <v>-651.98802557073031</v>
      </c>
      <c r="M139" s="48">
        <f>'Model-R'!O140</f>
        <v>1</v>
      </c>
      <c r="N139" s="99"/>
    </row>
    <row r="140" spans="2:14" ht="15" customHeight="1" outlineLevel="1">
      <c r="B140" s="50" t="s">
        <v>43</v>
      </c>
      <c r="C140" s="50"/>
      <c r="D140" s="103">
        <v>490</v>
      </c>
      <c r="E140" s="104">
        <f>E134-D134</f>
        <v>503</v>
      </c>
      <c r="F140" s="104">
        <f t="shared" ref="F140:K140" si="83">F134-E134</f>
        <v>573.10610410958907</v>
      </c>
      <c r="G140" s="104">
        <f t="shared" si="83"/>
        <v>1087.8209753424653</v>
      </c>
      <c r="H140" s="104">
        <f t="shared" si="83"/>
        <v>729.8956247671249</v>
      </c>
      <c r="I140" s="104">
        <f t="shared" si="83"/>
        <v>773.68936225314974</v>
      </c>
      <c r="J140" s="104">
        <f t="shared" si="83"/>
        <v>820.11072398834222</v>
      </c>
      <c r="K140" s="104">
        <f t="shared" si="83"/>
        <v>869.31736742764042</v>
      </c>
      <c r="M140" s="48">
        <f>'Model-R'!O141</f>
        <v>1</v>
      </c>
      <c r="N140" s="99"/>
    </row>
    <row r="141" spans="2:14" ht="15" customHeight="1" outlineLevel="1">
      <c r="B141" s="50" t="s">
        <v>42</v>
      </c>
      <c r="C141" s="50"/>
      <c r="D141" s="103">
        <v>50</v>
      </c>
      <c r="E141" s="102">
        <f>E135-D135</f>
        <v>-194</v>
      </c>
      <c r="F141" s="102">
        <f t="shared" ref="F141:K141" si="84">F135-E135</f>
        <v>-313</v>
      </c>
      <c r="G141" s="102">
        <f t="shared" si="84"/>
        <v>322.41252582400057</v>
      </c>
      <c r="H141" s="102">
        <f t="shared" si="84"/>
        <v>133.5897315494401</v>
      </c>
      <c r="I141" s="102">
        <f t="shared" si="84"/>
        <v>144.48889544240706</v>
      </c>
      <c r="J141" s="102">
        <f t="shared" si="84"/>
        <v>156.1596691689515</v>
      </c>
      <c r="K141" s="102">
        <f t="shared" si="84"/>
        <v>168.66166931908788</v>
      </c>
      <c r="M141" s="48">
        <f>'Model-R'!O142</f>
        <v>1</v>
      </c>
      <c r="N141" s="99"/>
    </row>
    <row r="142" spans="2:14" ht="15" customHeight="1" outlineLevel="1" thickBot="1">
      <c r="B142" s="50" t="s">
        <v>41</v>
      </c>
      <c r="C142" s="50"/>
      <c r="D142" s="101">
        <f>SUM(D138:D141)</f>
        <v>-1210</v>
      </c>
      <c r="E142" s="101">
        <f t="shared" ref="E142:K142" si="85">SUM(E138:E141)</f>
        <v>-1603</v>
      </c>
      <c r="F142" s="101">
        <f t="shared" si="85"/>
        <v>-732.43432328767085</v>
      </c>
      <c r="G142" s="101">
        <f t="shared" si="85"/>
        <v>-1175.8241536280543</v>
      </c>
      <c r="H142" s="101">
        <f t="shared" si="85"/>
        <v>-657.13052861494384</v>
      </c>
      <c r="I142" s="101">
        <f t="shared" si="85"/>
        <v>-693.67458033184334</v>
      </c>
      <c r="J142" s="101">
        <f t="shared" si="85"/>
        <v>-732.29361515175015</v>
      </c>
      <c r="K142" s="101">
        <f t="shared" si="85"/>
        <v>-773.0988120608547</v>
      </c>
      <c r="M142" s="48">
        <f>'Model-R'!O143</f>
        <v>1</v>
      </c>
      <c r="N142" s="99"/>
    </row>
    <row r="143" spans="2:14" ht="15" customHeight="1" outlineLevel="1">
      <c r="B143" s="50"/>
      <c r="C143" s="50"/>
      <c r="D143" s="100"/>
      <c r="E143" s="100"/>
      <c r="F143" s="100"/>
      <c r="G143" s="100"/>
      <c r="H143" s="100"/>
      <c r="I143" s="100"/>
      <c r="J143" s="100"/>
      <c r="K143" s="100"/>
      <c r="N143" s="99"/>
    </row>
    <row r="144" spans="2:14" ht="15" customHeight="1" outlineLevel="1">
      <c r="B144" s="50" t="s">
        <v>17</v>
      </c>
      <c r="C144" s="59"/>
      <c r="D144" s="98">
        <f>D122</f>
        <v>81422</v>
      </c>
      <c r="E144" s="97">
        <f t="shared" ref="E144:K144" si="86">E122</f>
        <v>86698</v>
      </c>
      <c r="F144" s="97">
        <f t="shared" si="86"/>
        <v>93085.92</v>
      </c>
      <c r="G144" s="97">
        <f t="shared" si="86"/>
        <v>98671.075200000007</v>
      </c>
      <c r="H144" s="97">
        <f t="shared" si="86"/>
        <v>104591.33971200002</v>
      </c>
      <c r="I144" s="97">
        <f t="shared" si="86"/>
        <v>110866.82009472002</v>
      </c>
      <c r="J144" s="97">
        <f t="shared" si="86"/>
        <v>117518.82930040323</v>
      </c>
      <c r="K144" s="96">
        <f t="shared" si="86"/>
        <v>124569.95905842743</v>
      </c>
      <c r="M144" s="48">
        <f>'Model-R'!O145</f>
        <v>1</v>
      </c>
      <c r="N144" s="10"/>
    </row>
    <row r="145" spans="1:14" ht="15" customHeight="1" outlineLevel="1">
      <c r="B145" s="50" t="s">
        <v>40</v>
      </c>
      <c r="C145" s="92" t="s">
        <v>39</v>
      </c>
      <c r="D145" s="95">
        <f>D19</f>
        <v>4.2268597830036869</v>
      </c>
      <c r="E145" s="94">
        <f t="shared" ref="E145:K145" si="87">E19</f>
        <v>4.2559520887536202</v>
      </c>
      <c r="F145" s="94">
        <f t="shared" si="87"/>
        <v>4.3960292798110974</v>
      </c>
      <c r="G145" s="94">
        <f t="shared" si="87"/>
        <v>4.25</v>
      </c>
      <c r="H145" s="94">
        <f t="shared" si="87"/>
        <v>4.25</v>
      </c>
      <c r="I145" s="94">
        <f t="shared" si="87"/>
        <v>4.25</v>
      </c>
      <c r="J145" s="94">
        <f t="shared" si="87"/>
        <v>4.25</v>
      </c>
      <c r="K145" s="93">
        <f t="shared" si="87"/>
        <v>4.25</v>
      </c>
      <c r="M145" s="48">
        <f>'Model-R'!O146</f>
        <v>1</v>
      </c>
    </row>
    <row r="146" spans="1:14" ht="15" customHeight="1" outlineLevel="1">
      <c r="B146" s="50" t="s">
        <v>38</v>
      </c>
      <c r="C146" s="92"/>
      <c r="D146" s="91">
        <f>D14</f>
        <v>3.6353811009309525E-2</v>
      </c>
      <c r="E146" s="90">
        <f t="shared" ref="E146:K146" si="88">E14</f>
        <v>3.2330618930079123E-2</v>
      </c>
      <c r="F146" s="90">
        <f t="shared" si="88"/>
        <v>3.1227444064580338E-2</v>
      </c>
      <c r="G146" s="90">
        <f t="shared" si="88"/>
        <v>3.2000000000000001E-2</v>
      </c>
      <c r="H146" s="90">
        <f t="shared" si="88"/>
        <v>3.2000000000000001E-2</v>
      </c>
      <c r="I146" s="90">
        <f t="shared" si="88"/>
        <v>3.2000000000000001E-2</v>
      </c>
      <c r="J146" s="90">
        <f t="shared" si="88"/>
        <v>3.2000000000000001E-2</v>
      </c>
      <c r="K146" s="89">
        <f t="shared" si="88"/>
        <v>3.2000000000000001E-2</v>
      </c>
      <c r="M146" s="48">
        <f>'Model-R'!O147</f>
        <v>1</v>
      </c>
    </row>
    <row r="147" spans="1:14" ht="15" customHeight="1" outlineLevel="1">
      <c r="B147" s="88"/>
      <c r="C147" s="59"/>
      <c r="D147" s="58"/>
      <c r="E147" s="58"/>
      <c r="F147" s="58"/>
      <c r="G147" s="58"/>
      <c r="H147" s="58"/>
      <c r="I147" s="58"/>
      <c r="J147" s="58"/>
      <c r="K147" s="58"/>
    </row>
    <row r="148" spans="1:14" ht="15" customHeight="1" outlineLevel="1">
      <c r="B148" s="69" t="s">
        <v>37</v>
      </c>
      <c r="C148" s="52"/>
      <c r="D148" s="57"/>
      <c r="E148" s="57"/>
      <c r="F148" s="57"/>
      <c r="G148" s="57"/>
      <c r="H148" s="57"/>
      <c r="I148" s="57"/>
      <c r="J148" s="57"/>
      <c r="K148" s="57"/>
    </row>
    <row r="149" spans="1:14" ht="15" customHeight="1" outlineLevel="1">
      <c r="B149" s="50" t="s">
        <v>22</v>
      </c>
      <c r="D149" s="51">
        <f>D152-D151-D150</f>
        <v>19218</v>
      </c>
      <c r="E149" s="51">
        <f>D152</f>
        <v>19262.999999999996</v>
      </c>
      <c r="F149" s="51">
        <f t="shared" ref="F149:K149" si="89">E152</f>
        <v>20371</v>
      </c>
      <c r="G149" s="51">
        <f t="shared" si="89"/>
        <v>21175.000000000004</v>
      </c>
      <c r="H149" s="51">
        <f t="shared" si="89"/>
        <v>23216.723576470591</v>
      </c>
      <c r="I149" s="51">
        <f t="shared" si="89"/>
        <v>24609.726991058826</v>
      </c>
      <c r="J149" s="51">
        <f t="shared" si="89"/>
        <v>26086.31061052236</v>
      </c>
      <c r="K149" s="51">
        <f t="shared" si="89"/>
        <v>27651.489247153702</v>
      </c>
      <c r="M149" s="48">
        <f>'Model-R'!O150</f>
        <v>1</v>
      </c>
    </row>
    <row r="150" spans="1:14" ht="15" customHeight="1" outlineLevel="1">
      <c r="B150" s="50" t="s">
        <v>36</v>
      </c>
      <c r="D150" s="51">
        <f>-D102</f>
        <v>3004.9999999999973</v>
      </c>
      <c r="E150" s="51">
        <f t="shared" ref="E150:K150" si="90">-E102</f>
        <v>3911.0000000000018</v>
      </c>
      <c r="F150" s="51">
        <f t="shared" si="90"/>
        <v>3710.8353600000046</v>
      </c>
      <c r="G150" s="51">
        <f>G152-G151-G149</f>
        <v>5199.197982870588</v>
      </c>
      <c r="H150" s="51">
        <f t="shared" ref="H150:K150" si="91">H152-H151-H149</f>
        <v>4739.9262853722357</v>
      </c>
      <c r="I150" s="51">
        <f t="shared" si="91"/>
        <v>5024.3218624945766</v>
      </c>
      <c r="J150" s="51">
        <f t="shared" si="91"/>
        <v>5325.7811742442464</v>
      </c>
      <c r="K150" s="51">
        <f t="shared" si="91"/>
        <v>5645.3280446989011</v>
      </c>
      <c r="M150" s="48">
        <f>'Model-R'!O151</f>
        <v>1</v>
      </c>
    </row>
    <row r="151" spans="1:14" ht="15" customHeight="1" outlineLevel="1">
      <c r="B151" s="50" t="s">
        <v>35</v>
      </c>
      <c r="D151" s="51">
        <f>D41</f>
        <v>-2960</v>
      </c>
      <c r="E151" s="51">
        <f t="shared" ref="E151:K151" si="92">E41</f>
        <v>-2803</v>
      </c>
      <c r="F151" s="51">
        <f t="shared" si="92"/>
        <v>-2906.83536</v>
      </c>
      <c r="G151" s="51">
        <f>-G144*G146</f>
        <v>-3157.4744064000001</v>
      </c>
      <c r="H151" s="51">
        <f t="shared" ref="H151:K151" si="93">-H144*H146</f>
        <v>-3346.9228707840007</v>
      </c>
      <c r="I151" s="51">
        <f t="shared" si="93"/>
        <v>-3547.7382430310408</v>
      </c>
      <c r="J151" s="51">
        <f t="shared" si="93"/>
        <v>-3760.6025376129037</v>
      </c>
      <c r="K151" s="51">
        <f t="shared" si="93"/>
        <v>-3986.2386898696777</v>
      </c>
      <c r="M151" s="48">
        <f>'Model-R'!O152</f>
        <v>1</v>
      </c>
    </row>
    <row r="152" spans="1:14" ht="15" customHeight="1" outlineLevel="1">
      <c r="B152" s="69" t="s">
        <v>34</v>
      </c>
      <c r="C152" s="52"/>
      <c r="D152" s="68">
        <f>D64</f>
        <v>19262.999999999996</v>
      </c>
      <c r="E152" s="67">
        <f>SUM(E149:E151)</f>
        <v>20371</v>
      </c>
      <c r="F152" s="67">
        <f t="shared" ref="F152:K152" si="94">SUM(F149:F151)</f>
        <v>21175.000000000004</v>
      </c>
      <c r="G152" s="67">
        <f>G144/G145</f>
        <v>23216.723576470591</v>
      </c>
      <c r="H152" s="67">
        <f t="shared" ref="H152:K152" si="95">H144/H145</f>
        <v>24609.726991058826</v>
      </c>
      <c r="I152" s="67">
        <f t="shared" si="95"/>
        <v>26086.31061052236</v>
      </c>
      <c r="J152" s="67">
        <f t="shared" si="95"/>
        <v>27651.489247153702</v>
      </c>
      <c r="K152" s="67">
        <f t="shared" si="95"/>
        <v>29310.578601982925</v>
      </c>
      <c r="M152" s="48">
        <f>'Model-R'!O153</f>
        <v>1</v>
      </c>
      <c r="N152" s="87"/>
    </row>
    <row r="153" spans="1:14" ht="15" customHeight="1" outlineLevel="1">
      <c r="B153" s="86"/>
      <c r="C153" s="86"/>
      <c r="D153" s="85"/>
      <c r="E153" s="85"/>
      <c r="F153" s="85"/>
      <c r="G153" s="85"/>
      <c r="H153" s="85"/>
      <c r="I153" s="85"/>
      <c r="J153" s="85"/>
      <c r="K153" s="85"/>
    </row>
    <row r="154" spans="1:14" ht="15" customHeight="1">
      <c r="D154" s="57"/>
      <c r="E154" s="57"/>
      <c r="F154" s="57"/>
      <c r="G154" s="57"/>
      <c r="H154" s="57"/>
      <c r="I154" s="57"/>
      <c r="J154" s="57"/>
      <c r="K154" s="57"/>
    </row>
    <row r="155" spans="1:14" s="47" customFormat="1" ht="15" customHeight="1">
      <c r="A155" s="47" t="s">
        <v>0</v>
      </c>
      <c r="B155" s="64" t="s">
        <v>33</v>
      </c>
      <c r="C155" s="64"/>
      <c r="D155" s="64"/>
      <c r="E155" s="64"/>
      <c r="F155" s="64"/>
      <c r="G155" s="64"/>
      <c r="H155" s="64"/>
      <c r="I155" s="64"/>
      <c r="J155" s="64"/>
      <c r="K155" s="64"/>
    </row>
    <row r="156" spans="1:14" s="47" customFormat="1" ht="15" customHeight="1" outlineLevel="1">
      <c r="B156" s="63"/>
      <c r="C156" s="63"/>
      <c r="D156" s="62"/>
      <c r="E156" s="62"/>
      <c r="F156" s="62"/>
      <c r="G156" s="62"/>
      <c r="H156" s="62"/>
      <c r="I156" s="62"/>
      <c r="J156" s="62"/>
      <c r="K156" s="62"/>
    </row>
    <row r="157" spans="1:14" ht="15" customHeight="1" outlineLevel="1" thickBot="1">
      <c r="B157" s="59" t="s">
        <v>18</v>
      </c>
      <c r="C157" s="59"/>
      <c r="D157" s="61">
        <f t="shared" ref="D157:K157" si="96">+D$4</f>
        <v>-2</v>
      </c>
      <c r="E157" s="61">
        <f t="shared" si="96"/>
        <v>-1</v>
      </c>
      <c r="F157" s="61">
        <f t="shared" si="96"/>
        <v>0</v>
      </c>
      <c r="G157" s="60">
        <f t="shared" si="96"/>
        <v>1</v>
      </c>
      <c r="H157" s="60">
        <f t="shared" si="96"/>
        <v>2</v>
      </c>
      <c r="I157" s="60">
        <f t="shared" si="96"/>
        <v>3</v>
      </c>
      <c r="J157" s="60">
        <f t="shared" si="96"/>
        <v>4</v>
      </c>
      <c r="K157" s="60">
        <f t="shared" si="96"/>
        <v>5</v>
      </c>
    </row>
    <row r="158" spans="1:14" ht="15" customHeight="1" outlineLevel="1">
      <c r="B158" s="59"/>
      <c r="C158" s="59"/>
      <c r="D158" s="58"/>
      <c r="E158" s="58"/>
      <c r="F158" s="58"/>
      <c r="G158" s="58"/>
      <c r="H158" s="58"/>
      <c r="I158" s="58"/>
      <c r="J158" s="58"/>
      <c r="K158" s="58"/>
    </row>
    <row r="159" spans="1:14" ht="15" customHeight="1" outlineLevel="1">
      <c r="B159" s="52" t="s">
        <v>30</v>
      </c>
      <c r="C159" s="52"/>
      <c r="D159" s="84"/>
      <c r="E159" s="84"/>
      <c r="F159" s="84"/>
      <c r="G159" s="84"/>
      <c r="H159" s="84"/>
      <c r="I159" s="84"/>
      <c r="J159" s="84"/>
      <c r="K159" s="84"/>
    </row>
    <row r="160" spans="1:14" ht="15" customHeight="1" outlineLevel="1">
      <c r="B160" s="52" t="s">
        <v>32</v>
      </c>
      <c r="C160" s="52"/>
      <c r="D160" s="57"/>
      <c r="E160" s="57"/>
      <c r="F160" s="57"/>
      <c r="G160" s="57"/>
      <c r="H160" s="57"/>
      <c r="I160" s="57"/>
      <c r="J160" s="57"/>
      <c r="K160" s="57"/>
    </row>
    <row r="161" spans="2:13" ht="15" customHeight="1" outlineLevel="1">
      <c r="B161" s="50" t="s">
        <v>22</v>
      </c>
      <c r="D161" s="83">
        <f>D163-D162</f>
        <v>20000</v>
      </c>
      <c r="E161" s="83">
        <f>D163</f>
        <v>20000</v>
      </c>
      <c r="F161" s="83">
        <f t="shared" ref="F161:K161" si="97">E163</f>
        <v>20000</v>
      </c>
      <c r="G161" s="83">
        <f t="shared" si="97"/>
        <v>20000</v>
      </c>
      <c r="H161" s="83">
        <f t="shared" si="97"/>
        <v>20000</v>
      </c>
      <c r="I161" s="83">
        <f t="shared" si="97"/>
        <v>20000</v>
      </c>
      <c r="J161" s="83">
        <f t="shared" si="97"/>
        <v>20000</v>
      </c>
      <c r="K161" s="83">
        <f t="shared" si="97"/>
        <v>20000</v>
      </c>
      <c r="M161" s="48">
        <f>'Model-R'!O162</f>
        <v>1</v>
      </c>
    </row>
    <row r="162" spans="2:13" ht="15" customHeight="1" outlineLevel="1">
      <c r="B162" s="50" t="s">
        <v>25</v>
      </c>
      <c r="D162" s="82">
        <f>D108</f>
        <v>0</v>
      </c>
      <c r="E162" s="51">
        <f>E163-E161</f>
        <v>0</v>
      </c>
      <c r="F162" s="51">
        <f t="shared" ref="F162:K162" si="98">F163-F161</f>
        <v>0</v>
      </c>
      <c r="G162" s="51">
        <f t="shared" si="98"/>
        <v>0</v>
      </c>
      <c r="H162" s="51">
        <f t="shared" si="98"/>
        <v>0</v>
      </c>
      <c r="I162" s="51">
        <f t="shared" si="98"/>
        <v>0</v>
      </c>
      <c r="J162" s="51">
        <f t="shared" si="98"/>
        <v>0</v>
      </c>
      <c r="K162" s="51">
        <f t="shared" si="98"/>
        <v>0</v>
      </c>
      <c r="M162" s="48">
        <f>'Model-R'!O163</f>
        <v>1</v>
      </c>
    </row>
    <row r="163" spans="2:13" ht="15" customHeight="1" outlineLevel="1">
      <c r="B163" s="69" t="s">
        <v>31</v>
      </c>
      <c r="C163" s="52"/>
      <c r="D163" s="67">
        <f>D24</f>
        <v>20000</v>
      </c>
      <c r="E163" s="67">
        <f t="shared" ref="E163:K163" si="99">E24</f>
        <v>20000</v>
      </c>
      <c r="F163" s="67">
        <f t="shared" si="99"/>
        <v>20000</v>
      </c>
      <c r="G163" s="67">
        <f t="shared" si="99"/>
        <v>20000</v>
      </c>
      <c r="H163" s="67">
        <f t="shared" si="99"/>
        <v>20000</v>
      </c>
      <c r="I163" s="67">
        <f t="shared" si="99"/>
        <v>20000</v>
      </c>
      <c r="J163" s="67">
        <f t="shared" si="99"/>
        <v>20000</v>
      </c>
      <c r="K163" s="67">
        <f t="shared" si="99"/>
        <v>20000</v>
      </c>
      <c r="M163" s="48">
        <f>'Model-R'!O164</f>
        <v>1</v>
      </c>
    </row>
    <row r="164" spans="2:13" ht="15" customHeight="1" outlineLevel="1">
      <c r="B164" s="43" t="s">
        <v>30</v>
      </c>
      <c r="D164" s="57"/>
      <c r="E164" s="57"/>
      <c r="F164" s="57"/>
      <c r="G164" s="57"/>
      <c r="H164" s="57"/>
      <c r="I164" s="57"/>
      <c r="J164" s="57"/>
      <c r="K164" s="57"/>
    </row>
    <row r="165" spans="2:13" ht="15" customHeight="1" outlineLevel="1">
      <c r="B165" s="50" t="s">
        <v>29</v>
      </c>
      <c r="C165" s="52"/>
      <c r="D165" s="81">
        <f>D15</f>
        <v>6.2E-2</v>
      </c>
      <c r="E165" s="80">
        <f t="shared" ref="E165:K165" si="100">E15</f>
        <v>6.2E-2</v>
      </c>
      <c r="F165" s="80">
        <f t="shared" si="100"/>
        <v>6.2E-2</v>
      </c>
      <c r="G165" s="80">
        <f t="shared" si="100"/>
        <v>6.2E-2</v>
      </c>
      <c r="H165" s="80">
        <f t="shared" si="100"/>
        <v>6.2E-2</v>
      </c>
      <c r="I165" s="80">
        <f t="shared" si="100"/>
        <v>6.2E-2</v>
      </c>
      <c r="J165" s="80">
        <f t="shared" si="100"/>
        <v>6.2E-2</v>
      </c>
      <c r="K165" s="79">
        <f t="shared" si="100"/>
        <v>6.2E-2</v>
      </c>
      <c r="M165" s="48">
        <f>'Model-R'!O166</f>
        <v>1</v>
      </c>
    </row>
    <row r="166" spans="2:13" ht="15" customHeight="1" outlineLevel="1">
      <c r="B166" s="50"/>
      <c r="C166" s="52"/>
      <c r="D166" s="78"/>
      <c r="E166" s="78"/>
      <c r="F166" s="78"/>
      <c r="G166" s="78"/>
      <c r="H166" s="78"/>
      <c r="I166" s="78"/>
      <c r="J166" s="78"/>
      <c r="K166" s="78"/>
    </row>
    <row r="167" spans="2:13" ht="15" customHeight="1" outlineLevel="1">
      <c r="B167" s="50" t="s">
        <v>28</v>
      </c>
      <c r="D167" s="51">
        <f>-D44</f>
        <v>1240</v>
      </c>
      <c r="E167" s="51">
        <f t="shared" ref="E167:K167" si="101">-E44</f>
        <v>1240</v>
      </c>
      <c r="F167" s="51">
        <f t="shared" si="101"/>
        <v>1240</v>
      </c>
      <c r="G167" s="51">
        <f>G165*AVERAGE(G161,G163)</f>
        <v>1240</v>
      </c>
      <c r="H167" s="51">
        <f t="shared" ref="H167:K167" si="102">H165*AVERAGE(H161,H163)</f>
        <v>1240</v>
      </c>
      <c r="I167" s="51">
        <f t="shared" si="102"/>
        <v>1240</v>
      </c>
      <c r="J167" s="51">
        <f t="shared" si="102"/>
        <v>1240</v>
      </c>
      <c r="K167" s="51">
        <f t="shared" si="102"/>
        <v>1240</v>
      </c>
      <c r="M167" s="48">
        <f>'Model-R'!O168</f>
        <v>1</v>
      </c>
    </row>
    <row r="168" spans="2:13" ht="15" customHeight="1" outlineLevel="1">
      <c r="B168" s="69" t="s">
        <v>27</v>
      </c>
      <c r="C168" s="52"/>
      <c r="D168" s="67">
        <f>SUM(D167)</f>
        <v>1240</v>
      </c>
      <c r="E168" s="67">
        <f t="shared" ref="E168:K168" si="103">SUM(E167)</f>
        <v>1240</v>
      </c>
      <c r="F168" s="67">
        <f t="shared" si="103"/>
        <v>1240</v>
      </c>
      <c r="G168" s="67">
        <f t="shared" si="103"/>
        <v>1240</v>
      </c>
      <c r="H168" s="67">
        <f t="shared" ref="H168" si="104">SUM(H167)</f>
        <v>1240</v>
      </c>
      <c r="I168" s="67">
        <f t="shared" ref="I168" si="105">SUM(I167)</f>
        <v>1240</v>
      </c>
      <c r="J168" s="67">
        <f t="shared" ref="J168" si="106">SUM(J167)</f>
        <v>1240</v>
      </c>
      <c r="K168" s="67">
        <f t="shared" ref="K168" si="107">SUM(K167)</f>
        <v>1240</v>
      </c>
      <c r="M168" s="48">
        <f>'Model-R'!O169</f>
        <v>1</v>
      </c>
    </row>
    <row r="169" spans="2:13" ht="15" customHeight="1" outlineLevel="1">
      <c r="D169" s="57"/>
      <c r="E169" s="57"/>
      <c r="F169" s="57"/>
      <c r="G169" s="57"/>
      <c r="H169" s="57"/>
      <c r="I169" s="57"/>
      <c r="J169" s="57"/>
      <c r="K169" s="57"/>
    </row>
    <row r="170" spans="2:13" ht="15" customHeight="1" outlineLevel="1">
      <c r="B170" s="52" t="s">
        <v>26</v>
      </c>
      <c r="D170" s="57"/>
      <c r="E170" s="57"/>
      <c r="F170" s="57"/>
      <c r="G170" s="57"/>
      <c r="H170" s="57"/>
      <c r="I170" s="57"/>
      <c r="J170" s="57"/>
      <c r="K170" s="57"/>
    </row>
    <row r="171" spans="2:13" ht="15" customHeight="1" outlineLevel="1">
      <c r="B171" s="50" t="s">
        <v>22</v>
      </c>
      <c r="D171" s="77">
        <f>D173-D172</f>
        <v>7627</v>
      </c>
      <c r="E171" s="77">
        <f>D173</f>
        <v>7627</v>
      </c>
      <c r="F171" s="77">
        <f t="shared" ref="F171:K171" si="108">E173</f>
        <v>7627</v>
      </c>
      <c r="G171" s="77">
        <f t="shared" si="108"/>
        <v>7627</v>
      </c>
      <c r="H171" s="77">
        <f t="shared" si="108"/>
        <v>7627</v>
      </c>
      <c r="I171" s="77">
        <f t="shared" si="108"/>
        <v>7627</v>
      </c>
      <c r="J171" s="77">
        <f t="shared" si="108"/>
        <v>7627</v>
      </c>
      <c r="K171" s="77">
        <f t="shared" si="108"/>
        <v>7627</v>
      </c>
      <c r="M171" s="48">
        <f>'Model-R'!O172</f>
        <v>1</v>
      </c>
    </row>
    <row r="172" spans="2:13" ht="15" customHeight="1" outlineLevel="1">
      <c r="B172" s="50" t="s">
        <v>25</v>
      </c>
      <c r="D172" s="57">
        <f>D106</f>
        <v>0</v>
      </c>
      <c r="E172" s="77">
        <f>E173-E171</f>
        <v>0</v>
      </c>
      <c r="F172" s="77">
        <f t="shared" ref="F172:K172" si="109">F173-F171</f>
        <v>0</v>
      </c>
      <c r="G172" s="77">
        <f t="shared" si="109"/>
        <v>0</v>
      </c>
      <c r="H172" s="77">
        <f t="shared" si="109"/>
        <v>0</v>
      </c>
      <c r="I172" s="77">
        <f t="shared" si="109"/>
        <v>0</v>
      </c>
      <c r="J172" s="77">
        <f t="shared" si="109"/>
        <v>0</v>
      </c>
      <c r="K172" s="77">
        <f t="shared" si="109"/>
        <v>0</v>
      </c>
      <c r="M172" s="48">
        <f>'Model-R'!O173</f>
        <v>1</v>
      </c>
    </row>
    <row r="173" spans="2:13" ht="15" customHeight="1" outlineLevel="1">
      <c r="B173" s="69" t="s">
        <v>24</v>
      </c>
      <c r="D173" s="76">
        <f>D25</f>
        <v>7627</v>
      </c>
      <c r="E173" s="76">
        <f t="shared" ref="E173:K173" si="110">E25</f>
        <v>7627</v>
      </c>
      <c r="F173" s="76">
        <f t="shared" si="110"/>
        <v>7627</v>
      </c>
      <c r="G173" s="76">
        <f t="shared" si="110"/>
        <v>7627</v>
      </c>
      <c r="H173" s="76">
        <f t="shared" si="110"/>
        <v>7627</v>
      </c>
      <c r="I173" s="76">
        <f t="shared" si="110"/>
        <v>7627</v>
      </c>
      <c r="J173" s="76">
        <f t="shared" si="110"/>
        <v>7627</v>
      </c>
      <c r="K173" s="76">
        <f t="shared" si="110"/>
        <v>7627</v>
      </c>
      <c r="M173" s="48">
        <f>'Model-R'!O174</f>
        <v>1</v>
      </c>
    </row>
    <row r="174" spans="2:13" ht="15" customHeight="1" outlineLevel="1">
      <c r="D174" s="57"/>
      <c r="E174" s="57"/>
      <c r="F174" s="57"/>
      <c r="G174" s="57"/>
      <c r="H174" s="57"/>
      <c r="I174" s="57"/>
      <c r="J174" s="57"/>
      <c r="K174" s="57"/>
    </row>
    <row r="175" spans="2:13" ht="15" customHeight="1" outlineLevel="1">
      <c r="B175" s="50" t="s">
        <v>14</v>
      </c>
      <c r="D175" s="75">
        <f>D48</f>
        <v>5185</v>
      </c>
      <c r="E175" s="74">
        <f t="shared" ref="E175:K175" si="111">E48</f>
        <v>7549</v>
      </c>
      <c r="F175" s="74">
        <f t="shared" si="111"/>
        <v>8708.1928560000015</v>
      </c>
      <c r="G175" s="74">
        <f t="shared" si="111"/>
        <v>5697.1961088000044</v>
      </c>
      <c r="H175" s="74">
        <f t="shared" si="111"/>
        <v>6539.6538753280038</v>
      </c>
      <c r="I175" s="74">
        <f t="shared" si="111"/>
        <v>7450.8451078476883</v>
      </c>
      <c r="J175" s="74">
        <f t="shared" si="111"/>
        <v>8435.6358143185553</v>
      </c>
      <c r="K175" s="73">
        <f t="shared" si="111"/>
        <v>9499.2679631776664</v>
      </c>
      <c r="M175" s="48">
        <f>'Model-R'!O176</f>
        <v>1</v>
      </c>
    </row>
    <row r="176" spans="2:13" ht="15" customHeight="1" outlineLevel="1">
      <c r="B176" s="50" t="s">
        <v>21</v>
      </c>
      <c r="D176" s="72">
        <f>D50</f>
        <v>4312</v>
      </c>
      <c r="E176" s="71">
        <f t="shared" ref="E176:K176" si="112">E50</f>
        <v>4209</v>
      </c>
      <c r="F176" s="71">
        <f t="shared" si="112"/>
        <v>2930.9750848000026</v>
      </c>
      <c r="G176" s="71">
        <f t="shared" si="112"/>
        <v>3988.0372761600029</v>
      </c>
      <c r="H176" s="71">
        <f t="shared" si="112"/>
        <v>4577.7577127296026</v>
      </c>
      <c r="I176" s="71">
        <f t="shared" si="112"/>
        <v>5215.5915754933812</v>
      </c>
      <c r="J176" s="71">
        <f t="shared" si="112"/>
        <v>5904.9450700229881</v>
      </c>
      <c r="K176" s="70">
        <f t="shared" si="112"/>
        <v>6649.4875742243657</v>
      </c>
      <c r="M176" s="48">
        <f>'Model-R'!O177</f>
        <v>1</v>
      </c>
    </row>
    <row r="177" spans="1:13" ht="15" customHeight="1" outlineLevel="1">
      <c r="D177" s="57"/>
      <c r="E177" s="57"/>
      <c r="F177" s="57"/>
      <c r="G177" s="57"/>
      <c r="H177" s="57"/>
      <c r="I177" s="57"/>
      <c r="J177" s="57"/>
      <c r="K177" s="57"/>
    </row>
    <row r="178" spans="1:13" ht="15" customHeight="1" outlineLevel="1">
      <c r="B178" s="52" t="s">
        <v>23</v>
      </c>
      <c r="C178" s="52"/>
      <c r="D178" s="57"/>
      <c r="E178" s="57"/>
      <c r="F178" s="57"/>
      <c r="G178" s="57"/>
      <c r="H178" s="57"/>
      <c r="I178" s="57"/>
      <c r="J178" s="57"/>
      <c r="K178" s="57"/>
    </row>
    <row r="179" spans="1:13" ht="15" customHeight="1" outlineLevel="1">
      <c r="B179" s="50" t="s">
        <v>22</v>
      </c>
      <c r="D179" s="51">
        <f>D182-D181-D180</f>
        <v>4816</v>
      </c>
      <c r="E179" s="51">
        <f>D182</f>
        <v>5689</v>
      </c>
      <c r="F179" s="51">
        <f t="shared" ref="F179:K179" si="113">E182</f>
        <v>9029</v>
      </c>
      <c r="G179" s="51">
        <f t="shared" si="113"/>
        <v>14806.217771199999</v>
      </c>
      <c r="H179" s="51">
        <f t="shared" si="113"/>
        <v>16515.376603839999</v>
      </c>
      <c r="I179" s="51">
        <f t="shared" si="113"/>
        <v>18477.2727664384</v>
      </c>
      <c r="J179" s="51">
        <f t="shared" si="113"/>
        <v>20712.526298792705</v>
      </c>
      <c r="K179" s="51">
        <f t="shared" si="113"/>
        <v>23243.217043088276</v>
      </c>
      <c r="M179" s="48">
        <f>'Model-R'!O180</f>
        <v>1</v>
      </c>
    </row>
    <row r="180" spans="1:13" ht="15" customHeight="1" outlineLevel="1">
      <c r="B180" s="50" t="s">
        <v>14</v>
      </c>
      <c r="D180" s="51">
        <f>D175</f>
        <v>5185</v>
      </c>
      <c r="E180" s="51">
        <f>E175</f>
        <v>7549</v>
      </c>
      <c r="F180" s="51">
        <f t="shared" ref="F180:K180" si="114">F175</f>
        <v>8708.1928560000015</v>
      </c>
      <c r="G180" s="51">
        <f t="shared" si="114"/>
        <v>5697.1961088000044</v>
      </c>
      <c r="H180" s="51">
        <f t="shared" si="114"/>
        <v>6539.6538753280038</v>
      </c>
      <c r="I180" s="51">
        <f t="shared" si="114"/>
        <v>7450.8451078476883</v>
      </c>
      <c r="J180" s="51">
        <f t="shared" si="114"/>
        <v>8435.6358143185553</v>
      </c>
      <c r="K180" s="51">
        <f t="shared" si="114"/>
        <v>9499.2679631776664</v>
      </c>
      <c r="M180" s="48">
        <f>'Model-R'!O181</f>
        <v>1</v>
      </c>
    </row>
    <row r="181" spans="1:13" ht="15" customHeight="1" outlineLevel="1">
      <c r="B181" s="50" t="s">
        <v>21</v>
      </c>
      <c r="D181" s="51">
        <f>-D176</f>
        <v>-4312</v>
      </c>
      <c r="E181" s="51">
        <f>-E176</f>
        <v>-4209</v>
      </c>
      <c r="F181" s="51">
        <f t="shared" ref="F181:K181" si="115">-F176</f>
        <v>-2930.9750848000026</v>
      </c>
      <c r="G181" s="51">
        <f t="shared" si="115"/>
        <v>-3988.0372761600029</v>
      </c>
      <c r="H181" s="51">
        <f t="shared" si="115"/>
        <v>-4577.7577127296026</v>
      </c>
      <c r="I181" s="51">
        <f t="shared" si="115"/>
        <v>-5215.5915754933812</v>
      </c>
      <c r="J181" s="51">
        <f t="shared" si="115"/>
        <v>-5904.9450700229881</v>
      </c>
      <c r="K181" s="51">
        <f t="shared" si="115"/>
        <v>-6649.4875742243657</v>
      </c>
      <c r="M181" s="48">
        <f>'Model-R'!O182</f>
        <v>1</v>
      </c>
    </row>
    <row r="182" spans="1:13" ht="15" customHeight="1" outlineLevel="1">
      <c r="B182" s="69" t="s">
        <v>20</v>
      </c>
      <c r="C182" s="52"/>
      <c r="D182" s="68">
        <f>D78</f>
        <v>5689</v>
      </c>
      <c r="E182" s="67">
        <f>SUM(E179:E181)</f>
        <v>9029</v>
      </c>
      <c r="F182" s="67">
        <f t="shared" ref="F182:K182" si="116">SUM(F179:F181)</f>
        <v>14806.217771199999</v>
      </c>
      <c r="G182" s="67">
        <f t="shared" si="116"/>
        <v>16515.376603839999</v>
      </c>
      <c r="H182" s="67">
        <f t="shared" si="116"/>
        <v>18477.2727664384</v>
      </c>
      <c r="I182" s="67">
        <f t="shared" si="116"/>
        <v>20712.526298792705</v>
      </c>
      <c r="J182" s="67">
        <f t="shared" si="116"/>
        <v>23243.217043088276</v>
      </c>
      <c r="K182" s="67">
        <f t="shared" si="116"/>
        <v>26092.997432041579</v>
      </c>
      <c r="M182" s="48">
        <f>'Model-R'!O183</f>
        <v>1</v>
      </c>
    </row>
    <row r="183" spans="1:13" ht="15" customHeight="1" outlineLevel="1">
      <c r="B183" s="52"/>
      <c r="C183" s="52"/>
      <c r="D183" s="66"/>
      <c r="E183" s="66"/>
      <c r="F183" s="66"/>
      <c r="G183" s="66"/>
      <c r="H183" s="66"/>
      <c r="I183" s="66"/>
      <c r="J183" s="66"/>
      <c r="K183" s="66"/>
    </row>
    <row r="184" spans="1:13" ht="15" customHeight="1" outlineLevel="1">
      <c r="B184" s="44"/>
      <c r="C184" s="44"/>
      <c r="D184" s="65"/>
      <c r="E184" s="65"/>
      <c r="F184" s="65"/>
      <c r="G184" s="65"/>
      <c r="H184" s="65"/>
      <c r="I184" s="65"/>
      <c r="J184" s="65"/>
      <c r="K184" s="65"/>
    </row>
    <row r="185" spans="1:13" ht="15" customHeight="1">
      <c r="D185" s="57"/>
      <c r="E185" s="57"/>
      <c r="F185" s="57"/>
      <c r="G185" s="57"/>
      <c r="H185" s="57"/>
      <c r="I185" s="57"/>
      <c r="J185" s="57"/>
      <c r="K185" s="57"/>
    </row>
    <row r="186" spans="1:13" s="47" customFormat="1" ht="15" customHeight="1">
      <c r="A186" s="47" t="s">
        <v>0</v>
      </c>
      <c r="B186" s="64" t="s">
        <v>19</v>
      </c>
      <c r="C186" s="64"/>
      <c r="D186" s="64"/>
      <c r="E186" s="64"/>
      <c r="F186" s="64"/>
      <c r="G186" s="64"/>
      <c r="H186" s="64"/>
      <c r="I186" s="64"/>
      <c r="J186" s="64"/>
      <c r="K186" s="64"/>
    </row>
    <row r="187" spans="1:13" s="47" customFormat="1" ht="15" customHeight="1" outlineLevel="1">
      <c r="B187" s="63"/>
      <c r="C187" s="63"/>
      <c r="D187" s="62"/>
      <c r="E187" s="62"/>
      <c r="F187" s="62"/>
      <c r="G187" s="62"/>
      <c r="H187" s="62"/>
      <c r="I187" s="62"/>
      <c r="J187" s="62"/>
      <c r="K187" s="62"/>
    </row>
    <row r="188" spans="1:13" ht="15" customHeight="1" outlineLevel="1" thickBot="1">
      <c r="B188" s="59" t="s">
        <v>18</v>
      </c>
      <c r="C188" s="59"/>
      <c r="D188" s="61">
        <f t="shared" ref="D188:K188" si="117">+D$4</f>
        <v>-2</v>
      </c>
      <c r="E188" s="61">
        <f t="shared" si="117"/>
        <v>-1</v>
      </c>
      <c r="F188" s="61">
        <f t="shared" si="117"/>
        <v>0</v>
      </c>
      <c r="G188" s="60">
        <f t="shared" si="117"/>
        <v>1</v>
      </c>
      <c r="H188" s="60">
        <f t="shared" si="117"/>
        <v>2</v>
      </c>
      <c r="I188" s="60">
        <f t="shared" si="117"/>
        <v>3</v>
      </c>
      <c r="J188" s="60">
        <f t="shared" si="117"/>
        <v>4</v>
      </c>
      <c r="K188" s="60">
        <f t="shared" si="117"/>
        <v>5</v>
      </c>
    </row>
    <row r="189" spans="1:13" ht="15" customHeight="1" outlineLevel="1">
      <c r="B189" s="59"/>
      <c r="C189" s="59"/>
      <c r="D189" s="58"/>
      <c r="E189" s="58"/>
      <c r="F189" s="58"/>
      <c r="G189" s="58"/>
      <c r="H189" s="58"/>
      <c r="I189" s="58"/>
      <c r="J189" s="58"/>
      <c r="K189" s="58"/>
    </row>
    <row r="190" spans="1:13" ht="15" customHeight="1" outlineLevel="1">
      <c r="B190" s="52" t="s">
        <v>7</v>
      </c>
      <c r="C190" s="52"/>
      <c r="D190" s="57"/>
      <c r="E190" s="57"/>
      <c r="F190" s="57"/>
      <c r="G190" s="57"/>
      <c r="H190" s="57"/>
      <c r="I190" s="57"/>
      <c r="J190" s="57"/>
      <c r="K190" s="57"/>
    </row>
    <row r="191" spans="1:13" ht="15" customHeight="1" outlineLevel="1">
      <c r="B191" s="50" t="s">
        <v>17</v>
      </c>
      <c r="D191" s="51">
        <f>D34</f>
        <v>81422</v>
      </c>
      <c r="E191" s="51">
        <f t="shared" ref="E191:K191" si="118">E34</f>
        <v>86698</v>
      </c>
      <c r="F191" s="51">
        <f t="shared" si="118"/>
        <v>93085.92</v>
      </c>
      <c r="G191" s="51">
        <f t="shared" si="118"/>
        <v>98671.075200000007</v>
      </c>
      <c r="H191" s="51">
        <f t="shared" si="118"/>
        <v>104591.33971200002</v>
      </c>
      <c r="I191" s="51">
        <f t="shared" si="118"/>
        <v>110866.82009472002</v>
      </c>
      <c r="J191" s="51">
        <f t="shared" si="118"/>
        <v>117518.82930040323</v>
      </c>
      <c r="K191" s="51">
        <f t="shared" si="118"/>
        <v>124569.95905842743</v>
      </c>
      <c r="M191" s="48">
        <f>'Model-R'!O192</f>
        <v>1</v>
      </c>
    </row>
    <row r="192" spans="1:13" ht="15" customHeight="1" outlineLevel="1">
      <c r="B192" s="50" t="s">
        <v>16</v>
      </c>
      <c r="D192" s="51">
        <f>D42-D41</f>
        <v>12146</v>
      </c>
      <c r="E192" s="51">
        <f t="shared" ref="E192:K192" si="119">E42-E41</f>
        <v>14021</v>
      </c>
      <c r="F192" s="51">
        <f t="shared" si="119"/>
        <v>14425.193440000003</v>
      </c>
      <c r="G192" s="51">
        <f t="shared" si="119"/>
        <v>12536.325990400006</v>
      </c>
      <c r="H192" s="51">
        <f t="shared" si="119"/>
        <v>13929.285549824006</v>
      </c>
      <c r="I192" s="51">
        <f t="shared" si="119"/>
        <v>15431.802682813453</v>
      </c>
      <c r="J192" s="51">
        <f t="shared" si="119"/>
        <v>17051.510843782267</v>
      </c>
      <c r="K192" s="51">
        <f t="shared" si="119"/>
        <v>18796.621494409203</v>
      </c>
      <c r="M192" s="48">
        <f>'Model-R'!O193</f>
        <v>1</v>
      </c>
    </row>
    <row r="193" spans="1:13" ht="15" customHeight="1" outlineLevel="1">
      <c r="B193" s="55" t="s">
        <v>15</v>
      </c>
      <c r="C193" s="54"/>
      <c r="D193" s="53">
        <f>D192/D191</f>
        <v>0.14917344206725455</v>
      </c>
      <c r="E193" s="53">
        <f t="shared" ref="E193:K193" si="120">E192/E191</f>
        <v>0.16172230039908647</v>
      </c>
      <c r="F193" s="53">
        <f t="shared" si="120"/>
        <v>0.15496643788878064</v>
      </c>
      <c r="G193" s="53">
        <f t="shared" si="120"/>
        <v>0.12705168120434149</v>
      </c>
      <c r="H193" s="53">
        <f t="shared" si="120"/>
        <v>0.13317819226887545</v>
      </c>
      <c r="I193" s="53">
        <f t="shared" si="120"/>
        <v>0.13919225490213538</v>
      </c>
      <c r="J193" s="53">
        <f t="shared" si="120"/>
        <v>0.14509598968344864</v>
      </c>
      <c r="K193" s="53">
        <f t="shared" si="120"/>
        <v>0.15089209016752558</v>
      </c>
      <c r="M193" s="48">
        <f>'Model-R'!O194</f>
        <v>1</v>
      </c>
    </row>
    <row r="194" spans="1:13" ht="15" customHeight="1" outlineLevel="1">
      <c r="B194" s="55"/>
      <c r="C194" s="54"/>
      <c r="D194" s="56"/>
      <c r="E194" s="56"/>
      <c r="F194" s="56"/>
      <c r="G194" s="56"/>
      <c r="H194" s="56"/>
      <c r="I194" s="56"/>
      <c r="J194" s="56"/>
      <c r="K194" s="56"/>
    </row>
    <row r="195" spans="1:13" ht="15" customHeight="1" outlineLevel="1">
      <c r="B195" s="50" t="s">
        <v>14</v>
      </c>
      <c r="D195" s="51">
        <f>D48</f>
        <v>5185</v>
      </c>
      <c r="E195" s="51">
        <f t="shared" ref="E195:K195" si="121">E48</f>
        <v>7549</v>
      </c>
      <c r="F195" s="51">
        <f t="shared" si="121"/>
        <v>8708.1928560000015</v>
      </c>
      <c r="G195" s="51">
        <f t="shared" si="121"/>
        <v>5697.1961088000044</v>
      </c>
      <c r="H195" s="51">
        <f t="shared" si="121"/>
        <v>6539.6538753280038</v>
      </c>
      <c r="I195" s="51">
        <f t="shared" si="121"/>
        <v>7450.8451078476883</v>
      </c>
      <c r="J195" s="51">
        <f t="shared" si="121"/>
        <v>8435.6358143185553</v>
      </c>
      <c r="K195" s="51">
        <f t="shared" si="121"/>
        <v>9499.2679631776664</v>
      </c>
      <c r="M195" s="48">
        <f>'Model-R'!O196</f>
        <v>1</v>
      </c>
    </row>
    <row r="196" spans="1:13" ht="15" customHeight="1" outlineLevel="1">
      <c r="B196" s="55" t="s">
        <v>13</v>
      </c>
      <c r="C196" s="54"/>
      <c r="D196" s="53">
        <f>D195/D191</f>
        <v>6.3680577730834423E-2</v>
      </c>
      <c r="E196" s="53">
        <f t="shared" ref="E196:K196" si="122">E195/E191</f>
        <v>8.7072366144547747E-2</v>
      </c>
      <c r="F196" s="53">
        <f t="shared" si="122"/>
        <v>9.3550054143526767E-2</v>
      </c>
      <c r="G196" s="53">
        <f t="shared" si="122"/>
        <v>5.773927260093345E-2</v>
      </c>
      <c r="H196" s="53">
        <f t="shared" si="122"/>
        <v>6.2525768322075459E-2</v>
      </c>
      <c r="I196" s="53">
        <f t="shared" si="122"/>
        <v>6.7205364972874618E-2</v>
      </c>
      <c r="J196" s="53">
        <f t="shared" si="122"/>
        <v>7.1781142345753529E-2</v>
      </c>
      <c r="K196" s="53">
        <f t="shared" si="122"/>
        <v>7.6256491010984404E-2</v>
      </c>
      <c r="M196" s="48">
        <f>'Model-R'!O197</f>
        <v>1</v>
      </c>
    </row>
    <row r="197" spans="1:13" ht="15" customHeight="1" outlineLevel="1"/>
    <row r="198" spans="1:13" ht="15" customHeight="1" outlineLevel="1">
      <c r="B198" s="52" t="s">
        <v>12</v>
      </c>
      <c r="C198" s="52"/>
    </row>
    <row r="199" spans="1:13" ht="15" customHeight="1" outlineLevel="1">
      <c r="B199" s="50" t="s">
        <v>11</v>
      </c>
      <c r="D199" s="51">
        <f>D99</f>
        <v>6935</v>
      </c>
      <c r="E199" s="51">
        <f t="shared" ref="E199:K199" si="123">E99</f>
        <v>8749</v>
      </c>
      <c r="F199" s="51">
        <f t="shared" si="123"/>
        <v>10882.593892712332</v>
      </c>
      <c r="G199" s="51">
        <f t="shared" si="123"/>
        <v>7678.8463615719502</v>
      </c>
      <c r="H199" s="51">
        <f t="shared" si="123"/>
        <v>9229.4462174970613</v>
      </c>
      <c r="I199" s="51">
        <f t="shared" si="123"/>
        <v>10304.908770546886</v>
      </c>
      <c r="J199" s="51">
        <f t="shared" si="123"/>
        <v>11463.944736779709</v>
      </c>
      <c r="K199" s="51">
        <f t="shared" si="123"/>
        <v>12712.407840986491</v>
      </c>
      <c r="M199" s="48">
        <f>'Model-R'!O200</f>
        <v>1</v>
      </c>
    </row>
    <row r="200" spans="1:13" ht="15" customHeight="1" outlineLevel="1">
      <c r="B200" s="50" t="s">
        <v>10</v>
      </c>
      <c r="D200" s="51">
        <f>D103</f>
        <v>-3004.9999999999973</v>
      </c>
      <c r="E200" s="51">
        <f t="shared" ref="E200:K200" si="124">E103</f>
        <v>-3911.0000000000018</v>
      </c>
      <c r="F200" s="51">
        <f t="shared" si="124"/>
        <v>-3710.8353600000046</v>
      </c>
      <c r="G200" s="51">
        <f t="shared" si="124"/>
        <v>-5199.197982870588</v>
      </c>
      <c r="H200" s="51">
        <f t="shared" si="124"/>
        <v>-4739.9262853722357</v>
      </c>
      <c r="I200" s="51">
        <f t="shared" si="124"/>
        <v>-5024.3218624945766</v>
      </c>
      <c r="J200" s="51">
        <f t="shared" si="124"/>
        <v>-5325.7811742442464</v>
      </c>
      <c r="K200" s="51">
        <f t="shared" si="124"/>
        <v>-5645.3280446989011</v>
      </c>
      <c r="M200" s="48">
        <f>'Model-R'!O201</f>
        <v>1</v>
      </c>
    </row>
    <row r="201" spans="1:13" ht="15" customHeight="1" outlineLevel="1">
      <c r="B201" s="50" t="s">
        <v>9</v>
      </c>
      <c r="D201" s="51">
        <f>D109</f>
        <v>-4312</v>
      </c>
      <c r="E201" s="51">
        <f t="shared" ref="E201:K201" si="125">E109</f>
        <v>-4209</v>
      </c>
      <c r="F201" s="51">
        <f t="shared" si="125"/>
        <v>-2930.9750848000026</v>
      </c>
      <c r="G201" s="51">
        <f t="shared" si="125"/>
        <v>-3988.0372761600029</v>
      </c>
      <c r="H201" s="51">
        <f t="shared" si="125"/>
        <v>-4577.7577127296026</v>
      </c>
      <c r="I201" s="51">
        <f t="shared" si="125"/>
        <v>-5215.5915754933812</v>
      </c>
      <c r="J201" s="51">
        <f t="shared" si="125"/>
        <v>-5904.9450700229881</v>
      </c>
      <c r="K201" s="51">
        <f t="shared" si="125"/>
        <v>-6649.4875742243657</v>
      </c>
      <c r="M201" s="48">
        <f>'Model-R'!O202</f>
        <v>1</v>
      </c>
    </row>
    <row r="202" spans="1:13" ht="15" customHeight="1" outlineLevel="1" thickBot="1">
      <c r="B202" s="50" t="s">
        <v>8</v>
      </c>
      <c r="D202" s="49">
        <f>SUM(D199:D201)</f>
        <v>-381.99999999999727</v>
      </c>
      <c r="E202" s="49">
        <f t="shared" ref="E202:K202" si="126">SUM(E199:E201)</f>
        <v>628.99999999999818</v>
      </c>
      <c r="F202" s="49">
        <f t="shared" si="126"/>
        <v>4240.7834479123248</v>
      </c>
      <c r="G202" s="49">
        <f t="shared" si="126"/>
        <v>-1508.3888974586407</v>
      </c>
      <c r="H202" s="49">
        <f t="shared" si="126"/>
        <v>-88.237780604777072</v>
      </c>
      <c r="I202" s="49">
        <f t="shared" si="126"/>
        <v>64.995332558928567</v>
      </c>
      <c r="J202" s="49">
        <f t="shared" si="126"/>
        <v>233.21849251247477</v>
      </c>
      <c r="K202" s="49">
        <f t="shared" si="126"/>
        <v>417.59222206322374</v>
      </c>
      <c r="M202" s="48">
        <f>'Model-R'!O203</f>
        <v>1</v>
      </c>
    </row>
    <row r="203" spans="1:13" ht="15" customHeight="1" outlineLevel="1"/>
    <row r="204" spans="1:13" ht="15" customHeight="1" outlineLevel="1"/>
    <row r="205" spans="1:13" ht="15" customHeight="1" outlineLevel="1">
      <c r="A205" s="47" t="s">
        <v>0</v>
      </c>
      <c r="B205" s="46" t="s">
        <v>7</v>
      </c>
      <c r="C205" s="46"/>
      <c r="D205" s="46"/>
      <c r="E205" s="46"/>
      <c r="G205" s="45" t="s">
        <v>6</v>
      </c>
      <c r="H205" s="45"/>
      <c r="I205" s="45"/>
      <c r="J205" s="45"/>
      <c r="K205" s="45"/>
    </row>
    <row r="206" spans="1:13" ht="15" customHeight="1" outlineLevel="1"/>
    <row r="207" spans="1:13" ht="15" customHeight="1" outlineLevel="1"/>
    <row r="208" spans="1:13" ht="15" customHeight="1" outlineLevel="1"/>
    <row r="209" spans="1:11" ht="15" customHeight="1" outlineLevel="1"/>
    <row r="210" spans="1:11" ht="15" customHeight="1" outlineLevel="1"/>
    <row r="211" spans="1:11" ht="15" customHeight="1" outlineLevel="1"/>
    <row r="212" spans="1:11" ht="15" customHeight="1" outlineLevel="1"/>
    <row r="213" spans="1:11" ht="15" customHeight="1" outlineLevel="1"/>
    <row r="214" spans="1:11" ht="15" customHeight="1" outlineLevel="1"/>
    <row r="215" spans="1:11" ht="15" customHeight="1" outlineLevel="1"/>
    <row r="216" spans="1:11" ht="15" customHeight="1" outlineLevel="1"/>
    <row r="217" spans="1:11" ht="15" customHeight="1" outlineLevel="1"/>
    <row r="218" spans="1:11" ht="15" customHeight="1" outlineLevel="1"/>
    <row r="219" spans="1:11" ht="15" customHeight="1" outlineLevel="1"/>
    <row r="220" spans="1:11" ht="15" customHeight="1" outlineLevel="1"/>
    <row r="221" spans="1:11" ht="15" customHeight="1" outlineLevel="1"/>
    <row r="222" spans="1:11" ht="15" customHeight="1" outlineLevel="1"/>
    <row r="223" spans="1:11" ht="15" customHeight="1" outlineLevel="1">
      <c r="A223" s="43" t="s">
        <v>0</v>
      </c>
      <c r="B223" s="44"/>
      <c r="C223" s="44"/>
      <c r="D223" s="44"/>
      <c r="E223" s="44"/>
      <c r="F223" s="44"/>
      <c r="G223" s="44"/>
      <c r="H223" s="44"/>
      <c r="I223" s="44"/>
      <c r="J223" s="44"/>
      <c r="K223" s="44"/>
    </row>
  </sheetData>
  <conditionalFormatting sqref="D83:K83">
    <cfRule type="expression" dxfId="1" priority="1">
      <formula>D$83&lt;&gt;0</formula>
    </cfRule>
  </conditionalFormatting>
  <printOptions horizontalCentered="1"/>
  <pageMargins left="0.11799999999999999" right="0.11799999999999999" top="0.11799999999999999" bottom="0.11799999999999999" header="0.11799999999999999" footer="0.11799999999999999"/>
  <pageSetup scale="86" orientation="landscape" r:id="rId1"/>
  <headerFooter>
    <oddFooter>&amp;L&amp;"Open Sans,Bold"&amp;K002060Introduction to 3-Statement Modeling&amp;C&amp;"Open Sans,Bold"&amp;K002060Page &amp;P of &amp;N&amp;R&amp;"Open Sans,Bold"&amp;K002060&amp;G</oddFooter>
  </headerFooter>
  <ignoredErrors>
    <ignoredError sqref="D15:F15" formulaRange="1"/>
  </ignoredError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B32B-5243-456F-83DC-A213D7841498}">
  <sheetPr>
    <tabColor theme="1"/>
  </sheetPr>
  <dimension ref="A1:R225"/>
  <sheetViews>
    <sheetView showGridLines="0" zoomScaleNormal="100" zoomScaleSheetLayoutView="70" workbookViewId="0">
      <pane ySplit="1" topLeftCell="A2" activePane="bottomLeft" state="frozen"/>
      <selection pane="bottomLeft"/>
    </sheetView>
  </sheetViews>
  <sheetFormatPr baseColWidth="10" defaultColWidth="9.1640625" defaultRowHeight="15" customHeight="1" outlineLevelRow="1"/>
  <cols>
    <col min="1" max="1" width="9.1640625" style="43"/>
    <col min="2" max="2" width="41.1640625" style="43" customWidth="1"/>
    <col min="3" max="11" width="13.1640625" style="43" customWidth="1"/>
    <col min="12" max="12" width="2.5" style="43" customWidth="1"/>
    <col min="13" max="15" width="12.6640625" style="43" customWidth="1"/>
    <col min="16" max="16384" width="9.1640625" style="43"/>
  </cols>
  <sheetData>
    <row r="1" spans="1:18" s="155" customFormat="1" ht="55" customHeight="1">
      <c r="A1" s="157"/>
      <c r="B1" s="35"/>
      <c r="C1" s="35"/>
      <c r="D1" s="35"/>
      <c r="E1" s="35"/>
      <c r="F1" s="158"/>
      <c r="G1" s="158"/>
      <c r="H1" s="158"/>
      <c r="I1" s="158"/>
      <c r="J1" s="158"/>
      <c r="K1" s="158"/>
      <c r="L1" s="157"/>
      <c r="M1" s="157"/>
      <c r="P1" s="156"/>
    </row>
    <row r="3" spans="1:18" s="47" customFormat="1" ht="15" customHeight="1">
      <c r="A3" s="47" t="s">
        <v>0</v>
      </c>
      <c r="B3" s="64" t="s">
        <v>107</v>
      </c>
      <c r="C3" s="64"/>
      <c r="D3" s="64"/>
      <c r="E3" s="64"/>
      <c r="F3" s="64"/>
      <c r="G3" s="64"/>
      <c r="H3" s="64"/>
      <c r="I3" s="64"/>
      <c r="J3" s="64"/>
      <c r="K3" s="64"/>
    </row>
    <row r="4" spans="1:18" ht="15" customHeight="1" outlineLevel="1">
      <c r="B4" s="52"/>
      <c r="C4" s="52"/>
      <c r="G4" s="132"/>
      <c r="H4" s="132"/>
      <c r="I4" s="132"/>
      <c r="J4" s="132"/>
      <c r="K4" s="132"/>
    </row>
    <row r="5" spans="1:18" s="143" customFormat="1" ht="15" customHeight="1" outlineLevel="1" thickBot="1">
      <c r="A5" s="144"/>
      <c r="B5" s="59" t="s">
        <v>18</v>
      </c>
      <c r="C5" s="59"/>
      <c r="D5" s="154">
        <v>-2</v>
      </c>
      <c r="E5" s="61">
        <f t="shared" ref="E5:K5" si="0">+D5+1</f>
        <v>-1</v>
      </c>
      <c r="F5" s="61">
        <f t="shared" si="0"/>
        <v>0</v>
      </c>
      <c r="G5" s="60">
        <f t="shared" si="0"/>
        <v>1</v>
      </c>
      <c r="H5" s="60">
        <f t="shared" si="0"/>
        <v>2</v>
      </c>
      <c r="I5" s="60">
        <f t="shared" si="0"/>
        <v>3</v>
      </c>
      <c r="J5" s="60">
        <f t="shared" si="0"/>
        <v>4</v>
      </c>
      <c r="K5" s="60">
        <f t="shared" si="0"/>
        <v>5</v>
      </c>
      <c r="L5" s="144"/>
      <c r="M5" s="144"/>
      <c r="N5" s="144"/>
      <c r="O5" s="144"/>
      <c r="P5" s="144"/>
    </row>
    <row r="6" spans="1:18" ht="15" customHeight="1" outlineLevel="1">
      <c r="B6" s="52"/>
      <c r="C6" s="52"/>
      <c r="G6" s="132"/>
      <c r="H6" s="132"/>
      <c r="I6" s="132"/>
      <c r="J6" s="132"/>
      <c r="K6" s="132"/>
    </row>
    <row r="7" spans="1:18" ht="15" customHeight="1" outlineLevel="1">
      <c r="B7" s="52" t="s">
        <v>53</v>
      </c>
      <c r="C7" s="52"/>
      <c r="D7" s="121">
        <v>365</v>
      </c>
      <c r="E7" s="121">
        <v>365</v>
      </c>
      <c r="F7" s="121">
        <v>365</v>
      </c>
      <c r="G7" s="121">
        <v>365</v>
      </c>
      <c r="H7" s="121">
        <v>365</v>
      </c>
      <c r="I7" s="121">
        <v>365</v>
      </c>
      <c r="J7" s="121">
        <v>365</v>
      </c>
      <c r="K7" s="121">
        <v>365</v>
      </c>
    </row>
    <row r="8" spans="1:18" ht="15" customHeight="1" outlineLevel="1"/>
    <row r="9" spans="1:18" ht="15" customHeight="1" outlineLevel="1" thickBot="1">
      <c r="B9" s="52" t="s">
        <v>7</v>
      </c>
      <c r="C9" s="52"/>
      <c r="E9" s="153"/>
      <c r="G9" s="132"/>
      <c r="H9" s="132"/>
      <c r="I9" s="132"/>
      <c r="J9" s="132"/>
      <c r="K9" s="132"/>
      <c r="M9" s="172" t="s">
        <v>110</v>
      </c>
      <c r="N9" s="171" t="s">
        <v>109</v>
      </c>
      <c r="O9" s="170" t="s">
        <v>108</v>
      </c>
    </row>
    <row r="10" spans="1:18" ht="15" customHeight="1" outlineLevel="1">
      <c r="B10" s="50" t="s">
        <v>106</v>
      </c>
      <c r="C10" s="50"/>
      <c r="D10" s="50"/>
      <c r="E10" s="148">
        <f>Model!E34/Model!D34-1</f>
        <v>6.4798211785512594E-2</v>
      </c>
      <c r="F10" s="148">
        <f>Model!F34/Model!E34-1</f>
        <v>7.3680131029550733E-2</v>
      </c>
      <c r="G10" s="146">
        <v>0.06</v>
      </c>
      <c r="H10" s="146">
        <v>0.06</v>
      </c>
      <c r="I10" s="146">
        <v>0.06</v>
      </c>
      <c r="J10" s="146">
        <v>0.06</v>
      </c>
      <c r="K10" s="146">
        <v>0.06</v>
      </c>
      <c r="M10" s="181">
        <f>SUM(Model!E9:F9)</f>
        <v>0.13847834281506333</v>
      </c>
      <c r="N10" s="180">
        <f>SUM(E10:F10)</f>
        <v>0.13847834281506333</v>
      </c>
      <c r="O10" s="162" cm="1">
        <f t="array" ref="O10">IF(SUM(ISBLANK(Model!E9:F9)*1)&gt;0,0,IF(M10=N10,1,0))</f>
        <v>1</v>
      </c>
    </row>
    <row r="11" spans="1:18" ht="15" customHeight="1" outlineLevel="1">
      <c r="B11" s="50" t="s">
        <v>105</v>
      </c>
      <c r="C11" s="50"/>
      <c r="D11" s="148">
        <f>Model!D36/Model!D34</f>
        <v>0.53180958463314587</v>
      </c>
      <c r="E11" s="148">
        <f>Model!E36/Model!E34</f>
        <v>0.56451129207132811</v>
      </c>
      <c r="F11" s="148">
        <f>Model!F36/Model!F34</f>
        <v>0.57417121730117726</v>
      </c>
      <c r="G11" s="146">
        <v>0.55000000000000004</v>
      </c>
      <c r="H11" s="146">
        <v>0.55000000000000004</v>
      </c>
      <c r="I11" s="146">
        <v>0.55000000000000004</v>
      </c>
      <c r="J11" s="146">
        <v>0.55000000000000004</v>
      </c>
      <c r="K11" s="146">
        <v>0.55000000000000004</v>
      </c>
      <c r="M11" s="181">
        <f>SUM(Model!D10:F10)</f>
        <v>1.6704920940056511</v>
      </c>
      <c r="N11" s="180">
        <f t="shared" ref="N11:N17" si="1">SUM(D11:F11)</f>
        <v>1.6704920940056511</v>
      </c>
      <c r="O11" s="162" cm="1">
        <f t="array" ref="O11">IF(SUM(ISBLANK(Model!D10:F10)*1)&gt;0,0,IF(M11=N11,1,0))</f>
        <v>1</v>
      </c>
    </row>
    <row r="12" spans="1:18" ht="15" customHeight="1" outlineLevel="1">
      <c r="B12" s="50" t="s">
        <v>104</v>
      </c>
      <c r="C12" s="50"/>
      <c r="D12" s="148">
        <f>Model!D38/Model!D34*-1</f>
        <v>7.2265481073911231E-2</v>
      </c>
      <c r="E12" s="148">
        <f>Model!E38/Model!E34*-1</f>
        <v>7.4061685390666446E-2</v>
      </c>
      <c r="F12" s="148">
        <f>Model!F38/Model!F34*-1</f>
        <v>6.624003286426132E-2</v>
      </c>
      <c r="G12" s="146">
        <v>7.4999999999999997E-2</v>
      </c>
      <c r="H12" s="146">
        <v>7.4999999999999997E-2</v>
      </c>
      <c r="I12" s="146">
        <v>7.4999999999999997E-2</v>
      </c>
      <c r="J12" s="146">
        <v>7.4999999999999997E-2</v>
      </c>
      <c r="K12" s="146">
        <v>7.4999999999999997E-2</v>
      </c>
      <c r="M12" s="181">
        <f>SUM(Model!D11:F11)</f>
        <v>0.212567199328839</v>
      </c>
      <c r="N12" s="180">
        <f t="shared" si="1"/>
        <v>0.212567199328839</v>
      </c>
      <c r="O12" s="162" cm="1">
        <f t="array" ref="O12">IF(SUM(ISBLANK(Model!D11:F11)*1)&gt;0,0,IF(M12=N12,1,0))</f>
        <v>1</v>
      </c>
    </row>
    <row r="13" spans="1:18" ht="15" customHeight="1" outlineLevel="1">
      <c r="B13" s="50" t="s">
        <v>103</v>
      </c>
      <c r="C13" s="50"/>
      <c r="D13" s="152">
        <f>-Model!D39</f>
        <v>23507</v>
      </c>
      <c r="E13" s="152">
        <f>-Model!E39</f>
        <v>26569</v>
      </c>
      <c r="F13" s="152">
        <f>-Model!F39</f>
        <v>30830.072</v>
      </c>
      <c r="G13" s="151">
        <v>32063</v>
      </c>
      <c r="H13" s="151">
        <v>33346</v>
      </c>
      <c r="I13" s="151">
        <v>34680</v>
      </c>
      <c r="J13" s="151">
        <v>36067</v>
      </c>
      <c r="K13" s="151">
        <v>37509</v>
      </c>
      <c r="M13" s="164">
        <f>SUM(Model!D12:F12)</f>
        <v>80906.072</v>
      </c>
      <c r="N13" s="163">
        <f t="shared" si="1"/>
        <v>80906.072</v>
      </c>
      <c r="O13" s="162" cm="1">
        <f t="array" ref="O13">IF(SUM(ISBLANK(Model!D12:F12)*1)&gt;0,0,IF(M13=N13,1,0))</f>
        <v>1</v>
      </c>
      <c r="P13" s="151"/>
      <c r="Q13" s="151"/>
      <c r="R13" s="151"/>
    </row>
    <row r="14" spans="1:18" ht="15" customHeight="1" outlineLevel="1">
      <c r="B14" s="50" t="s">
        <v>102</v>
      </c>
      <c r="C14" s="50"/>
      <c r="D14" s="148">
        <f>Model!D40/Model!D34*-1</f>
        <v>2.1664906290683107E-2</v>
      </c>
      <c r="E14" s="148">
        <f>Model!E40/Model!E34*-1</f>
        <v>2.2272716787007773E-2</v>
      </c>
      <c r="F14" s="148">
        <f>Model!F40/Model!F34*-1</f>
        <v>2.176458222682872E-2</v>
      </c>
      <c r="G14" s="146">
        <v>2.3E-2</v>
      </c>
      <c r="H14" s="146">
        <v>2.3E-2</v>
      </c>
      <c r="I14" s="146">
        <v>2.3E-2</v>
      </c>
      <c r="J14" s="146">
        <v>2.3E-2</v>
      </c>
      <c r="K14" s="146">
        <v>2.3E-2</v>
      </c>
      <c r="M14" s="181">
        <f>SUM(Model!D13:F13)</f>
        <v>6.570220530451959E-2</v>
      </c>
      <c r="N14" s="180">
        <f t="shared" si="1"/>
        <v>6.570220530451959E-2</v>
      </c>
      <c r="O14" s="162" cm="1">
        <f t="array" ref="O14">IF(SUM(ISBLANK(Model!D13:F13)*1)&gt;0,0,IF(M14=N14,1,0))</f>
        <v>1</v>
      </c>
    </row>
    <row r="15" spans="1:18" ht="15" customHeight="1" outlineLevel="1">
      <c r="B15" s="50" t="s">
        <v>38</v>
      </c>
      <c r="C15" s="50"/>
      <c r="D15" s="148">
        <f>Model!D41/Model!D34*-1</f>
        <v>3.6353811009309525E-2</v>
      </c>
      <c r="E15" s="148">
        <f>Model!E41/Model!E34*-1</f>
        <v>3.2330618930079123E-2</v>
      </c>
      <c r="F15" s="148">
        <f>Model!F41/Model!F34*-1</f>
        <v>3.1227444064580338E-2</v>
      </c>
      <c r="G15" s="146">
        <v>3.2000000000000001E-2</v>
      </c>
      <c r="H15" s="146">
        <v>3.2000000000000001E-2</v>
      </c>
      <c r="I15" s="146">
        <v>3.2000000000000001E-2</v>
      </c>
      <c r="J15" s="146">
        <v>3.2000000000000001E-2</v>
      </c>
      <c r="K15" s="146">
        <v>3.2000000000000001E-2</v>
      </c>
      <c r="M15" s="181">
        <f>SUM(Model!D14:F14)</f>
        <v>9.9911874003968976E-2</v>
      </c>
      <c r="N15" s="180">
        <f t="shared" si="1"/>
        <v>9.9911874003968976E-2</v>
      </c>
      <c r="O15" s="162" cm="1">
        <f t="array" ref="O15">IF(SUM(ISBLANK(Model!D14:F14)*1)&gt;0,0,IF(M15=N15,1,0))</f>
        <v>1</v>
      </c>
    </row>
    <row r="16" spans="1:18" ht="15" customHeight="1" outlineLevel="1">
      <c r="B16" s="50" t="s">
        <v>101</v>
      </c>
      <c r="C16" s="50"/>
      <c r="D16" s="148">
        <f>-Model!D44/AVERAGE(Model!C73:D73)</f>
        <v>6.2E-2</v>
      </c>
      <c r="E16" s="148">
        <f>-Model!E44/AVERAGE(Model!D73:E73)</f>
        <v>6.2E-2</v>
      </c>
      <c r="F16" s="148">
        <f>-Model!F44/AVERAGE(Model!E73:F73)</f>
        <v>6.2E-2</v>
      </c>
      <c r="G16" s="146">
        <v>6.2E-2</v>
      </c>
      <c r="H16" s="146">
        <v>6.2E-2</v>
      </c>
      <c r="I16" s="146">
        <v>6.2E-2</v>
      </c>
      <c r="J16" s="146">
        <v>6.2E-2</v>
      </c>
      <c r="K16" s="146">
        <v>6.2E-2</v>
      </c>
      <c r="L16" s="132"/>
      <c r="M16" s="181">
        <f>SUM(Model!D15:F15)</f>
        <v>0.186</v>
      </c>
      <c r="N16" s="180">
        <f t="shared" si="1"/>
        <v>0.186</v>
      </c>
      <c r="O16" s="162" cm="1">
        <f t="array" ref="O16">IF(SUM(ISBLANK(Model!D15:F15)*1)&gt;0,0,IF(M16=N16,1,0))</f>
        <v>1</v>
      </c>
    </row>
    <row r="17" spans="1:15" ht="15" customHeight="1" outlineLevel="1">
      <c r="B17" s="50" t="s">
        <v>100</v>
      </c>
      <c r="C17" s="50"/>
      <c r="D17" s="148">
        <f>Model!D47/Model!D45*-1</f>
        <v>0.347470425371256</v>
      </c>
      <c r="E17" s="148">
        <f>Model!E47/Model!E45*-1</f>
        <v>0.24343555822810181</v>
      </c>
      <c r="F17" s="148">
        <f>Model!F47/Model!F45*-1</f>
        <v>0.15276420725750778</v>
      </c>
      <c r="G17" s="146">
        <v>0.3</v>
      </c>
      <c r="H17" s="146">
        <v>0.3</v>
      </c>
      <c r="I17" s="146">
        <v>0.3</v>
      </c>
      <c r="J17" s="146">
        <v>0.3</v>
      </c>
      <c r="K17" s="146">
        <v>0.3</v>
      </c>
      <c r="M17" s="169">
        <f>SUM(Model!D16:F16)</f>
        <v>0.74367019085686548</v>
      </c>
      <c r="N17" s="168">
        <f t="shared" si="1"/>
        <v>0.74367019085686548</v>
      </c>
      <c r="O17" s="159" cm="1">
        <f t="array" ref="O17">IF(SUM(ISBLANK(Model!D16:F16)*1)&gt;0,0,IF(M17=N17,1,0))</f>
        <v>1</v>
      </c>
    </row>
    <row r="18" spans="1:15" ht="15" customHeight="1" outlineLevel="1">
      <c r="G18" s="10"/>
      <c r="H18" s="10"/>
      <c r="I18" s="10"/>
      <c r="J18" s="10"/>
      <c r="K18" s="10"/>
    </row>
    <row r="19" spans="1:15" ht="15" customHeight="1" outlineLevel="1">
      <c r="B19" s="52" t="s">
        <v>84</v>
      </c>
      <c r="C19" s="52"/>
      <c r="D19" s="10"/>
      <c r="G19" s="10"/>
      <c r="H19" s="10"/>
      <c r="I19" s="10"/>
      <c r="J19" s="10"/>
      <c r="K19" s="10"/>
    </row>
    <row r="20" spans="1:15" ht="15" customHeight="1" outlineLevel="1">
      <c r="B20" s="50" t="s">
        <v>40</v>
      </c>
      <c r="C20" s="92" t="s">
        <v>39</v>
      </c>
      <c r="D20" s="150">
        <f>Model!D34/Model!D64</f>
        <v>4.2268597830036869</v>
      </c>
      <c r="E20" s="150">
        <f>Model!E34/Model!E64</f>
        <v>4.2559520887536202</v>
      </c>
      <c r="F20" s="150">
        <f>Model!F34/Model!F64</f>
        <v>4.3960292798110974</v>
      </c>
      <c r="G20" s="149">
        <v>4.25</v>
      </c>
      <c r="H20" s="149">
        <v>4.25</v>
      </c>
      <c r="I20" s="149">
        <v>4.25</v>
      </c>
      <c r="J20" s="149">
        <v>4.25</v>
      </c>
      <c r="K20" s="149">
        <v>4.25</v>
      </c>
      <c r="M20" s="183">
        <f>SUM(Model!D19:F19)</f>
        <v>12.878841151568404</v>
      </c>
      <c r="N20" s="182">
        <f t="shared" ref="N20:N27" si="2">SUM(D20:F20)</f>
        <v>12.878841151568404</v>
      </c>
      <c r="O20" s="165" cm="1">
        <f t="array" ref="O20">IF(SUM(ISBLANK(Model!D19:F19)*1)&gt;0,0,IF(M20=N20,1,0))</f>
        <v>1</v>
      </c>
    </row>
    <row r="21" spans="1:15" ht="15" customHeight="1" outlineLevel="1">
      <c r="B21" s="50" t="s">
        <v>99</v>
      </c>
      <c r="C21" s="92" t="s">
        <v>50</v>
      </c>
      <c r="D21" s="51">
        <f>Model!D60/Model!D34*Model!D6</f>
        <v>56.864545208911593</v>
      </c>
      <c r="E21" s="51">
        <f>Model!E60/Model!E34*Model!E6</f>
        <v>59.251770513737341</v>
      </c>
      <c r="F21" s="51">
        <f>Model!F60/Model!F34*Model!F6</f>
        <v>57.723457210284863</v>
      </c>
      <c r="G21" s="121">
        <v>60</v>
      </c>
      <c r="H21" s="121">
        <v>60</v>
      </c>
      <c r="I21" s="121">
        <v>60</v>
      </c>
      <c r="J21" s="121">
        <v>60</v>
      </c>
      <c r="K21" s="121">
        <v>60</v>
      </c>
      <c r="M21" s="164">
        <f>SUM(Model!D20:F20)</f>
        <v>173.83977293293378</v>
      </c>
      <c r="N21" s="163">
        <f t="shared" si="2"/>
        <v>173.83977293293378</v>
      </c>
      <c r="O21" s="162" cm="1">
        <f t="array" ref="O21">IF(SUM(ISBLANK(Model!D20:F20)*1)&gt;0,0,IF(M21=N21,1,0))</f>
        <v>1</v>
      </c>
    </row>
    <row r="22" spans="1:15" ht="15" customHeight="1" outlineLevel="1">
      <c r="B22" s="50" t="s">
        <v>98</v>
      </c>
      <c r="C22" s="92" t="s">
        <v>50</v>
      </c>
      <c r="D22" s="51">
        <f>Model!D61/-Model!D35*Model!D6</f>
        <v>68.631987618373074</v>
      </c>
      <c r="E22" s="51">
        <f>Model!E61/-Model!E35*Model!E6</f>
        <v>74.351493802309562</v>
      </c>
      <c r="F22" s="51">
        <f>Model!F61/-Model!F35*Model!F6</f>
        <v>74</v>
      </c>
      <c r="G22" s="121">
        <v>75</v>
      </c>
      <c r="H22" s="121">
        <v>75</v>
      </c>
      <c r="I22" s="121">
        <v>75</v>
      </c>
      <c r="J22" s="121">
        <v>75</v>
      </c>
      <c r="K22" s="121">
        <v>75</v>
      </c>
      <c r="M22" s="164">
        <f>SUM(Model!D21:F21)</f>
        <v>216.98348142068264</v>
      </c>
      <c r="N22" s="163">
        <f t="shared" si="2"/>
        <v>216.98348142068264</v>
      </c>
      <c r="O22" s="162" cm="1">
        <f t="array" ref="O22">IF(SUM(ISBLANK(Model!D21:F21)*1)&gt;0,0,IF(M22=N22,1,0))</f>
        <v>1</v>
      </c>
    </row>
    <row r="23" spans="1:15" ht="15" customHeight="1" outlineLevel="1">
      <c r="B23" s="50" t="s">
        <v>97</v>
      </c>
      <c r="C23" s="92" t="s">
        <v>50</v>
      </c>
      <c r="D23" s="51">
        <f>Model!D69/-Model!D35*Model!D6</f>
        <v>95.757325358726149</v>
      </c>
      <c r="E23" s="51">
        <f>Model!E69/-Model!E35*Model!E6</f>
        <v>101.54571458840979</v>
      </c>
      <c r="F23" s="51">
        <f>Model!F69/-Model!F35*Model!F6</f>
        <v>102</v>
      </c>
      <c r="G23" s="121">
        <v>100</v>
      </c>
      <c r="H23" s="121">
        <v>100</v>
      </c>
      <c r="I23" s="121">
        <v>100</v>
      </c>
      <c r="J23" s="121">
        <v>100</v>
      </c>
      <c r="K23" s="121">
        <v>100</v>
      </c>
      <c r="M23" s="164">
        <f>SUM(Model!D22:F22)</f>
        <v>299.30303994713597</v>
      </c>
      <c r="N23" s="163">
        <f t="shared" si="2"/>
        <v>299.30303994713597</v>
      </c>
      <c r="O23" s="162" cm="1">
        <f t="array" ref="O23">IF(SUM(ISBLANK(Model!D22:F22)*1)&gt;0,0,IF(M23=N23,1,0))</f>
        <v>1</v>
      </c>
    </row>
    <row r="24" spans="1:15" ht="15" customHeight="1" outlineLevel="1">
      <c r="B24" s="50" t="s">
        <v>49</v>
      </c>
      <c r="C24" s="50"/>
      <c r="D24" s="148">
        <f>Model!D70/-Model!D47</f>
        <v>0.39406012314378847</v>
      </c>
      <c r="E24" s="148">
        <f>Model!E70/-Model!E47</f>
        <v>0.36805269658295597</v>
      </c>
      <c r="F24" s="148">
        <f>Model!F70/-Model!F47</f>
        <v>0.37002475352237196</v>
      </c>
      <c r="G24" s="146">
        <v>0.37</v>
      </c>
      <c r="H24" s="146">
        <v>0.37</v>
      </c>
      <c r="I24" s="146">
        <v>0.37</v>
      </c>
      <c r="J24" s="146">
        <v>0.37</v>
      </c>
      <c r="K24" s="146">
        <v>0.37</v>
      </c>
      <c r="M24" s="181">
        <f>SUM(Model!D23:F23)</f>
        <v>1.1321375732491163</v>
      </c>
      <c r="N24" s="180">
        <f t="shared" si="2"/>
        <v>1.1321375732491163</v>
      </c>
      <c r="O24" s="162" cm="1">
        <f t="array" ref="O24">IF(SUM(ISBLANK(Model!D23:F23)*1)&gt;0,0,IF(M24=N24,1,0))</f>
        <v>1</v>
      </c>
    </row>
    <row r="25" spans="1:15" ht="15" customHeight="1" outlineLevel="1">
      <c r="B25" s="50" t="s">
        <v>96</v>
      </c>
      <c r="C25" s="50"/>
      <c r="D25" s="51">
        <f>Model!D73</f>
        <v>20000</v>
      </c>
      <c r="E25" s="51">
        <f>Model!E73</f>
        <v>20000</v>
      </c>
      <c r="F25" s="51">
        <f>Model!F73</f>
        <v>20000</v>
      </c>
      <c r="G25" s="121">
        <v>20000</v>
      </c>
      <c r="H25" s="121">
        <v>20000</v>
      </c>
      <c r="I25" s="121">
        <v>20000</v>
      </c>
      <c r="J25" s="121">
        <v>20000</v>
      </c>
      <c r="K25" s="121">
        <v>20000</v>
      </c>
      <c r="M25" s="164">
        <f>SUM(Model!D24:F24)</f>
        <v>60000</v>
      </c>
      <c r="N25" s="163">
        <f t="shared" si="2"/>
        <v>60000</v>
      </c>
      <c r="O25" s="162" cm="1">
        <f t="array" ref="O25">IF(SUM(ISBLANK(Model!D24:F24)*1)&gt;0,0,IF(M25=N25,1,0))</f>
        <v>1</v>
      </c>
    </row>
    <row r="26" spans="1:15" ht="15" customHeight="1" outlineLevel="1">
      <c r="B26" s="50" t="s">
        <v>95</v>
      </c>
      <c r="C26" s="50"/>
      <c r="D26" s="51">
        <f>Model!D77</f>
        <v>7627</v>
      </c>
      <c r="E26" s="51">
        <f>Model!E77</f>
        <v>7627</v>
      </c>
      <c r="F26" s="51">
        <f>Model!F77</f>
        <v>7627</v>
      </c>
      <c r="G26" s="121">
        <v>7627</v>
      </c>
      <c r="H26" s="121">
        <v>7627</v>
      </c>
      <c r="I26" s="121">
        <v>7627</v>
      </c>
      <c r="J26" s="121">
        <v>7627</v>
      </c>
      <c r="K26" s="121">
        <v>7627</v>
      </c>
      <c r="M26" s="164">
        <f>SUM(Model!D25:F25)</f>
        <v>22881</v>
      </c>
      <c r="N26" s="163">
        <f t="shared" si="2"/>
        <v>22881</v>
      </c>
      <c r="O26" s="162" cm="1">
        <f t="array" ref="O26">IF(SUM(ISBLANK(Model!D25:F25)*1)&gt;0,0,IF(M26=N26,1,0))</f>
        <v>1</v>
      </c>
    </row>
    <row r="27" spans="1:15" ht="15" customHeight="1" outlineLevel="1">
      <c r="B27" s="50" t="s">
        <v>94</v>
      </c>
      <c r="C27" s="50"/>
      <c r="D27" s="148">
        <f>Model!D50/Model!D48</f>
        <v>0.83162970106075218</v>
      </c>
      <c r="E27" s="148">
        <f>Model!E50/Model!E48</f>
        <v>0.55755729235660356</v>
      </c>
      <c r="F27" s="148">
        <f>Model!F50/Model!F48</f>
        <v>0.33657673104707847</v>
      </c>
      <c r="G27" s="146">
        <v>0.7</v>
      </c>
      <c r="H27" s="146">
        <v>0.7</v>
      </c>
      <c r="I27" s="146">
        <v>0.7</v>
      </c>
      <c r="J27" s="146">
        <v>0.7</v>
      </c>
      <c r="K27" s="146">
        <v>0.7</v>
      </c>
      <c r="M27" s="169">
        <f>SUM(Model!D26:F26)</f>
        <v>1.7257637244644342</v>
      </c>
      <c r="N27" s="168">
        <f t="shared" si="2"/>
        <v>1.7257637244644342</v>
      </c>
      <c r="O27" s="159" cm="1">
        <f t="array" ref="O27">IF(SUM(ISBLANK(Model!D26:F26)*1)&gt;0,0,IF(M27=N27,1,0))</f>
        <v>1</v>
      </c>
    </row>
    <row r="28" spans="1:15" ht="15" customHeight="1" outlineLevel="1">
      <c r="B28" s="50"/>
      <c r="C28" s="50"/>
      <c r="D28" s="147"/>
      <c r="E28" s="147"/>
      <c r="F28" s="147"/>
      <c r="G28" s="146"/>
      <c r="H28" s="146"/>
      <c r="I28" s="146"/>
      <c r="J28" s="146"/>
      <c r="K28" s="146"/>
    </row>
    <row r="29" spans="1:15" ht="15" customHeight="1" outlineLevel="1">
      <c r="B29" s="44"/>
      <c r="C29" s="44"/>
      <c r="D29" s="145"/>
      <c r="E29" s="145"/>
      <c r="F29" s="145"/>
      <c r="G29" s="145"/>
      <c r="H29" s="145"/>
      <c r="I29" s="145"/>
      <c r="J29" s="145"/>
      <c r="K29" s="145"/>
    </row>
    <row r="30" spans="1:15" ht="15" customHeight="1">
      <c r="G30" s="132"/>
      <c r="H30" s="132"/>
      <c r="I30" s="132"/>
      <c r="J30" s="132"/>
      <c r="K30" s="132"/>
    </row>
    <row r="31" spans="1:15" s="47" customFormat="1" ht="15" customHeight="1">
      <c r="A31" s="47" t="s">
        <v>0</v>
      </c>
      <c r="B31" s="64" t="s">
        <v>7</v>
      </c>
      <c r="C31" s="64"/>
      <c r="D31" s="64"/>
      <c r="E31" s="64"/>
      <c r="F31" s="64"/>
      <c r="G31" s="64"/>
      <c r="H31" s="64"/>
      <c r="I31" s="64"/>
      <c r="J31" s="64"/>
      <c r="K31" s="64"/>
    </row>
    <row r="32" spans="1:15" s="47" customFormat="1" ht="15" customHeight="1" outlineLevel="1"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1:16" s="143" customFormat="1" ht="15" customHeight="1" outlineLevel="1" thickBot="1">
      <c r="A33" s="144"/>
      <c r="B33" s="59" t="s">
        <v>18</v>
      </c>
      <c r="C33" s="59"/>
      <c r="D33" s="61">
        <f t="shared" ref="D33:K33" si="3">+D$5</f>
        <v>-2</v>
      </c>
      <c r="E33" s="61">
        <f t="shared" si="3"/>
        <v>-1</v>
      </c>
      <c r="F33" s="61">
        <f t="shared" si="3"/>
        <v>0</v>
      </c>
      <c r="G33" s="60">
        <f t="shared" si="3"/>
        <v>1</v>
      </c>
      <c r="H33" s="60">
        <f t="shared" si="3"/>
        <v>2</v>
      </c>
      <c r="I33" s="60">
        <f t="shared" si="3"/>
        <v>3</v>
      </c>
      <c r="J33" s="60">
        <f t="shared" si="3"/>
        <v>4</v>
      </c>
      <c r="K33" s="60">
        <f t="shared" si="3"/>
        <v>5</v>
      </c>
      <c r="L33" s="144"/>
      <c r="M33" s="144"/>
      <c r="N33" s="144"/>
      <c r="O33" s="144"/>
      <c r="P33" s="144"/>
    </row>
    <row r="34" spans="1:16" ht="15" customHeight="1" outlineLevel="1" thickBot="1">
      <c r="B34" s="52"/>
      <c r="C34" s="52"/>
      <c r="G34" s="132"/>
      <c r="H34" s="132"/>
      <c r="I34" s="132"/>
      <c r="J34" s="132"/>
      <c r="K34" s="132"/>
      <c r="M34" s="172" t="s">
        <v>110</v>
      </c>
      <c r="N34" s="171" t="s">
        <v>109</v>
      </c>
      <c r="O34" s="170" t="s">
        <v>108</v>
      </c>
    </row>
    <row r="35" spans="1:16" ht="15" customHeight="1" outlineLevel="1">
      <c r="B35" s="50" t="s">
        <v>93</v>
      </c>
      <c r="C35" s="50"/>
      <c r="D35" s="121">
        <v>81422</v>
      </c>
      <c r="E35" s="121">
        <v>86698</v>
      </c>
      <c r="F35" s="121">
        <v>93085.92</v>
      </c>
      <c r="G35" s="51">
        <f>Model!F34*(1+Model!G9)</f>
        <v>98671.075200000007</v>
      </c>
      <c r="H35" s="51">
        <f>Model!G34*(1+Model!H9)</f>
        <v>104591.33971200002</v>
      </c>
      <c r="I35" s="51">
        <f>Model!H34*(1+Model!I9)</f>
        <v>110866.82009472002</v>
      </c>
      <c r="J35" s="51">
        <f>Model!I34*(1+Model!J9)</f>
        <v>117518.82930040323</v>
      </c>
      <c r="K35" s="51">
        <f>Model!J34*(1+Model!K9)</f>
        <v>124569.95905842743</v>
      </c>
      <c r="M35" s="164">
        <f>SUM(Model!G34:K34)</f>
        <v>556218.02336555067</v>
      </c>
      <c r="N35" s="163">
        <f>SUM(G35:K35)</f>
        <v>556218.02336555067</v>
      </c>
      <c r="O35" s="162" cm="1">
        <f t="array" ref="O35">IF(SUM(ISBLANK(Model!G34:K34)*1)&gt;0,0,IF(M35=N35,1,0))</f>
        <v>1</v>
      </c>
    </row>
    <row r="36" spans="1:16" ht="15" customHeight="1" outlineLevel="1">
      <c r="B36" s="50" t="s">
        <v>52</v>
      </c>
      <c r="C36" s="50"/>
      <c r="D36" s="142">
        <v>-38121</v>
      </c>
      <c r="E36" s="142">
        <v>-37756</v>
      </c>
      <c r="F36" s="142">
        <v>-39638.663999999997</v>
      </c>
      <c r="G36" s="83">
        <f>(1-Model!G10)*Model!G34*-1</f>
        <v>-44401.983840000001</v>
      </c>
      <c r="H36" s="83">
        <f>(1-Model!H10)*Model!H34*-1</f>
        <v>-47066.102870400005</v>
      </c>
      <c r="I36" s="83">
        <f>(1-Model!I10)*Model!I34*-1</f>
        <v>-49890.069042624003</v>
      </c>
      <c r="J36" s="83">
        <f>(1-Model!J10)*Model!J34*-1</f>
        <v>-52883.47318518145</v>
      </c>
      <c r="K36" s="83">
        <f>(1-Model!K10)*Model!K34*-1</f>
        <v>-56056.481576292339</v>
      </c>
      <c r="M36" s="164">
        <f>SUM(Model!G35:K35)</f>
        <v>-250298.11051449779</v>
      </c>
      <c r="N36" s="163">
        <f>SUM(G36:K36)</f>
        <v>-250298.11051449779</v>
      </c>
      <c r="O36" s="162" cm="1">
        <f t="array" ref="O36">IF(SUM(ISBLANK(Model!G35:K35)*1)&gt;0,0,IF(M36=N36,1,0))</f>
        <v>1</v>
      </c>
    </row>
    <row r="37" spans="1:16" ht="15" customHeight="1" outlineLevel="1">
      <c r="B37" s="69" t="s">
        <v>92</v>
      </c>
      <c r="C37" s="69"/>
      <c r="D37" s="67">
        <f>SUM(Model!D34:D35)</f>
        <v>43301</v>
      </c>
      <c r="E37" s="67">
        <f>SUM(Model!E34:E35)</f>
        <v>48942</v>
      </c>
      <c r="F37" s="67">
        <f>SUM(Model!F34:F35)</f>
        <v>53447.256000000001</v>
      </c>
      <c r="G37" s="67">
        <f>SUM(Model!G34:G35)</f>
        <v>54269.091360000006</v>
      </c>
      <c r="H37" s="67">
        <f>SUM(Model!H34:H35)</f>
        <v>57525.23684160001</v>
      </c>
      <c r="I37" s="67">
        <f>SUM(Model!I34:I35)</f>
        <v>60976.75105209602</v>
      </c>
      <c r="J37" s="67">
        <f>SUM(Model!J34:J35)</f>
        <v>64635.356115221781</v>
      </c>
      <c r="K37" s="67">
        <f>SUM(Model!K34:K35)</f>
        <v>68513.477482135087</v>
      </c>
      <c r="M37" s="161">
        <f>SUM(Model!D36:K36)</f>
        <v>451610.16885105299</v>
      </c>
      <c r="N37" s="160">
        <f>SUM(D37:K37)</f>
        <v>451610.16885105299</v>
      </c>
      <c r="O37" s="159" cm="1">
        <f t="array" ref="O37">IF(SUM(ISBLANK(Model!D36:K36)*1)&gt;0,0,IF(M37=N37,1,0))</f>
        <v>1</v>
      </c>
    </row>
    <row r="38" spans="1:16" ht="15" customHeight="1" outlineLevel="1">
      <c r="B38" s="69"/>
      <c r="C38" s="69"/>
      <c r="D38" s="66"/>
      <c r="E38" s="66"/>
      <c r="F38" s="66"/>
      <c r="G38" s="66"/>
      <c r="H38" s="66"/>
      <c r="I38" s="66"/>
      <c r="J38" s="66"/>
      <c r="K38" s="66"/>
    </row>
    <row r="39" spans="1:16" ht="15" customHeight="1" outlineLevel="1">
      <c r="B39" s="50" t="s">
        <v>91</v>
      </c>
      <c r="C39" s="50"/>
      <c r="D39" s="142">
        <v>-5884</v>
      </c>
      <c r="E39" s="142">
        <v>-6421</v>
      </c>
      <c r="F39" s="142">
        <v>-6166.0144</v>
      </c>
      <c r="G39" s="83">
        <f>Model!G34*Model!G11*-1</f>
        <v>-7400.3306400000001</v>
      </c>
      <c r="H39" s="83">
        <f>Model!H34*Model!H11*-1</f>
        <v>-7844.3504784000006</v>
      </c>
      <c r="I39" s="83">
        <f>Model!I34*Model!I11*-1</f>
        <v>-8315.0115071040018</v>
      </c>
      <c r="J39" s="83">
        <f>Model!J34*Model!J11*-1</f>
        <v>-8813.9121975302423</v>
      </c>
      <c r="K39" s="83">
        <f>Model!K34*Model!K11*-1</f>
        <v>-9342.7469293820559</v>
      </c>
      <c r="M39" s="167">
        <f>SUM(Model!G38:K38)</f>
        <v>-41716.351752416296</v>
      </c>
      <c r="N39" s="166">
        <f>SUM(G39:K39)</f>
        <v>-41716.351752416296</v>
      </c>
      <c r="O39" s="165" cm="1">
        <f t="array" ref="O39">IF(SUM(ISBLANK(Model!G38:K38)*1)&gt;0,0,IF(M39=N39,1,0))</f>
        <v>1</v>
      </c>
    </row>
    <row r="40" spans="1:16" ht="15" customHeight="1" outlineLevel="1">
      <c r="B40" s="50" t="s">
        <v>90</v>
      </c>
      <c r="C40" s="50"/>
      <c r="D40" s="142">
        <v>-23507</v>
      </c>
      <c r="E40" s="142">
        <v>-26569</v>
      </c>
      <c r="F40" s="142">
        <v>-30830.072</v>
      </c>
      <c r="G40" s="83">
        <f>-Model!G12</f>
        <v>-32063</v>
      </c>
      <c r="H40" s="83">
        <f>-Model!H12</f>
        <v>-33346</v>
      </c>
      <c r="I40" s="83">
        <f>-Model!I12</f>
        <v>-34680</v>
      </c>
      <c r="J40" s="83">
        <f>-Model!J12</f>
        <v>-36067</v>
      </c>
      <c r="K40" s="83">
        <f>-Model!K12</f>
        <v>-37509</v>
      </c>
      <c r="M40" s="164">
        <f>SUM(Model!G39:K39)</f>
        <v>-173665</v>
      </c>
      <c r="N40" s="163">
        <f>SUM(G40:K40)</f>
        <v>-173665</v>
      </c>
      <c r="O40" s="162" cm="1">
        <f t="array" ref="O40">IF(SUM(ISBLANK(Model!G39:K39)*1)&gt;0,0,IF(M40=N40,1,0))</f>
        <v>1</v>
      </c>
    </row>
    <row r="41" spans="1:16" ht="15" customHeight="1" outlineLevel="1">
      <c r="B41" s="50" t="s">
        <v>89</v>
      </c>
      <c r="C41" s="50"/>
      <c r="D41" s="142">
        <v>-1764</v>
      </c>
      <c r="E41" s="142">
        <v>-1931</v>
      </c>
      <c r="F41" s="142">
        <v>-2025.9761599999999</v>
      </c>
      <c r="G41" s="83">
        <f>Model!G13*Model!G34*-1</f>
        <v>-2269.4347296000001</v>
      </c>
      <c r="H41" s="83">
        <f>Model!H13*Model!H34*-1</f>
        <v>-2405.6008133760001</v>
      </c>
      <c r="I41" s="83">
        <f>Model!I13*Model!I34*-1</f>
        <v>-2549.9368621785607</v>
      </c>
      <c r="J41" s="83">
        <f>Model!J13*Model!J34*-1</f>
        <v>-2702.9330739092743</v>
      </c>
      <c r="K41" s="83">
        <f>Model!K13*Model!K34*-1</f>
        <v>-2865.1090583438308</v>
      </c>
      <c r="M41" s="164">
        <f>SUM(Model!G40:K40)</f>
        <v>-12793.014537407666</v>
      </c>
      <c r="N41" s="163">
        <f>SUM(G41:K41)</f>
        <v>-12793.014537407666</v>
      </c>
      <c r="O41" s="162" cm="1">
        <f t="array" ref="O41">IF(SUM(ISBLANK(Model!G40:K40)*1)&gt;0,0,IF(M41=N41,1,0))</f>
        <v>1</v>
      </c>
    </row>
    <row r="42" spans="1:16" ht="15" customHeight="1" outlineLevel="1">
      <c r="B42" s="50" t="s">
        <v>69</v>
      </c>
      <c r="C42" s="50"/>
      <c r="D42" s="142">
        <v>-2960</v>
      </c>
      <c r="E42" s="142">
        <v>-2803</v>
      </c>
      <c r="F42" s="142">
        <v>-2906.83536</v>
      </c>
      <c r="G42" s="83">
        <f>Model!G151</f>
        <v>-3157.4744064000001</v>
      </c>
      <c r="H42" s="83">
        <f>Model!H151</f>
        <v>-3346.9228707840007</v>
      </c>
      <c r="I42" s="83">
        <f>Model!I151</f>
        <v>-3547.7382430310408</v>
      </c>
      <c r="J42" s="83">
        <f>Model!J151</f>
        <v>-3760.6025376129037</v>
      </c>
      <c r="K42" s="83">
        <f>Model!K151</f>
        <v>-3986.2386898696777</v>
      </c>
      <c r="M42" s="164">
        <f>SUM(Model!G41:K41)</f>
        <v>-17798.976747697623</v>
      </c>
      <c r="N42" s="163">
        <f>SUM(G42:K42)</f>
        <v>-17798.976747697623</v>
      </c>
      <c r="O42" s="162" cm="1">
        <f t="array" ref="O42">IF(SUM(ISBLANK(Model!G41:K41)*1)&gt;0,0,IF(M42=N42,1,0))</f>
        <v>1</v>
      </c>
    </row>
    <row r="43" spans="1:16" ht="15" customHeight="1" outlineLevel="1">
      <c r="B43" s="69" t="s">
        <v>88</v>
      </c>
      <c r="C43" s="69"/>
      <c r="D43" s="67">
        <f>SUM(Model!D36:D41)</f>
        <v>9186</v>
      </c>
      <c r="E43" s="67">
        <f>SUM(Model!E36:E41)</f>
        <v>11218</v>
      </c>
      <c r="F43" s="67">
        <f>SUM(Model!F36:F41)</f>
        <v>11518.358080000002</v>
      </c>
      <c r="G43" s="67">
        <f>SUM(Model!G36:G41)</f>
        <v>9378.8515840000055</v>
      </c>
      <c r="H43" s="67">
        <f>SUM(Model!H36:H41)</f>
        <v>10582.362679040005</v>
      </c>
      <c r="I43" s="67">
        <f>SUM(Model!I36:I41)</f>
        <v>11884.064439782413</v>
      </c>
      <c r="J43" s="67">
        <f>SUM(Model!J36:J41)</f>
        <v>13290.908306169364</v>
      </c>
      <c r="K43" s="67">
        <f>SUM(Model!K36:K41)</f>
        <v>14810.382804539524</v>
      </c>
      <c r="M43" s="161">
        <f>SUM(Model!D42:K42)</f>
        <v>91868.927893531305</v>
      </c>
      <c r="N43" s="160">
        <f>SUM(D43:K43)</f>
        <v>91868.927893531305</v>
      </c>
      <c r="O43" s="159" cm="1">
        <f t="array" ref="O43">IF(SUM(ISBLANK(Model!D42:K42)*1)&gt;0,0,IF(M43=N43,1,0))</f>
        <v>1</v>
      </c>
    </row>
    <row r="44" spans="1:16" ht="15" customHeight="1" outlineLevel="1">
      <c r="B44" s="69"/>
      <c r="C44" s="69"/>
      <c r="D44" s="66"/>
      <c r="E44" s="66"/>
      <c r="F44" s="66"/>
      <c r="G44" s="66"/>
      <c r="H44" s="66"/>
      <c r="I44" s="66"/>
      <c r="J44" s="66"/>
      <c r="K44" s="66"/>
    </row>
    <row r="45" spans="1:16" ht="15" customHeight="1" outlineLevel="1">
      <c r="B45" s="50" t="s">
        <v>87</v>
      </c>
      <c r="C45" s="50"/>
      <c r="D45" s="121">
        <v>-1240</v>
      </c>
      <c r="E45" s="121">
        <v>-1240</v>
      </c>
      <c r="F45" s="121">
        <v>-1240</v>
      </c>
      <c r="G45" s="51">
        <f>-Model!G168</f>
        <v>-1240</v>
      </c>
      <c r="H45" s="51">
        <f>-Model!H168</f>
        <v>-1240</v>
      </c>
      <c r="I45" s="51">
        <f>-Model!I168</f>
        <v>-1240</v>
      </c>
      <c r="J45" s="51">
        <f>-Model!J168</f>
        <v>-1240</v>
      </c>
      <c r="K45" s="51">
        <f>-Model!K168</f>
        <v>-1240</v>
      </c>
      <c r="M45" s="167">
        <f>SUM(Model!G44:K44)</f>
        <v>-6200</v>
      </c>
      <c r="N45" s="166">
        <f>SUM(G45:K45)</f>
        <v>-6200</v>
      </c>
      <c r="O45" s="165" cm="1">
        <f t="array" ref="O45">IF(SUM(ISBLANK(Model!G44:K44)*1)&gt;0,0,IF(M45=N45,1,0))</f>
        <v>1</v>
      </c>
    </row>
    <row r="46" spans="1:16" ht="15" customHeight="1" outlineLevel="1">
      <c r="B46" s="50" t="s">
        <v>86</v>
      </c>
      <c r="C46" s="50"/>
      <c r="D46" s="141">
        <f>Model!D42+Model!D44</f>
        <v>7946</v>
      </c>
      <c r="E46" s="141">
        <f>Model!E42+Model!E44</f>
        <v>9978</v>
      </c>
      <c r="F46" s="141">
        <f>Model!F42+Model!F44</f>
        <v>10278.358080000002</v>
      </c>
      <c r="G46" s="141">
        <f>Model!G42+Model!G44</f>
        <v>8138.8515840000055</v>
      </c>
      <c r="H46" s="141">
        <f>Model!H42+Model!H44</f>
        <v>9342.3626790400049</v>
      </c>
      <c r="I46" s="141">
        <f>Model!I42+Model!I44</f>
        <v>10644.064439782413</v>
      </c>
      <c r="J46" s="141">
        <f>Model!J42+Model!J44</f>
        <v>12050.908306169364</v>
      </c>
      <c r="K46" s="141">
        <f>Model!K42+Model!K44</f>
        <v>13570.382804539524</v>
      </c>
      <c r="M46" s="161">
        <f>SUM(Model!D45:K45)</f>
        <v>81948.927893531305</v>
      </c>
      <c r="N46" s="160">
        <f>SUM(D46:K46)</f>
        <v>81948.927893531305</v>
      </c>
      <c r="O46" s="159" cm="1">
        <f t="array" ref="O46">IF(SUM(ISBLANK(Model!D45:K45)*1)&gt;0,0,IF(M46=N46,1,0))</f>
        <v>1</v>
      </c>
    </row>
    <row r="47" spans="1:16" ht="15" customHeight="1" outlineLevel="1">
      <c r="B47" s="50"/>
      <c r="C47" s="50"/>
      <c r="D47" s="140"/>
      <c r="E47" s="140"/>
      <c r="F47" s="140"/>
      <c r="G47" s="140"/>
      <c r="H47" s="140"/>
      <c r="I47" s="140"/>
      <c r="J47" s="140"/>
      <c r="K47" s="140"/>
    </row>
    <row r="48" spans="1:16" ht="15" customHeight="1" outlineLevel="1">
      <c r="B48" s="50" t="s">
        <v>51</v>
      </c>
      <c r="C48" s="50"/>
      <c r="D48" s="121">
        <v>-2761</v>
      </c>
      <c r="E48" s="121">
        <v>-2429</v>
      </c>
      <c r="F48" s="121">
        <v>-1570.1652240000001</v>
      </c>
      <c r="G48" s="51">
        <f>Model!G45*Model!G16*-1</f>
        <v>-2441.6554752000015</v>
      </c>
      <c r="H48" s="51">
        <f>Model!H45*Model!H16*-1</f>
        <v>-2802.7088037120016</v>
      </c>
      <c r="I48" s="51">
        <f>Model!I45*Model!I16*-1</f>
        <v>-3193.2193319347239</v>
      </c>
      <c r="J48" s="51">
        <f>Model!J45*Model!J16*-1</f>
        <v>-3615.2724918508088</v>
      </c>
      <c r="K48" s="51">
        <f>Model!K45*Model!K16*-1</f>
        <v>-4071.1148413618571</v>
      </c>
      <c r="M48" s="167">
        <f>SUM(Model!G47:K47)</f>
        <v>-16123.970944059392</v>
      </c>
      <c r="N48" s="166">
        <f>SUM(G48:K48)</f>
        <v>-16123.970944059392</v>
      </c>
      <c r="O48" s="165" cm="1">
        <f t="array" ref="O48">IF(SUM(ISBLANK(Model!G47:K47)*1)&gt;0,0,IF(M48=N48,1,0))</f>
        <v>1</v>
      </c>
    </row>
    <row r="49" spans="1:15" ht="15" customHeight="1" outlineLevel="1" thickBot="1">
      <c r="B49" s="69" t="s">
        <v>14</v>
      </c>
      <c r="C49" s="69"/>
      <c r="D49" s="120">
        <f>Model!D45+Model!D47</f>
        <v>5185</v>
      </c>
      <c r="E49" s="120">
        <f>Model!E45+Model!E47</f>
        <v>7549</v>
      </c>
      <c r="F49" s="120">
        <f>Model!F45+Model!F47</f>
        <v>8708.1928560000015</v>
      </c>
      <c r="G49" s="120">
        <f>Model!G45+Model!G47</f>
        <v>5697.1961088000044</v>
      </c>
      <c r="H49" s="120">
        <f>Model!H45+Model!H47</f>
        <v>6539.6538753280038</v>
      </c>
      <c r="I49" s="120">
        <f>Model!I45+Model!I47</f>
        <v>7450.8451078476883</v>
      </c>
      <c r="J49" s="120">
        <f>Model!J45+Model!J47</f>
        <v>8435.6358143185553</v>
      </c>
      <c r="K49" s="120">
        <f>Model!K45+Model!K47</f>
        <v>9499.2679631776664</v>
      </c>
      <c r="M49" s="161">
        <f>SUM(Model!D48:K48)</f>
        <v>59064.791725471921</v>
      </c>
      <c r="N49" s="160">
        <f>SUM(D49:K49)</f>
        <v>59064.791725471921</v>
      </c>
      <c r="O49" s="159" cm="1">
        <f t="array" ref="O49">IF(SUM(ISBLANK(Model!D48:K48)*1)&gt;0,0,IF(M49=N49,1,0))</f>
        <v>1</v>
      </c>
    </row>
    <row r="50" spans="1:15" ht="15" customHeight="1" outlineLevel="1">
      <c r="B50" s="52"/>
      <c r="C50" s="52"/>
      <c r="D50" s="139"/>
      <c r="E50" s="139"/>
      <c r="F50" s="139"/>
      <c r="G50" s="84"/>
      <c r="H50" s="84"/>
      <c r="I50" s="84"/>
      <c r="J50" s="84"/>
      <c r="K50" s="84"/>
    </row>
    <row r="51" spans="1:15" ht="15" customHeight="1" outlineLevel="1">
      <c r="B51" s="43" t="s">
        <v>85</v>
      </c>
      <c r="D51" s="121">
        <v>4312</v>
      </c>
      <c r="E51" s="121">
        <v>4209</v>
      </c>
      <c r="F51" s="121">
        <v>2930.9750848000026</v>
      </c>
      <c r="G51" s="51">
        <f>Model!G48*Model!G26</f>
        <v>3988.0372761600029</v>
      </c>
      <c r="H51" s="51">
        <f>Model!H48*Model!H26</f>
        <v>4577.7577127296026</v>
      </c>
      <c r="I51" s="51">
        <f>Model!I48*Model!I26</f>
        <v>5215.5915754933812</v>
      </c>
      <c r="J51" s="51">
        <f>Model!J48*Model!J26</f>
        <v>5904.9450700229881</v>
      </c>
      <c r="K51" s="51">
        <f>Model!K48*Model!K26</f>
        <v>6649.4875742243657</v>
      </c>
      <c r="M51" s="179">
        <f>SUM(Model!G50:K50)</f>
        <v>26335.819208630339</v>
      </c>
      <c r="N51" s="178">
        <f>SUM(G51:K51)</f>
        <v>26335.819208630339</v>
      </c>
      <c r="O51" s="173" cm="1">
        <f t="array" ref="O51">IF(SUM(ISBLANK(Model!G50:K50)*1)&gt;0,0,IF(M51=N51,1,0))</f>
        <v>1</v>
      </c>
    </row>
    <row r="52" spans="1:15" ht="15" customHeight="1" outlineLevel="1">
      <c r="D52" s="121"/>
      <c r="E52" s="121"/>
      <c r="F52" s="121"/>
      <c r="G52" s="82"/>
      <c r="H52" s="82"/>
      <c r="I52" s="82"/>
      <c r="J52" s="82"/>
      <c r="K52" s="82"/>
    </row>
    <row r="53" spans="1:15" ht="15" customHeight="1" outlineLevel="1">
      <c r="B53" s="44"/>
      <c r="C53" s="44"/>
      <c r="D53" s="138"/>
      <c r="E53" s="138"/>
      <c r="F53" s="138"/>
      <c r="G53" s="137"/>
      <c r="H53" s="137"/>
      <c r="I53" s="137"/>
      <c r="J53" s="137"/>
      <c r="K53" s="137"/>
    </row>
    <row r="54" spans="1:15" ht="15" customHeight="1">
      <c r="G54" s="132"/>
      <c r="H54" s="132"/>
      <c r="I54" s="132"/>
      <c r="J54" s="132"/>
      <c r="K54" s="132"/>
    </row>
    <row r="55" spans="1:15" s="47" customFormat="1" ht="15" customHeight="1">
      <c r="A55" s="47" t="s">
        <v>0</v>
      </c>
      <c r="B55" s="64" t="s">
        <v>84</v>
      </c>
      <c r="C55" s="64"/>
      <c r="D55" s="64"/>
      <c r="E55" s="64"/>
      <c r="F55" s="64"/>
      <c r="G55" s="64"/>
      <c r="H55" s="64"/>
      <c r="I55" s="64"/>
      <c r="J55" s="64"/>
      <c r="K55" s="64"/>
    </row>
    <row r="56" spans="1:15" s="47" customFormat="1" ht="15" customHeight="1" outlineLevel="1">
      <c r="B56" s="63"/>
      <c r="C56" s="63"/>
      <c r="D56" s="63"/>
      <c r="E56" s="63"/>
      <c r="F56" s="63"/>
      <c r="G56" s="63"/>
      <c r="H56" s="63"/>
      <c r="I56" s="63"/>
      <c r="J56" s="63"/>
      <c r="K56" s="63"/>
    </row>
    <row r="57" spans="1:15" ht="15" customHeight="1" outlineLevel="1" thickBot="1">
      <c r="B57" s="59" t="s">
        <v>18</v>
      </c>
      <c r="C57" s="59"/>
      <c r="D57" s="61">
        <f t="shared" ref="D57:K57" si="4">+D$5</f>
        <v>-2</v>
      </c>
      <c r="E57" s="61">
        <f t="shared" si="4"/>
        <v>-1</v>
      </c>
      <c r="F57" s="61">
        <f t="shared" si="4"/>
        <v>0</v>
      </c>
      <c r="G57" s="60">
        <f t="shared" si="4"/>
        <v>1</v>
      </c>
      <c r="H57" s="60">
        <f t="shared" si="4"/>
        <v>2</v>
      </c>
      <c r="I57" s="60">
        <f t="shared" si="4"/>
        <v>3</v>
      </c>
      <c r="J57" s="60">
        <f t="shared" si="4"/>
        <v>4</v>
      </c>
      <c r="K57" s="60">
        <f t="shared" si="4"/>
        <v>5</v>
      </c>
    </row>
    <row r="58" spans="1:15" ht="15" customHeight="1" outlineLevel="1">
      <c r="B58" s="59"/>
      <c r="C58" s="59"/>
      <c r="D58" s="136"/>
      <c r="E58" s="136"/>
      <c r="F58" s="136"/>
      <c r="G58" s="135"/>
      <c r="H58" s="135"/>
      <c r="I58" s="135"/>
      <c r="J58" s="135"/>
      <c r="K58" s="135"/>
    </row>
    <row r="59" spans="1:15" ht="15" customHeight="1" outlineLevel="1" thickBot="1">
      <c r="B59" s="52" t="s">
        <v>83</v>
      </c>
      <c r="C59" s="52"/>
      <c r="D59" s="134"/>
      <c r="E59" s="134"/>
      <c r="F59" s="134"/>
      <c r="G59" s="132"/>
      <c r="H59" s="132"/>
      <c r="I59" s="132"/>
      <c r="J59" s="132"/>
      <c r="K59" s="132"/>
      <c r="M59" s="172" t="s">
        <v>110</v>
      </c>
      <c r="N59" s="171" t="s">
        <v>109</v>
      </c>
      <c r="O59" s="170" t="s">
        <v>108</v>
      </c>
    </row>
    <row r="60" spans="1:15" ht="15" customHeight="1" outlineLevel="1">
      <c r="B60" s="50" t="s">
        <v>82</v>
      </c>
      <c r="D60" s="51">
        <f>Model!D113</f>
        <v>5289.0000000000027</v>
      </c>
      <c r="E60" s="51">
        <f>Model!E113</f>
        <v>5918.0000000000009</v>
      </c>
      <c r="F60" s="51">
        <f>Model!F113</f>
        <v>10158.783447912327</v>
      </c>
      <c r="G60" s="51">
        <f>Model!G113</f>
        <v>8650.394550453686</v>
      </c>
      <c r="H60" s="51">
        <f>Model!H113</f>
        <v>8562.1567698489089</v>
      </c>
      <c r="I60" s="51">
        <f>Model!I113</f>
        <v>8627.1521024078374</v>
      </c>
      <c r="J60" s="51">
        <f>Model!J113</f>
        <v>8860.3705949203122</v>
      </c>
      <c r="K60" s="51">
        <f>Model!K113</f>
        <v>9277.962816983536</v>
      </c>
      <c r="M60" s="164">
        <f>SUM(Model!D59:K59)</f>
        <v>65343.820282526613</v>
      </c>
      <c r="N60" s="163">
        <f>SUM(D60:K60)</f>
        <v>65343.820282526613</v>
      </c>
      <c r="O60" s="162" cm="1">
        <f t="array" ref="O60">IF(SUM(ISBLANK(Model!D59:K59)*1)&gt;0,0,IF(M60=N60,1,0))</f>
        <v>1</v>
      </c>
    </row>
    <row r="61" spans="1:15" ht="15" customHeight="1" outlineLevel="1">
      <c r="B61" s="50" t="s">
        <v>45</v>
      </c>
      <c r="D61" s="121">
        <v>12685</v>
      </c>
      <c r="E61" s="121">
        <v>14074</v>
      </c>
      <c r="F61" s="121">
        <v>14721.208547945205</v>
      </c>
      <c r="G61" s="51">
        <f>Model!G132</f>
        <v>16219.90277260274</v>
      </c>
      <c r="H61" s="51">
        <f>Model!H132</f>
        <v>17193.096938958905</v>
      </c>
      <c r="I61" s="51">
        <f>Model!I132</f>
        <v>18224.682755296442</v>
      </c>
      <c r="J61" s="51">
        <f>Model!J132</f>
        <v>19318.16372061423</v>
      </c>
      <c r="K61" s="51">
        <f>Model!K132</f>
        <v>20477.253543851082</v>
      </c>
      <c r="M61" s="164">
        <f>SUM(Model!G60:K60)</f>
        <v>91433.099731323397</v>
      </c>
      <c r="N61" s="163">
        <f>SUM(G61:K61)</f>
        <v>91433.099731323397</v>
      </c>
      <c r="O61" s="162" cm="1">
        <f t="array" ref="O61">IF(SUM(ISBLANK(Model!G60:K60)*1)&gt;0,0,IF(M61=N61,1,0))</f>
        <v>1</v>
      </c>
    </row>
    <row r="62" spans="1:15" ht="15" customHeight="1" outlineLevel="1">
      <c r="B62" s="50" t="s">
        <v>67</v>
      </c>
      <c r="D62" s="121">
        <v>7168</v>
      </c>
      <c r="E62" s="121">
        <v>7691</v>
      </c>
      <c r="F62" s="121">
        <v>8036.3318794520546</v>
      </c>
      <c r="G62" s="51">
        <f>Model!G133</f>
        <v>9123.6953095890403</v>
      </c>
      <c r="H62" s="51">
        <f>Model!H133</f>
        <v>9671.1170281643845</v>
      </c>
      <c r="I62" s="51">
        <f>Model!I133</f>
        <v>10251.384049854247</v>
      </c>
      <c r="J62" s="51">
        <f>Model!J133</f>
        <v>10866.467092845503</v>
      </c>
      <c r="K62" s="51">
        <f>Model!K133</f>
        <v>11518.455118416234</v>
      </c>
      <c r="M62" s="164">
        <f>SUM(Model!G61:K61)</f>
        <v>51431.118598869405</v>
      </c>
      <c r="N62" s="163">
        <f>SUM(G62:K62)</f>
        <v>51431.118598869405</v>
      </c>
      <c r="O62" s="162" cm="1">
        <f t="array" ref="O62">IF(SUM(ISBLANK(Model!G61:K61)*1)&gt;0,0,IF(M62=N62,1,0))</f>
        <v>1</v>
      </c>
    </row>
    <row r="63" spans="1:15" ht="15" customHeight="1" outlineLevel="1">
      <c r="B63" s="50" t="s">
        <v>81</v>
      </c>
      <c r="D63" s="118">
        <f>SUM(Model!D59:D61)</f>
        <v>25142.000000000004</v>
      </c>
      <c r="E63" s="118">
        <f>SUM(Model!E59:E61)</f>
        <v>27683</v>
      </c>
      <c r="F63" s="118">
        <f>SUM(Model!F59:F61)</f>
        <v>32916.323875309587</v>
      </c>
      <c r="G63" s="118">
        <f>SUM(Model!G59:G61)</f>
        <v>33993.992632645466</v>
      </c>
      <c r="H63" s="118">
        <f>SUM(Model!H59:H61)</f>
        <v>35426.370736972196</v>
      </c>
      <c r="I63" s="118">
        <f>SUM(Model!I59:I61)</f>
        <v>37103.218907558527</v>
      </c>
      <c r="J63" s="118">
        <f>SUM(Model!J59:J61)</f>
        <v>39045.001408380042</v>
      </c>
      <c r="K63" s="118">
        <f>SUM(Model!K59:K61)</f>
        <v>41273.67147925085</v>
      </c>
      <c r="M63" s="161">
        <f>SUM(Model!D62:K62)</f>
        <v>272583.57904011669</v>
      </c>
      <c r="N63" s="160">
        <f>SUM(D63:K63)</f>
        <v>272583.57904011669</v>
      </c>
      <c r="O63" s="159" cm="1">
        <f t="array" ref="O63">IF(SUM(ISBLANK(Model!D62:K62)*1)&gt;0,0,IF(M63=N63,1,0))</f>
        <v>1</v>
      </c>
    </row>
    <row r="64" spans="1:15" ht="15" customHeight="1" outlineLevel="1">
      <c r="B64" s="69"/>
      <c r="C64" s="52"/>
      <c r="D64" s="122"/>
      <c r="E64" s="122"/>
      <c r="F64" s="122"/>
      <c r="G64" s="57"/>
      <c r="H64" s="57"/>
      <c r="I64" s="57"/>
      <c r="J64" s="57"/>
      <c r="K64" s="57"/>
    </row>
    <row r="65" spans="2:15" ht="15" customHeight="1" outlineLevel="1">
      <c r="B65" s="50" t="s">
        <v>80</v>
      </c>
      <c r="D65" s="121">
        <v>19262.999999999996</v>
      </c>
      <c r="E65" s="121">
        <v>20371</v>
      </c>
      <c r="F65" s="121">
        <v>21175.000000000004</v>
      </c>
      <c r="G65" s="51">
        <f>Model!G152</f>
        <v>23216.723576470591</v>
      </c>
      <c r="H65" s="51">
        <f>Model!H152</f>
        <v>24609.726991058826</v>
      </c>
      <c r="I65" s="51">
        <f>Model!I152</f>
        <v>26086.31061052236</v>
      </c>
      <c r="J65" s="51">
        <f>Model!J152</f>
        <v>27651.489247153702</v>
      </c>
      <c r="K65" s="51">
        <f>Model!K152</f>
        <v>29310.578601982925</v>
      </c>
      <c r="M65" s="179">
        <f>SUM(Model!G64:K64)</f>
        <v>130874.8290271884</v>
      </c>
      <c r="N65" s="178">
        <f>SUM(G65:K65)</f>
        <v>130874.8290271884</v>
      </c>
      <c r="O65" s="173" cm="1">
        <f t="array" ref="O65">IF(SUM(ISBLANK(Model!G64:K64)*1)&gt;0,0,IF(M65=N65,1,0))</f>
        <v>1</v>
      </c>
    </row>
    <row r="66" spans="2:15" ht="15" customHeight="1" outlineLevel="1">
      <c r="B66" s="50"/>
      <c r="D66" s="121"/>
      <c r="E66" s="121"/>
      <c r="F66" s="121"/>
      <c r="G66" s="82"/>
      <c r="H66" s="82"/>
      <c r="I66" s="82"/>
      <c r="J66" s="82"/>
      <c r="K66" s="82"/>
    </row>
    <row r="67" spans="2:15" ht="15" customHeight="1" outlineLevel="1" thickBot="1">
      <c r="B67" s="69" t="s">
        <v>79</v>
      </c>
      <c r="C67" s="52"/>
      <c r="D67" s="120">
        <f>Model!D62+Model!D64</f>
        <v>44405</v>
      </c>
      <c r="E67" s="120">
        <f>Model!E62+Model!E64</f>
        <v>48054</v>
      </c>
      <c r="F67" s="120">
        <f>Model!F62+Model!F64</f>
        <v>54091.323875309594</v>
      </c>
      <c r="G67" s="120">
        <f>Model!G62+Model!G64</f>
        <v>57210.716209116057</v>
      </c>
      <c r="H67" s="120">
        <f>Model!H62+Model!H64</f>
        <v>60036.097728031018</v>
      </c>
      <c r="I67" s="120">
        <f>Model!I62+Model!I64</f>
        <v>63189.52951808089</v>
      </c>
      <c r="J67" s="120">
        <f>Model!J62+Model!J64</f>
        <v>66696.490655533737</v>
      </c>
      <c r="K67" s="120">
        <f>Model!K62+Model!K64</f>
        <v>70584.250081233768</v>
      </c>
      <c r="M67" s="179">
        <f>SUM(Model!D66:K66)</f>
        <v>464267.40806730511</v>
      </c>
      <c r="N67" s="178">
        <f>SUM(D67:K67)</f>
        <v>464267.40806730511</v>
      </c>
      <c r="O67" s="173" cm="1">
        <f t="array" ref="O67">IF(SUM(ISBLANK(Model!D66:K66)*1)&gt;0,0,IF(M67=N67,1,0))</f>
        <v>1</v>
      </c>
    </row>
    <row r="68" spans="2:15" ht="15" customHeight="1" outlineLevel="1">
      <c r="D68" s="122"/>
      <c r="E68" s="122"/>
      <c r="F68" s="122"/>
      <c r="G68" s="57"/>
      <c r="H68" s="57"/>
      <c r="I68" s="57"/>
      <c r="J68" s="57"/>
      <c r="K68" s="57"/>
    </row>
    <row r="69" spans="2:15" ht="15" customHeight="1" outlineLevel="1">
      <c r="B69" s="52" t="s">
        <v>78</v>
      </c>
      <c r="C69" s="52"/>
      <c r="D69" s="122"/>
      <c r="E69" s="122"/>
      <c r="F69" s="122"/>
      <c r="G69" s="57"/>
      <c r="H69" s="57"/>
      <c r="I69" s="57"/>
      <c r="J69" s="57"/>
      <c r="K69" s="57"/>
    </row>
    <row r="70" spans="2:15" ht="15" customHeight="1" outlineLevel="1">
      <c r="B70" s="50" t="s">
        <v>43</v>
      </c>
      <c r="D70" s="121">
        <v>10001</v>
      </c>
      <c r="E70" s="121">
        <v>10504</v>
      </c>
      <c r="F70" s="121">
        <v>11077.106104109589</v>
      </c>
      <c r="G70" s="51">
        <f>Model!G134</f>
        <v>12164.927079452054</v>
      </c>
      <c r="H70" s="51">
        <f>Model!H134</f>
        <v>12894.822704219179</v>
      </c>
      <c r="I70" s="51">
        <f>Model!I134</f>
        <v>13668.512066472329</v>
      </c>
      <c r="J70" s="51">
        <f>Model!J134</f>
        <v>14488.622790460671</v>
      </c>
      <c r="K70" s="51">
        <f>Model!K134</f>
        <v>15357.940157888312</v>
      </c>
      <c r="M70" s="167">
        <f>SUM(Model!G69:K69)</f>
        <v>68574.82479849254</v>
      </c>
      <c r="N70" s="166">
        <f>SUM(G70:K70)</f>
        <v>68574.82479849254</v>
      </c>
      <c r="O70" s="165" cm="1">
        <f t="array" ref="O70">IF(SUM(ISBLANK(Model!G69:K69)*1)&gt;0,0,IF(M70=N70,1,0))</f>
        <v>1</v>
      </c>
    </row>
    <row r="71" spans="2:15" ht="15" customHeight="1" outlineLevel="1">
      <c r="B71" s="50" t="s">
        <v>42</v>
      </c>
      <c r="D71" s="121">
        <v>1088</v>
      </c>
      <c r="E71" s="121">
        <v>894</v>
      </c>
      <c r="F71" s="121">
        <v>581</v>
      </c>
      <c r="G71" s="51">
        <f>Model!G135</f>
        <v>903.41252582400057</v>
      </c>
      <c r="H71" s="51">
        <f>Model!H135</f>
        <v>1037.0022573734407</v>
      </c>
      <c r="I71" s="51">
        <f>Model!I135</f>
        <v>1181.4911528158477</v>
      </c>
      <c r="J71" s="51">
        <f>Model!J135</f>
        <v>1337.6508219847992</v>
      </c>
      <c r="K71" s="51">
        <f>Model!K135</f>
        <v>1506.3124913038871</v>
      </c>
      <c r="M71" s="164">
        <f>SUM(Model!G70:K70)</f>
        <v>5965.8692493019753</v>
      </c>
      <c r="N71" s="163">
        <f>SUM(G71:K71)</f>
        <v>5965.8692493019753</v>
      </c>
      <c r="O71" s="162" cm="1">
        <f t="array" ref="O71">IF(SUM(ISBLANK(Model!G70:K70)*1)&gt;0,0,IF(M71=N71,1,0))</f>
        <v>1</v>
      </c>
    </row>
    <row r="72" spans="2:15" ht="15" customHeight="1" outlineLevel="1">
      <c r="B72" s="50" t="s">
        <v>77</v>
      </c>
      <c r="D72" s="118">
        <f>SUM(Model!D69:D70)</f>
        <v>11089</v>
      </c>
      <c r="E72" s="118">
        <f>SUM(Model!E69:E70)</f>
        <v>11398</v>
      </c>
      <c r="F72" s="118">
        <f>SUM(Model!F69:F70)</f>
        <v>11658.106104109589</v>
      </c>
      <c r="G72" s="118">
        <f>SUM(Model!G69:G70)</f>
        <v>13068.339605276054</v>
      </c>
      <c r="H72" s="118">
        <f>SUM(Model!H69:H70)</f>
        <v>13931.82496159262</v>
      </c>
      <c r="I72" s="118">
        <f>SUM(Model!I69:I70)</f>
        <v>14850.003219288177</v>
      </c>
      <c r="J72" s="118">
        <f>SUM(Model!J69:J70)</f>
        <v>15826.273612445471</v>
      </c>
      <c r="K72" s="118">
        <f>SUM(Model!K69:K70)</f>
        <v>16864.2526491922</v>
      </c>
      <c r="M72" s="161">
        <f>SUM(Model!D71:K71)</f>
        <v>108685.80015190411</v>
      </c>
      <c r="N72" s="160">
        <f>SUM(D72:K72)</f>
        <v>108685.80015190411</v>
      </c>
      <c r="O72" s="159" cm="1">
        <f t="array" ref="O72">IF(SUM(ISBLANK(Model!D71:K71)*1)&gt;0,0,IF(M72=N72,1,0))</f>
        <v>1</v>
      </c>
    </row>
    <row r="73" spans="2:15" ht="15" customHeight="1" outlineLevel="1">
      <c r="B73" s="69"/>
      <c r="C73" s="52"/>
      <c r="D73" s="122"/>
      <c r="E73" s="122"/>
      <c r="F73" s="122"/>
      <c r="G73" s="57"/>
      <c r="H73" s="57"/>
      <c r="I73" s="57"/>
      <c r="J73" s="57"/>
      <c r="K73" s="57"/>
    </row>
    <row r="74" spans="2:15" ht="15" customHeight="1" outlineLevel="1">
      <c r="B74" s="50" t="s">
        <v>76</v>
      </c>
      <c r="D74" s="121">
        <v>20000</v>
      </c>
      <c r="E74" s="121">
        <v>20000</v>
      </c>
      <c r="F74" s="121">
        <v>20000</v>
      </c>
      <c r="G74" s="51">
        <f>Model!G163</f>
        <v>20000</v>
      </c>
      <c r="H74" s="51">
        <f>Model!H163</f>
        <v>20000</v>
      </c>
      <c r="I74" s="51">
        <f>Model!I163</f>
        <v>20000</v>
      </c>
      <c r="J74" s="51">
        <f>Model!J163</f>
        <v>20000</v>
      </c>
      <c r="K74" s="51">
        <f>Model!K163</f>
        <v>20000</v>
      </c>
      <c r="L74" s="132"/>
      <c r="M74" s="167">
        <f>SUM(Model!G73:K73)</f>
        <v>100000</v>
      </c>
      <c r="N74" s="166">
        <f>SUM(G74:K74)</f>
        <v>100000</v>
      </c>
      <c r="O74" s="165" cm="1">
        <f t="array" ref="O74">IF(SUM(ISBLANK(Model!G73:K73)*1)&gt;0,0,IF(M74=N74,1,0))</f>
        <v>1</v>
      </c>
    </row>
    <row r="75" spans="2:15" ht="15" customHeight="1" outlineLevel="1">
      <c r="B75" s="50" t="s">
        <v>75</v>
      </c>
      <c r="C75" s="99"/>
      <c r="D75" s="118">
        <f>Model!D71+Model!D73</f>
        <v>31089</v>
      </c>
      <c r="E75" s="118">
        <f>Model!E71+Model!E73</f>
        <v>31398</v>
      </c>
      <c r="F75" s="118">
        <f>Model!F71+Model!F73</f>
        <v>31658.106104109589</v>
      </c>
      <c r="G75" s="118">
        <f>Model!G71+Model!G73</f>
        <v>33068.339605276051</v>
      </c>
      <c r="H75" s="118">
        <f>Model!H71+Model!H73</f>
        <v>33931.824961592618</v>
      </c>
      <c r="I75" s="118">
        <f>Model!I71+Model!I73</f>
        <v>34850.003219288177</v>
      </c>
      <c r="J75" s="118">
        <f>Model!J71+Model!J73</f>
        <v>35826.273612445468</v>
      </c>
      <c r="K75" s="118">
        <f>Model!K71+Model!K73</f>
        <v>36864.252649192204</v>
      </c>
      <c r="L75" s="132"/>
      <c r="M75" s="161">
        <f>SUM(Model!D74:K74)</f>
        <v>268685.80015190411</v>
      </c>
      <c r="N75" s="160">
        <f>SUM(D75:K75)</f>
        <v>268685.80015190411</v>
      </c>
      <c r="O75" s="159" cm="1">
        <f t="array" ref="O75">IF(SUM(ISBLANK(Model!D74:K74)*1)&gt;0,0,IF(M75=N75,1,0))</f>
        <v>1</v>
      </c>
    </row>
    <row r="76" spans="2:15" ht="15" customHeight="1" outlineLevel="1">
      <c r="D76" s="121"/>
      <c r="E76" s="121"/>
      <c r="F76" s="121"/>
      <c r="G76" s="82"/>
      <c r="H76" s="82"/>
      <c r="I76" s="82"/>
      <c r="J76" s="82"/>
      <c r="K76" s="82"/>
      <c r="L76" s="132"/>
    </row>
    <row r="77" spans="2:15" ht="15" customHeight="1" outlineLevel="1">
      <c r="B77" s="52" t="s">
        <v>74</v>
      </c>
      <c r="C77" s="52"/>
      <c r="D77" s="122"/>
      <c r="E77" s="122"/>
      <c r="F77" s="122"/>
      <c r="G77" s="57"/>
      <c r="H77" s="57"/>
      <c r="I77" s="57"/>
      <c r="J77" s="57"/>
      <c r="K77" s="57"/>
    </row>
    <row r="78" spans="2:15" ht="15" customHeight="1" outlineLevel="1">
      <c r="B78" s="50" t="s">
        <v>26</v>
      </c>
      <c r="D78" s="121">
        <v>7627</v>
      </c>
      <c r="E78" s="121">
        <v>7627</v>
      </c>
      <c r="F78" s="121">
        <v>7627</v>
      </c>
      <c r="G78" s="51">
        <f>Model!G173</f>
        <v>7627</v>
      </c>
      <c r="H78" s="51">
        <f>Model!H173</f>
        <v>7627</v>
      </c>
      <c r="I78" s="51">
        <f>Model!I173</f>
        <v>7627</v>
      </c>
      <c r="J78" s="51">
        <f>Model!J173</f>
        <v>7627</v>
      </c>
      <c r="K78" s="51">
        <f>Model!K173</f>
        <v>7627</v>
      </c>
      <c r="M78" s="167">
        <f>SUM(Model!G77:K77)</f>
        <v>38135</v>
      </c>
      <c r="N78" s="166">
        <f>SUM(G78:K78)</f>
        <v>38135</v>
      </c>
      <c r="O78" s="165" cm="1">
        <f t="array" ref="O78">IF(SUM(ISBLANK(Model!G77:K77)*1)&gt;0,0,IF(M78=N78,1,0))</f>
        <v>1</v>
      </c>
    </row>
    <row r="79" spans="2:15" ht="15" customHeight="1" outlineLevel="1">
      <c r="B79" s="50" t="s">
        <v>73</v>
      </c>
      <c r="D79" s="121">
        <v>5689</v>
      </c>
      <c r="E79" s="121">
        <v>9029</v>
      </c>
      <c r="F79" s="121">
        <v>14806.217771200003</v>
      </c>
      <c r="G79" s="51">
        <f>Model!G182</f>
        <v>16515.376603839999</v>
      </c>
      <c r="H79" s="51">
        <f>Model!H182</f>
        <v>18477.2727664384</v>
      </c>
      <c r="I79" s="51">
        <f>Model!I182</f>
        <v>20712.526298792705</v>
      </c>
      <c r="J79" s="51">
        <f>Model!J182</f>
        <v>23243.217043088276</v>
      </c>
      <c r="K79" s="51">
        <f>Model!K182</f>
        <v>26092.997432041579</v>
      </c>
      <c r="M79" s="164">
        <f>SUM(Model!G78:K78)</f>
        <v>105041.39014420095</v>
      </c>
      <c r="N79" s="163">
        <f>SUM(G79:K79)</f>
        <v>105041.39014420095</v>
      </c>
      <c r="O79" s="162" cm="1">
        <f t="array" ref="O79">IF(SUM(ISBLANK(Model!G78:K78)*1)&gt;0,0,IF(M79=N79,1,0))</f>
        <v>1</v>
      </c>
    </row>
    <row r="80" spans="2:15" ht="15" customHeight="1" outlineLevel="1">
      <c r="B80" s="69" t="s">
        <v>72</v>
      </c>
      <c r="C80" s="52"/>
      <c r="D80" s="67">
        <f>SUM(Model!D77:D78)</f>
        <v>13316</v>
      </c>
      <c r="E80" s="67">
        <f>SUM(Model!E77:E78)</f>
        <v>16656</v>
      </c>
      <c r="F80" s="67">
        <f>SUM(Model!F77:F78)</f>
        <v>22433.217771200005</v>
      </c>
      <c r="G80" s="67">
        <f>SUM(Model!G77:G78)</f>
        <v>24142.376603839999</v>
      </c>
      <c r="H80" s="67">
        <f>SUM(Model!H77:H78)</f>
        <v>26104.2727664384</v>
      </c>
      <c r="I80" s="67">
        <f>SUM(Model!I77:I78)</f>
        <v>28339.526298792705</v>
      </c>
      <c r="J80" s="67">
        <f>SUM(Model!J77:J78)</f>
        <v>30870.217043088276</v>
      </c>
      <c r="K80" s="67">
        <f>SUM(Model!K77:K78)</f>
        <v>33719.997432041579</v>
      </c>
      <c r="M80" s="161">
        <f>SUM(Model!D79:K79)</f>
        <v>195581.60791540099</v>
      </c>
      <c r="N80" s="160">
        <f>SUM(D80:K80)</f>
        <v>195581.60791540099</v>
      </c>
      <c r="O80" s="159" cm="1">
        <f t="array" ref="O80">IF(SUM(ISBLANK(Model!D79:K79)*1)&gt;0,0,IF(M80=N80,1,0))</f>
        <v>1</v>
      </c>
    </row>
    <row r="81" spans="1:15" ht="15" customHeight="1" outlineLevel="1">
      <c r="B81" s="69"/>
      <c r="C81" s="52"/>
      <c r="D81" s="66"/>
      <c r="E81" s="66"/>
      <c r="F81" s="66"/>
      <c r="G81" s="66"/>
      <c r="H81" s="66"/>
      <c r="I81" s="66"/>
      <c r="J81" s="66"/>
      <c r="K81" s="66"/>
    </row>
    <row r="82" spans="1:15" ht="15" customHeight="1" outlineLevel="1" thickBot="1">
      <c r="B82" s="69" t="s">
        <v>71</v>
      </c>
      <c r="D82" s="120">
        <f>Model!D74+Model!D79</f>
        <v>44405</v>
      </c>
      <c r="E82" s="120">
        <f>Model!E74+Model!E79</f>
        <v>48054</v>
      </c>
      <c r="F82" s="120">
        <f>Model!F74+Model!F79</f>
        <v>54091.323875309594</v>
      </c>
      <c r="G82" s="120">
        <f>Model!G74+Model!G79</f>
        <v>57210.71620911605</v>
      </c>
      <c r="H82" s="120">
        <f>Model!H74+Model!H79</f>
        <v>60036.097728031018</v>
      </c>
      <c r="I82" s="120">
        <f>Model!I74+Model!I79</f>
        <v>63189.529518080883</v>
      </c>
      <c r="J82" s="120">
        <f>Model!J74+Model!J79</f>
        <v>66696.490655533737</v>
      </c>
      <c r="K82" s="120">
        <f>Model!K74+Model!K79</f>
        <v>70584.250081233782</v>
      </c>
      <c r="M82" s="179">
        <f>SUM(Model!D81:K81)</f>
        <v>464267.40806730511</v>
      </c>
      <c r="N82" s="178">
        <f>SUM(D82:K82)</f>
        <v>464267.40806730511</v>
      </c>
      <c r="O82" s="173" cm="1">
        <f t="array" ref="O82">IF(SUM(ISBLANK(Model!D81:K81)*1)&gt;0,0,IF(M82=N82,1,0))</f>
        <v>1</v>
      </c>
    </row>
    <row r="83" spans="1:15" ht="15" customHeight="1" outlineLevel="1">
      <c r="B83" s="50"/>
      <c r="D83" s="57"/>
      <c r="E83" s="57"/>
      <c r="F83" s="57"/>
      <c r="G83" s="57"/>
      <c r="H83" s="57"/>
      <c r="I83" s="57"/>
      <c r="J83" s="57"/>
      <c r="K83" s="57"/>
    </row>
    <row r="84" spans="1:15" ht="15" customHeight="1" outlineLevel="1">
      <c r="B84" s="54" t="s">
        <v>70</v>
      </c>
      <c r="C84" s="128"/>
      <c r="D84" s="51">
        <f>Model!D66-Model!D81</f>
        <v>0</v>
      </c>
      <c r="E84" s="51">
        <f>Model!E66-Model!E81</f>
        <v>0</v>
      </c>
      <c r="F84" s="51">
        <f>Model!F66-Model!F81</f>
        <v>0</v>
      </c>
      <c r="G84" s="51">
        <f>Model!G66-Model!G81</f>
        <v>0</v>
      </c>
      <c r="H84" s="51">
        <f>Model!H66-Model!H81</f>
        <v>0</v>
      </c>
      <c r="I84" s="51">
        <f>Model!I66-Model!I81</f>
        <v>0</v>
      </c>
      <c r="J84" s="51">
        <f>Model!J66-Model!J81</f>
        <v>0</v>
      </c>
      <c r="K84" s="51">
        <f>Model!K66-Model!K81</f>
        <v>0</v>
      </c>
      <c r="M84" s="179">
        <f>SUM(Model!D83:K83)</f>
        <v>0</v>
      </c>
      <c r="N84" s="178">
        <f>SUM(D84:K84)</f>
        <v>0</v>
      </c>
      <c r="O84" s="173" cm="1">
        <f t="array" ref="O84">IF(SUM(ISBLANK(Model!D83:K83)*1)&gt;0,0,IF(M84=N84,1,0))</f>
        <v>1</v>
      </c>
    </row>
    <row r="85" spans="1:15" ht="15" customHeight="1" outlineLevel="1">
      <c r="B85" s="128"/>
      <c r="C85" s="128"/>
      <c r="D85" s="82"/>
      <c r="E85" s="82"/>
      <c r="F85" s="82"/>
      <c r="G85" s="82"/>
      <c r="H85" s="82"/>
      <c r="I85" s="82"/>
      <c r="J85" s="82"/>
      <c r="K85" s="82"/>
    </row>
    <row r="86" spans="1:15" ht="15" customHeight="1" outlineLevel="1">
      <c r="B86" s="127"/>
      <c r="C86" s="127"/>
      <c r="D86" s="85"/>
      <c r="E86" s="85"/>
      <c r="F86" s="85"/>
      <c r="G86" s="85"/>
      <c r="H86" s="85"/>
      <c r="I86" s="85"/>
      <c r="J86" s="85"/>
      <c r="K86" s="85"/>
    </row>
    <row r="87" spans="1:15" ht="15" customHeight="1">
      <c r="D87" s="57"/>
      <c r="E87" s="82"/>
      <c r="F87" s="82"/>
      <c r="G87" s="82"/>
      <c r="H87" s="82"/>
      <c r="I87" s="82"/>
      <c r="J87" s="82"/>
      <c r="K87" s="82"/>
    </row>
    <row r="88" spans="1:15" s="47" customFormat="1" ht="15" customHeight="1">
      <c r="A88" s="47" t="s">
        <v>0</v>
      </c>
      <c r="B88" s="64" t="s">
        <v>6</v>
      </c>
      <c r="C88" s="64"/>
      <c r="D88" s="64"/>
      <c r="E88" s="64"/>
      <c r="F88" s="64"/>
      <c r="G88" s="64"/>
      <c r="H88" s="64"/>
      <c r="I88" s="64"/>
      <c r="J88" s="64"/>
      <c r="K88" s="64"/>
    </row>
    <row r="89" spans="1:15" s="47" customFormat="1" ht="15" customHeight="1" outlineLevel="1">
      <c r="B89" s="63"/>
      <c r="C89" s="63"/>
      <c r="D89" s="62"/>
      <c r="E89" s="62"/>
      <c r="F89" s="62"/>
      <c r="G89" s="62"/>
      <c r="H89" s="62"/>
      <c r="I89" s="62"/>
      <c r="J89" s="62"/>
      <c r="K89" s="62"/>
    </row>
    <row r="90" spans="1:15" ht="15" customHeight="1" outlineLevel="1" thickBot="1">
      <c r="B90" s="59" t="s">
        <v>18</v>
      </c>
      <c r="C90" s="59"/>
      <c r="D90" s="61">
        <f t="shared" ref="D90:K90" si="5">+D$5</f>
        <v>-2</v>
      </c>
      <c r="E90" s="61">
        <f t="shared" si="5"/>
        <v>-1</v>
      </c>
      <c r="F90" s="61">
        <f t="shared" si="5"/>
        <v>0</v>
      </c>
      <c r="G90" s="60">
        <f t="shared" si="5"/>
        <v>1</v>
      </c>
      <c r="H90" s="60">
        <f t="shared" si="5"/>
        <v>2</v>
      </c>
      <c r="I90" s="60">
        <f t="shared" si="5"/>
        <v>3</v>
      </c>
      <c r="J90" s="60">
        <f t="shared" si="5"/>
        <v>4</v>
      </c>
      <c r="K90" s="60">
        <f t="shared" si="5"/>
        <v>5</v>
      </c>
    </row>
    <row r="91" spans="1:15" ht="15" customHeight="1" outlineLevel="1">
      <c r="B91" s="59"/>
      <c r="C91" s="59"/>
      <c r="D91" s="58"/>
      <c r="E91" s="58"/>
      <c r="F91" s="58"/>
      <c r="G91" s="58"/>
      <c r="H91" s="58"/>
      <c r="I91" s="58"/>
      <c r="J91" s="58"/>
      <c r="K91" s="58"/>
    </row>
    <row r="92" spans="1:15" ht="15" customHeight="1" outlineLevel="1" thickBot="1">
      <c r="B92" s="52" t="s">
        <v>66</v>
      </c>
      <c r="C92" s="52"/>
      <c r="D92" s="125"/>
      <c r="E92" s="125"/>
      <c r="F92" s="125"/>
      <c r="G92" s="124"/>
      <c r="H92" s="124"/>
      <c r="I92" s="124"/>
      <c r="J92" s="124"/>
      <c r="K92" s="124"/>
      <c r="M92" s="172" t="s">
        <v>110</v>
      </c>
      <c r="N92" s="171" t="s">
        <v>109</v>
      </c>
      <c r="O92" s="170" t="s">
        <v>108</v>
      </c>
    </row>
    <row r="93" spans="1:15" ht="15" customHeight="1" outlineLevel="1">
      <c r="B93" s="50" t="s">
        <v>14</v>
      </c>
      <c r="D93" s="51">
        <f>Model!D48</f>
        <v>5185</v>
      </c>
      <c r="E93" s="51">
        <f>Model!E48</f>
        <v>7549</v>
      </c>
      <c r="F93" s="51">
        <f>Model!F48</f>
        <v>8708.1928560000015</v>
      </c>
      <c r="G93" s="51">
        <f>Model!G48</f>
        <v>5697.1961088000044</v>
      </c>
      <c r="H93" s="51">
        <f>Model!H48</f>
        <v>6539.6538753280038</v>
      </c>
      <c r="I93" s="51">
        <f>Model!I48</f>
        <v>7450.8451078476883</v>
      </c>
      <c r="J93" s="51">
        <f>Model!J48</f>
        <v>8435.6358143185553</v>
      </c>
      <c r="K93" s="51">
        <f>Model!K48</f>
        <v>9499.2679631776664</v>
      </c>
      <c r="M93" s="164">
        <f>SUM(Model!D92:K92)</f>
        <v>59064.791725471921</v>
      </c>
      <c r="N93" s="163">
        <f>SUM(D93:K93)</f>
        <v>59064.791725471921</v>
      </c>
      <c r="O93" s="162" cm="1">
        <f t="array" ref="O93">IF(SUM(ISBLANK(Model!D92:K92)*1)&gt;0,0,IF(M93=N93,1,0))</f>
        <v>1</v>
      </c>
    </row>
    <row r="94" spans="1:15" ht="15" customHeight="1" outlineLevel="1">
      <c r="B94" s="50" t="s">
        <v>69</v>
      </c>
      <c r="D94" s="51">
        <f>-Model!D41</f>
        <v>2960</v>
      </c>
      <c r="E94" s="51">
        <f>-Model!E41</f>
        <v>2803</v>
      </c>
      <c r="F94" s="51">
        <f>-Model!F41</f>
        <v>2906.83536</v>
      </c>
      <c r="G94" s="51">
        <f>-Model!G41</f>
        <v>3157.4744064000001</v>
      </c>
      <c r="H94" s="51">
        <f>-Model!H41</f>
        <v>3346.9228707840007</v>
      </c>
      <c r="I94" s="51">
        <f>-Model!I41</f>
        <v>3547.7382430310408</v>
      </c>
      <c r="J94" s="51">
        <f>-Model!J41</f>
        <v>3760.6025376129037</v>
      </c>
      <c r="K94" s="51">
        <f>-Model!K41</f>
        <v>3986.2386898696777</v>
      </c>
      <c r="M94" s="161">
        <f>SUM(Model!D93:K93)</f>
        <v>26468.812107697624</v>
      </c>
      <c r="N94" s="160">
        <f>SUM(D94:K94)</f>
        <v>26468.812107697624</v>
      </c>
      <c r="O94" s="159" cm="1">
        <f t="array" ref="O94">IF(SUM(ISBLANK(Model!D93:K93)*1)&gt;0,0,IF(M94=N94,1,0))</f>
        <v>1</v>
      </c>
    </row>
    <row r="95" spans="1:15" ht="15" customHeight="1" outlineLevel="1">
      <c r="B95" s="50" t="s">
        <v>68</v>
      </c>
      <c r="D95" s="122"/>
      <c r="E95" s="122"/>
      <c r="F95" s="122"/>
      <c r="G95" s="122"/>
      <c r="H95" s="122"/>
      <c r="I95" s="122"/>
      <c r="J95" s="122"/>
      <c r="K95" s="122"/>
    </row>
    <row r="96" spans="1:15" ht="15" customHeight="1" outlineLevel="1">
      <c r="B96" s="123" t="s">
        <v>45</v>
      </c>
      <c r="C96" s="50"/>
      <c r="D96" s="51">
        <f>Model!D138</f>
        <v>-1280</v>
      </c>
      <c r="E96" s="51">
        <f>Model!E138</f>
        <v>-1389</v>
      </c>
      <c r="F96" s="51">
        <f>Model!F138</f>
        <v>-647.20854794520528</v>
      </c>
      <c r="G96" s="51">
        <f>Model!G138</f>
        <v>-1498.6942246575345</v>
      </c>
      <c r="H96" s="51">
        <f>Model!H138</f>
        <v>-973.19416635616471</v>
      </c>
      <c r="I96" s="51">
        <f>Model!I138</f>
        <v>-1031.5858163375378</v>
      </c>
      <c r="J96" s="51">
        <f>Model!J138</f>
        <v>-1093.4809653177872</v>
      </c>
      <c r="K96" s="51">
        <f>Model!K138</f>
        <v>-1159.0898232368527</v>
      </c>
      <c r="M96" s="167">
        <f>SUM(Model!D95:K95)</f>
        <v>-9072.2535438510822</v>
      </c>
      <c r="N96" s="166">
        <f>SUM(D96:K96)</f>
        <v>-9072.2535438510822</v>
      </c>
      <c r="O96" s="165" cm="1">
        <f t="array" ref="O96">IF(SUM(ISBLANK(Model!D95:K95)*1)&gt;0,0,IF(M96=N96,1,0))</f>
        <v>1</v>
      </c>
    </row>
    <row r="97" spans="2:15" ht="15" customHeight="1" outlineLevel="1">
      <c r="B97" s="123" t="s">
        <v>67</v>
      </c>
      <c r="C97" s="50"/>
      <c r="D97" s="51">
        <f>Model!D139</f>
        <v>-470</v>
      </c>
      <c r="E97" s="51">
        <f>Model!E139</f>
        <v>-523</v>
      </c>
      <c r="F97" s="51">
        <f>Model!F139</f>
        <v>-345.33187945205464</v>
      </c>
      <c r="G97" s="51">
        <f>Model!G139</f>
        <v>-1087.3634301369857</v>
      </c>
      <c r="H97" s="51">
        <f>Model!H139</f>
        <v>-547.42171857534413</v>
      </c>
      <c r="I97" s="51">
        <f>Model!I139</f>
        <v>-580.2670216898623</v>
      </c>
      <c r="J97" s="51">
        <f>Model!J139</f>
        <v>-615.08304299125666</v>
      </c>
      <c r="K97" s="51">
        <f>Model!K139</f>
        <v>-651.98802557073031</v>
      </c>
      <c r="M97" s="164">
        <f>SUM(Model!D96:K96)</f>
        <v>-4820.4551184162337</v>
      </c>
      <c r="N97" s="163">
        <f>SUM(D97:K97)</f>
        <v>-4820.4551184162337</v>
      </c>
      <c r="O97" s="162" cm="1">
        <f t="array" ref="O97">IF(SUM(ISBLANK(Model!D96:K96)*1)&gt;0,0,IF(M97=N97,1,0))</f>
        <v>1</v>
      </c>
    </row>
    <row r="98" spans="2:15" ht="15" customHeight="1" outlineLevel="1">
      <c r="B98" s="123" t="s">
        <v>43</v>
      </c>
      <c r="C98" s="50"/>
      <c r="D98" s="51">
        <f>Model!D140</f>
        <v>490</v>
      </c>
      <c r="E98" s="51">
        <f>Model!E140</f>
        <v>503</v>
      </c>
      <c r="F98" s="51">
        <f>Model!F140</f>
        <v>573.10610410958907</v>
      </c>
      <c r="G98" s="51">
        <f>Model!G140</f>
        <v>1087.8209753424653</v>
      </c>
      <c r="H98" s="51">
        <f>Model!H140</f>
        <v>729.8956247671249</v>
      </c>
      <c r="I98" s="51">
        <f>Model!I140</f>
        <v>773.68936225314974</v>
      </c>
      <c r="J98" s="51">
        <f>Model!J140</f>
        <v>820.11072398834222</v>
      </c>
      <c r="K98" s="51">
        <f>Model!K140</f>
        <v>869.31736742764042</v>
      </c>
      <c r="M98" s="164">
        <f>SUM(Model!D97:K97)</f>
        <v>5846.9401578883117</v>
      </c>
      <c r="N98" s="163">
        <f>SUM(D98:K98)</f>
        <v>5846.9401578883117</v>
      </c>
      <c r="O98" s="162" cm="1">
        <f t="array" ref="O98">IF(SUM(ISBLANK(Model!D97:K97)*1)&gt;0,0,IF(M98=N98,1,0))</f>
        <v>1</v>
      </c>
    </row>
    <row r="99" spans="2:15" ht="15" customHeight="1" outlineLevel="1">
      <c r="B99" s="123" t="s">
        <v>42</v>
      </c>
      <c r="C99" s="50"/>
      <c r="D99" s="51">
        <f>Model!D141</f>
        <v>50</v>
      </c>
      <c r="E99" s="51">
        <f>Model!E141</f>
        <v>-194</v>
      </c>
      <c r="F99" s="51">
        <f>Model!F141</f>
        <v>-313</v>
      </c>
      <c r="G99" s="51">
        <f>Model!G141</f>
        <v>322.41252582400057</v>
      </c>
      <c r="H99" s="51">
        <f>Model!H141</f>
        <v>133.5897315494401</v>
      </c>
      <c r="I99" s="51">
        <f>Model!I141</f>
        <v>144.48889544240706</v>
      </c>
      <c r="J99" s="51">
        <f>Model!J141</f>
        <v>156.1596691689515</v>
      </c>
      <c r="K99" s="51">
        <f>Model!K141</f>
        <v>168.66166931908788</v>
      </c>
      <c r="M99" s="164">
        <f>SUM(Model!D98:K98)</f>
        <v>468.3124913038871</v>
      </c>
      <c r="N99" s="163">
        <f>SUM(D99:K99)</f>
        <v>468.3124913038871</v>
      </c>
      <c r="O99" s="162" cm="1">
        <f t="array" ref="O99">IF(SUM(ISBLANK(Model!D98:K98)*1)&gt;0,0,IF(M99=N99,1,0))</f>
        <v>1</v>
      </c>
    </row>
    <row r="100" spans="2:15" ht="15" customHeight="1" outlineLevel="1">
      <c r="B100" s="50" t="s">
        <v>66</v>
      </c>
      <c r="D100" s="118">
        <f>SUM(Model!D92:D98)</f>
        <v>6935</v>
      </c>
      <c r="E100" s="118">
        <f>SUM(Model!E92:E98)</f>
        <v>8749</v>
      </c>
      <c r="F100" s="118">
        <f>SUM(Model!F92:F98)</f>
        <v>10882.593892712332</v>
      </c>
      <c r="G100" s="118">
        <f>SUM(Model!G92:G98)</f>
        <v>7678.8463615719502</v>
      </c>
      <c r="H100" s="118">
        <f>SUM(Model!H92:H98)</f>
        <v>9229.4462174970613</v>
      </c>
      <c r="I100" s="118">
        <f>SUM(Model!I92:I98)</f>
        <v>10304.908770546886</v>
      </c>
      <c r="J100" s="118">
        <f>SUM(Model!J92:J98)</f>
        <v>11463.944736779709</v>
      </c>
      <c r="K100" s="118">
        <f>SUM(Model!K92:K98)</f>
        <v>12712.407840986491</v>
      </c>
      <c r="M100" s="161">
        <f>SUM(Model!D99:K99)</f>
        <v>77956.147820094426</v>
      </c>
      <c r="N100" s="160">
        <f>SUM(D100:K100)</f>
        <v>77956.147820094426</v>
      </c>
      <c r="O100" s="159" cm="1">
        <f t="array" ref="O100">IF(SUM(ISBLANK(Model!D99:K99)*1)&gt;0,0,IF(M100=N100,1,0))</f>
        <v>1</v>
      </c>
    </row>
    <row r="101" spans="2:15" ht="15" customHeight="1" outlineLevel="1">
      <c r="D101" s="122"/>
      <c r="E101" s="122"/>
      <c r="F101" s="122"/>
      <c r="G101" s="57"/>
      <c r="H101" s="57"/>
      <c r="I101" s="57"/>
      <c r="J101" s="57"/>
      <c r="K101" s="57"/>
    </row>
    <row r="102" spans="2:15" ht="15" customHeight="1" outlineLevel="1">
      <c r="B102" s="52" t="s">
        <v>65</v>
      </c>
      <c r="C102" s="52"/>
      <c r="D102" s="122"/>
      <c r="E102" s="122"/>
      <c r="F102" s="122"/>
      <c r="G102" s="57"/>
      <c r="H102" s="57"/>
      <c r="I102" s="57"/>
      <c r="J102" s="57"/>
      <c r="K102" s="57"/>
    </row>
    <row r="103" spans="2:15" ht="15" customHeight="1" outlineLevel="1">
      <c r="B103" s="50" t="s">
        <v>64</v>
      </c>
      <c r="D103" s="121">
        <v>-3004.9999999999973</v>
      </c>
      <c r="E103" s="121">
        <v>-3911.0000000000018</v>
      </c>
      <c r="F103" s="121">
        <v>-3710.8353600000046</v>
      </c>
      <c r="G103" s="51">
        <f>-Model!G150</f>
        <v>-5199.197982870588</v>
      </c>
      <c r="H103" s="51">
        <f>-Model!H150</f>
        <v>-4739.9262853722357</v>
      </c>
      <c r="I103" s="51">
        <f>-Model!I150</f>
        <v>-5024.3218624945766</v>
      </c>
      <c r="J103" s="51">
        <f>-Model!J150</f>
        <v>-5325.7811742442464</v>
      </c>
      <c r="K103" s="51">
        <f>-Model!K150</f>
        <v>-5645.3280446989011</v>
      </c>
      <c r="M103" s="167">
        <f>SUM(Model!G102:K102)</f>
        <v>-25934.555349680548</v>
      </c>
      <c r="N103" s="166">
        <f>SUM(G103:K103)</f>
        <v>-25934.555349680548</v>
      </c>
      <c r="O103" s="165" cm="1">
        <f t="array" ref="O103">IF(SUM(ISBLANK(Model!G102:K102)*1)&gt;0,0,IF(M103=N103,1,0))</f>
        <v>1</v>
      </c>
    </row>
    <row r="104" spans="2:15" ht="15" customHeight="1" outlineLevel="1">
      <c r="B104" s="50" t="s">
        <v>63</v>
      </c>
      <c r="D104" s="118">
        <f>SUM(Model!D102)</f>
        <v>-3004.9999999999973</v>
      </c>
      <c r="E104" s="118">
        <f>SUM(Model!E102)</f>
        <v>-3911.0000000000018</v>
      </c>
      <c r="F104" s="118">
        <f>SUM(Model!F102)</f>
        <v>-3710.8353600000046</v>
      </c>
      <c r="G104" s="118">
        <f>SUM(Model!G102)</f>
        <v>-5199.197982870588</v>
      </c>
      <c r="H104" s="118">
        <f>SUM(Model!H102)</f>
        <v>-4739.9262853722357</v>
      </c>
      <c r="I104" s="118">
        <f>SUM(Model!I102)</f>
        <v>-5024.3218624945766</v>
      </c>
      <c r="J104" s="118">
        <f>SUM(Model!J102)</f>
        <v>-5325.7811742442464</v>
      </c>
      <c r="K104" s="118">
        <f>SUM(Model!K102)</f>
        <v>-5645.3280446989011</v>
      </c>
      <c r="M104" s="161">
        <f>SUM(Model!D103:K103)</f>
        <v>-36561.390709680549</v>
      </c>
      <c r="N104" s="160">
        <f>SUM(D104:K104)</f>
        <v>-36561.390709680549</v>
      </c>
      <c r="O104" s="159" cm="1">
        <f t="array" ref="O104">IF(SUM(ISBLANK(Model!D103:K103)*1)&gt;0,0,IF(M104=N104,1,0))</f>
        <v>1</v>
      </c>
    </row>
    <row r="105" spans="2:15" ht="15" customHeight="1" outlineLevel="1">
      <c r="D105" s="122"/>
      <c r="E105" s="122"/>
      <c r="F105" s="122"/>
      <c r="G105" s="57"/>
      <c r="H105" s="57"/>
      <c r="I105" s="57"/>
      <c r="J105" s="57"/>
      <c r="K105" s="57"/>
    </row>
    <row r="106" spans="2:15" ht="15" customHeight="1" outlineLevel="1">
      <c r="B106" s="52" t="s">
        <v>62</v>
      </c>
      <c r="C106" s="52"/>
      <c r="D106" s="122"/>
      <c r="E106" s="122"/>
      <c r="F106" s="122"/>
      <c r="G106" s="57"/>
      <c r="H106" s="57"/>
      <c r="I106" s="57"/>
      <c r="J106" s="57"/>
      <c r="K106" s="57"/>
    </row>
    <row r="107" spans="2:15" ht="15" customHeight="1" outlineLevel="1">
      <c r="B107" s="50" t="s">
        <v>61</v>
      </c>
      <c r="D107" s="121">
        <v>0</v>
      </c>
      <c r="E107" s="51">
        <f>Model!E172</f>
        <v>0</v>
      </c>
      <c r="F107" s="51">
        <f>Model!F172</f>
        <v>0</v>
      </c>
      <c r="G107" s="51">
        <f>Model!G172</f>
        <v>0</v>
      </c>
      <c r="H107" s="51">
        <f>Model!H172</f>
        <v>0</v>
      </c>
      <c r="I107" s="51">
        <f>Model!I172</f>
        <v>0</v>
      </c>
      <c r="J107" s="51">
        <f>Model!J172</f>
        <v>0</v>
      </c>
      <c r="K107" s="51">
        <f>Model!K172</f>
        <v>0</v>
      </c>
      <c r="M107" s="167">
        <f>SUM(Model!E106:K106)</f>
        <v>0</v>
      </c>
      <c r="N107" s="166">
        <f>SUM(E107:K107)</f>
        <v>0</v>
      </c>
      <c r="O107" s="165" cm="1">
        <f t="array" ref="O107">IF(SUM(ISBLANK(Model!E106:K106)*1)&gt;0,0,IF(M107=N107,1,0))</f>
        <v>1</v>
      </c>
    </row>
    <row r="108" spans="2:15" ht="15" customHeight="1" outlineLevel="1">
      <c r="B108" s="50" t="s">
        <v>60</v>
      </c>
      <c r="D108" s="51">
        <f>-Model!D50</f>
        <v>-4312</v>
      </c>
      <c r="E108" s="51">
        <f>-Model!E50</f>
        <v>-4209</v>
      </c>
      <c r="F108" s="51">
        <f>-Model!F50</f>
        <v>-2930.9750848000026</v>
      </c>
      <c r="G108" s="51">
        <f>-Model!G50</f>
        <v>-3988.0372761600029</v>
      </c>
      <c r="H108" s="51">
        <f>-Model!H50</f>
        <v>-4577.7577127296026</v>
      </c>
      <c r="I108" s="51">
        <f>-Model!I50</f>
        <v>-5215.5915754933812</v>
      </c>
      <c r="J108" s="51">
        <f>-Model!J50</f>
        <v>-5904.9450700229881</v>
      </c>
      <c r="K108" s="51">
        <f>-Model!K50</f>
        <v>-6649.4875742243657</v>
      </c>
      <c r="M108" s="164">
        <f>SUM(Model!D107:K107)</f>
        <v>-37787.794293430343</v>
      </c>
      <c r="N108" s="163">
        <f>SUM(D108:K108)</f>
        <v>-37787.794293430343</v>
      </c>
      <c r="O108" s="162" cm="1">
        <f t="array" ref="O108">IF(SUM(ISBLANK(Model!D107:K107)*1)&gt;0,0,IF(M108=N108,1,0))</f>
        <v>1</v>
      </c>
    </row>
    <row r="109" spans="2:15" ht="15" customHeight="1" outlineLevel="1">
      <c r="B109" s="50" t="s">
        <v>59</v>
      </c>
      <c r="D109" s="121">
        <v>0</v>
      </c>
      <c r="E109" s="51">
        <f>Model!E162</f>
        <v>0</v>
      </c>
      <c r="F109" s="51">
        <f>Model!F162</f>
        <v>0</v>
      </c>
      <c r="G109" s="51">
        <f>Model!G162</f>
        <v>0</v>
      </c>
      <c r="H109" s="51">
        <f>Model!H162</f>
        <v>0</v>
      </c>
      <c r="I109" s="51">
        <f>Model!I162</f>
        <v>0</v>
      </c>
      <c r="J109" s="51">
        <f>Model!J162</f>
        <v>0</v>
      </c>
      <c r="K109" s="51">
        <f>Model!K162</f>
        <v>0</v>
      </c>
      <c r="M109" s="164">
        <f>SUM(Model!E108:K108)</f>
        <v>0</v>
      </c>
      <c r="N109" s="163">
        <f>SUM(E109:K109)</f>
        <v>0</v>
      </c>
      <c r="O109" s="162" cm="1">
        <f t="array" ref="O109">IF(SUM(ISBLANK(Model!E108:K108)*1)&gt;0,0,IF(M109=N109,1,0))</f>
        <v>1</v>
      </c>
    </row>
    <row r="110" spans="2:15" ht="15" customHeight="1" outlineLevel="1">
      <c r="B110" s="50" t="s">
        <v>58</v>
      </c>
      <c r="D110" s="118">
        <f>SUM(Model!D106:D108)</f>
        <v>-4312</v>
      </c>
      <c r="E110" s="118">
        <f>SUM(Model!E106:E108)</f>
        <v>-4209</v>
      </c>
      <c r="F110" s="118">
        <f>SUM(Model!F106:F108)</f>
        <v>-2930.9750848000026</v>
      </c>
      <c r="G110" s="118">
        <f>SUM(Model!G106:G108)</f>
        <v>-3988.0372761600029</v>
      </c>
      <c r="H110" s="118">
        <f>SUM(Model!H106:H108)</f>
        <v>-4577.7577127296026</v>
      </c>
      <c r="I110" s="118">
        <f>SUM(Model!I106:I108)</f>
        <v>-5215.5915754933812</v>
      </c>
      <c r="J110" s="118">
        <f>SUM(Model!J106:J108)</f>
        <v>-5904.9450700229881</v>
      </c>
      <c r="K110" s="118">
        <f>SUM(Model!K106:K108)</f>
        <v>-6649.4875742243657</v>
      </c>
      <c r="M110" s="161">
        <f>SUM(Model!D109:K109)</f>
        <v>-37787.794293430343</v>
      </c>
      <c r="N110" s="160">
        <f>SUM(D110:K110)</f>
        <v>-37787.794293430343</v>
      </c>
      <c r="O110" s="159" cm="1">
        <f t="array" ref="O110">IF(SUM(ISBLANK(Model!D109:K109)*1)&gt;0,0,IF(M110=N110,1,0))</f>
        <v>1</v>
      </c>
    </row>
    <row r="111" spans="2:15" ht="15" customHeight="1" outlineLevel="1">
      <c r="B111" s="50"/>
      <c r="D111" s="122"/>
      <c r="E111" s="122"/>
      <c r="F111" s="122"/>
      <c r="G111" s="57"/>
      <c r="H111" s="57"/>
      <c r="I111" s="57"/>
      <c r="J111" s="57"/>
      <c r="K111" s="57"/>
    </row>
    <row r="112" spans="2:15" ht="15" customHeight="1" outlineLevel="1">
      <c r="B112" s="50" t="s">
        <v>57</v>
      </c>
      <c r="D112" s="121">
        <v>5671</v>
      </c>
      <c r="E112" s="51">
        <f>Model!D113</f>
        <v>5289.0000000000027</v>
      </c>
      <c r="F112" s="51">
        <f>Model!E113</f>
        <v>5918.0000000000009</v>
      </c>
      <c r="G112" s="51">
        <f>Model!F113</f>
        <v>10158.783447912327</v>
      </c>
      <c r="H112" s="51">
        <f>Model!G113</f>
        <v>8650.394550453686</v>
      </c>
      <c r="I112" s="51">
        <f>Model!H113</f>
        <v>8562.1567698489089</v>
      </c>
      <c r="J112" s="51">
        <f>Model!I113</f>
        <v>8627.1521024078374</v>
      </c>
      <c r="K112" s="51">
        <f>Model!J113</f>
        <v>8860.3705949203122</v>
      </c>
      <c r="M112" s="167">
        <f>SUM(Model!E111:K111)</f>
        <v>56065.857465543078</v>
      </c>
      <c r="N112" s="166">
        <f>SUM(E112:K112)</f>
        <v>56065.857465543078</v>
      </c>
      <c r="O112" s="165" cm="1">
        <f t="array" ref="O112">IF(SUM(ISBLANK(Model!E111:K111)*1)&gt;0,0,IF(M112=N112,1,0))</f>
        <v>1</v>
      </c>
    </row>
    <row r="113" spans="1:15" ht="15" customHeight="1" outlineLevel="1">
      <c r="B113" s="50" t="s">
        <v>56</v>
      </c>
      <c r="D113" s="51">
        <f>Model!D99+Model!D103+Model!D109</f>
        <v>-381.99999999999727</v>
      </c>
      <c r="E113" s="51">
        <f>Model!E99+Model!E103+Model!E109</f>
        <v>628.99999999999818</v>
      </c>
      <c r="F113" s="51">
        <f>Model!F99+Model!F103+Model!F109</f>
        <v>4240.7834479123248</v>
      </c>
      <c r="G113" s="51">
        <f>Model!G99+Model!G103+Model!G109</f>
        <v>-1508.3888974586407</v>
      </c>
      <c r="H113" s="51">
        <f>Model!H99+Model!H103+Model!H109</f>
        <v>-88.237780604777072</v>
      </c>
      <c r="I113" s="51">
        <f>Model!I99+Model!I103+Model!I109</f>
        <v>64.995332558928567</v>
      </c>
      <c r="J113" s="51">
        <f>Model!J99+Model!J103+Model!J109</f>
        <v>233.21849251247477</v>
      </c>
      <c r="K113" s="51">
        <f>Model!K99+Model!K103+Model!K109</f>
        <v>417.59222206322374</v>
      </c>
      <c r="M113" s="164">
        <f>SUM(Model!D112:K112)</f>
        <v>3606.962816983535</v>
      </c>
      <c r="N113" s="163">
        <f>SUM(D113:K113)</f>
        <v>3606.962816983535</v>
      </c>
      <c r="O113" s="162" cm="1">
        <f t="array" ref="O113">IF(SUM(ISBLANK(Model!D112:K112)*1)&gt;0,0,IF(M113=N113,1,0))</f>
        <v>1</v>
      </c>
    </row>
    <row r="114" spans="1:15" ht="15" customHeight="1" outlineLevel="1" thickBot="1">
      <c r="B114" s="69" t="s">
        <v>55</v>
      </c>
      <c r="C114" s="52"/>
      <c r="D114" s="120">
        <f>SUM(Model!D111:D112)</f>
        <v>5289.0000000000027</v>
      </c>
      <c r="E114" s="120">
        <f>SUM(Model!E111:E112)</f>
        <v>5918.0000000000009</v>
      </c>
      <c r="F114" s="120">
        <f>SUM(Model!F111:F112)</f>
        <v>10158.783447912327</v>
      </c>
      <c r="G114" s="120">
        <f>SUM(Model!G111:G112)</f>
        <v>8650.394550453686</v>
      </c>
      <c r="H114" s="120">
        <f>SUM(Model!H111:H112)</f>
        <v>8562.1567698489089</v>
      </c>
      <c r="I114" s="120">
        <f>SUM(Model!I111:I112)</f>
        <v>8627.1521024078374</v>
      </c>
      <c r="J114" s="120">
        <f>SUM(Model!J111:J112)</f>
        <v>8860.3705949203122</v>
      </c>
      <c r="K114" s="120">
        <f>SUM(Model!K111:K112)</f>
        <v>9277.962816983536</v>
      </c>
      <c r="M114" s="161">
        <f>SUM(Model!D113:K113)</f>
        <v>65343.820282526613</v>
      </c>
      <c r="N114" s="160">
        <f>SUM(D114:K114)</f>
        <v>65343.820282526613</v>
      </c>
      <c r="O114" s="159" cm="1">
        <f t="array" ref="O114">IF(SUM(ISBLANK(Model!D113:K113)*1)&gt;0,0,IF(M114=N114,1,0))</f>
        <v>1</v>
      </c>
    </row>
    <row r="115" spans="1:15" ht="15" customHeight="1" outlineLevel="1">
      <c r="B115" s="52"/>
      <c r="C115" s="52"/>
      <c r="D115" s="66"/>
      <c r="E115" s="66"/>
      <c r="F115" s="66"/>
      <c r="G115" s="66"/>
      <c r="H115" s="66"/>
      <c r="I115" s="66"/>
      <c r="J115" s="66"/>
      <c r="K115" s="66"/>
    </row>
    <row r="116" spans="1:15" ht="15" customHeight="1" outlineLevel="1">
      <c r="B116" s="44"/>
      <c r="C116" s="44"/>
      <c r="D116" s="65"/>
      <c r="E116" s="65"/>
      <c r="F116" s="65"/>
      <c r="G116" s="65"/>
      <c r="H116" s="65"/>
      <c r="I116" s="65"/>
      <c r="J116" s="65"/>
      <c r="K116" s="65"/>
    </row>
    <row r="117" spans="1:15" ht="15" customHeight="1">
      <c r="D117" s="57"/>
      <c r="E117" s="57"/>
      <c r="F117" s="57"/>
      <c r="G117" s="57"/>
      <c r="H117" s="57"/>
      <c r="I117" s="57"/>
      <c r="J117" s="57"/>
      <c r="K117" s="57"/>
    </row>
    <row r="118" spans="1:15" s="47" customFormat="1" ht="15" customHeight="1">
      <c r="A118" s="47" t="s">
        <v>0</v>
      </c>
      <c r="B118" s="64" t="s">
        <v>54</v>
      </c>
      <c r="C118" s="64"/>
      <c r="D118" s="64"/>
      <c r="E118" s="64"/>
      <c r="F118" s="64"/>
      <c r="G118" s="64"/>
      <c r="H118" s="64"/>
      <c r="I118" s="64"/>
      <c r="J118" s="64"/>
      <c r="K118" s="64"/>
    </row>
    <row r="119" spans="1:15" s="47" customFormat="1" ht="15" customHeight="1" outlineLevel="1">
      <c r="B119" s="63"/>
      <c r="C119" s="63"/>
      <c r="D119" s="62"/>
      <c r="E119" s="62"/>
      <c r="F119" s="62"/>
      <c r="G119" s="62"/>
      <c r="H119" s="62"/>
      <c r="I119" s="62"/>
      <c r="J119" s="62"/>
      <c r="K119" s="62"/>
    </row>
    <row r="120" spans="1:15" s="47" customFormat="1" ht="15" customHeight="1" outlineLevel="1" thickBot="1">
      <c r="B120" s="59" t="s">
        <v>18</v>
      </c>
      <c r="C120" s="59"/>
      <c r="D120" s="61">
        <f t="shared" ref="D120:K120" si="6">+D$5</f>
        <v>-2</v>
      </c>
      <c r="E120" s="61">
        <f t="shared" si="6"/>
        <v>-1</v>
      </c>
      <c r="F120" s="61">
        <f t="shared" si="6"/>
        <v>0</v>
      </c>
      <c r="G120" s="60">
        <f t="shared" si="6"/>
        <v>1</v>
      </c>
      <c r="H120" s="60">
        <f t="shared" si="6"/>
        <v>2</v>
      </c>
      <c r="I120" s="60">
        <f t="shared" si="6"/>
        <v>3</v>
      </c>
      <c r="J120" s="60">
        <f t="shared" si="6"/>
        <v>4</v>
      </c>
      <c r="K120" s="60">
        <f t="shared" si="6"/>
        <v>5</v>
      </c>
    </row>
    <row r="121" spans="1:15" s="47" customFormat="1" ht="15" customHeight="1" outlineLevel="1" thickBot="1">
      <c r="B121" s="63"/>
      <c r="C121" s="63"/>
      <c r="D121" s="62"/>
      <c r="E121" s="62"/>
      <c r="F121" s="62"/>
      <c r="G121" s="62"/>
      <c r="H121" s="62"/>
      <c r="I121" s="62"/>
      <c r="J121" s="62"/>
      <c r="K121" s="62"/>
      <c r="M121" s="172" t="s">
        <v>110</v>
      </c>
      <c r="N121" s="171" t="s">
        <v>109</v>
      </c>
      <c r="O121" s="170" t="s">
        <v>108</v>
      </c>
    </row>
    <row r="122" spans="1:15" ht="15" customHeight="1" outlineLevel="1">
      <c r="B122" s="43" t="s">
        <v>53</v>
      </c>
      <c r="D122" s="119">
        <f>Model!D6</f>
        <v>365</v>
      </c>
      <c r="E122" s="118">
        <f>Model!E6</f>
        <v>365</v>
      </c>
      <c r="F122" s="118">
        <f>Model!F6</f>
        <v>365</v>
      </c>
      <c r="G122" s="118">
        <f>Model!G6</f>
        <v>365</v>
      </c>
      <c r="H122" s="118">
        <f>Model!H6</f>
        <v>365</v>
      </c>
      <c r="I122" s="118">
        <f>Model!I6</f>
        <v>365</v>
      </c>
      <c r="J122" s="118">
        <f>Model!J6</f>
        <v>365</v>
      </c>
      <c r="K122" s="117">
        <f>Model!K6</f>
        <v>365</v>
      </c>
      <c r="M122" s="164">
        <f>SUM(Model!D121:K121)</f>
        <v>2920</v>
      </c>
      <c r="N122" s="163">
        <f>SUM(D122:K122)</f>
        <v>2920</v>
      </c>
      <c r="O122" s="162" cm="1">
        <f t="array" ref="O122">IF(SUM(ISBLANK(Model!D121:K121)*1)&gt;0,0,IF(M122=N122,1,0))</f>
        <v>1</v>
      </c>
    </row>
    <row r="123" spans="1:15" ht="15" customHeight="1" outlineLevel="1">
      <c r="B123" s="43" t="s">
        <v>17</v>
      </c>
      <c r="D123" s="116">
        <f>Model!D34</f>
        <v>81422</v>
      </c>
      <c r="E123" s="115">
        <f>Model!E34</f>
        <v>86698</v>
      </c>
      <c r="F123" s="115">
        <f>Model!F34</f>
        <v>93085.92</v>
      </c>
      <c r="G123" s="115">
        <f>Model!G34</f>
        <v>98671.075200000007</v>
      </c>
      <c r="H123" s="115">
        <f>Model!H34</f>
        <v>104591.33971200002</v>
      </c>
      <c r="I123" s="115">
        <f>Model!I34</f>
        <v>110866.82009472002</v>
      </c>
      <c r="J123" s="115">
        <f>Model!J34</f>
        <v>117518.82930040323</v>
      </c>
      <c r="K123" s="114">
        <f>Model!K34</f>
        <v>124569.95905842743</v>
      </c>
      <c r="M123" s="164">
        <f>SUM(Model!D122:K122)</f>
        <v>817423.9433655506</v>
      </c>
      <c r="N123" s="163">
        <f>SUM(D123:K123)</f>
        <v>817423.9433655506</v>
      </c>
      <c r="O123" s="162" cm="1">
        <f t="array" ref="O123">IF(SUM(ISBLANK(Model!D122:K122)*1)&gt;0,0,IF(M123=N123,1,0))</f>
        <v>1</v>
      </c>
    </row>
    <row r="124" spans="1:15" ht="15" customHeight="1" outlineLevel="1">
      <c r="B124" s="43" t="s">
        <v>52</v>
      </c>
      <c r="D124" s="116">
        <f>-Model!D35</f>
        <v>38121</v>
      </c>
      <c r="E124" s="115">
        <f>-Model!E35</f>
        <v>37756</v>
      </c>
      <c r="F124" s="115">
        <f>-Model!F35</f>
        <v>39638.663999999997</v>
      </c>
      <c r="G124" s="115">
        <f>-Model!G35</f>
        <v>44401.983840000001</v>
      </c>
      <c r="H124" s="115">
        <f>-Model!H35</f>
        <v>47066.102870400005</v>
      </c>
      <c r="I124" s="115">
        <f>-Model!I35</f>
        <v>49890.069042624003</v>
      </c>
      <c r="J124" s="115">
        <f>-Model!J35</f>
        <v>52883.47318518145</v>
      </c>
      <c r="K124" s="114">
        <f>-Model!K35</f>
        <v>56056.481576292339</v>
      </c>
      <c r="M124" s="164">
        <f>SUM(Model!D123:K123)</f>
        <v>365813.77451449784</v>
      </c>
      <c r="N124" s="163">
        <f>SUM(D124:K124)</f>
        <v>365813.77451449784</v>
      </c>
      <c r="O124" s="162" cm="1">
        <f t="array" ref="O124">IF(SUM(ISBLANK(Model!D123:K123)*1)&gt;0,0,IF(M124=N124,1,0))</f>
        <v>1</v>
      </c>
    </row>
    <row r="125" spans="1:15" ht="15" customHeight="1" outlineLevel="1">
      <c r="B125" s="43" t="s">
        <v>51</v>
      </c>
      <c r="D125" s="113">
        <f>-Model!D47</f>
        <v>2761</v>
      </c>
      <c r="E125" s="112">
        <f>-Model!E47</f>
        <v>2429</v>
      </c>
      <c r="F125" s="112">
        <f>-Model!F47</f>
        <v>1570.1652240000001</v>
      </c>
      <c r="G125" s="112">
        <f>-Model!G47</f>
        <v>2441.6554752000015</v>
      </c>
      <c r="H125" s="112">
        <f>-Model!H47</f>
        <v>2802.7088037120016</v>
      </c>
      <c r="I125" s="112">
        <f>-Model!I47</f>
        <v>3193.2193319347239</v>
      </c>
      <c r="J125" s="112">
        <f>-Model!J47</f>
        <v>3615.2724918508088</v>
      </c>
      <c r="K125" s="111">
        <f>-Model!K47</f>
        <v>4071.1148413618571</v>
      </c>
      <c r="M125" s="161">
        <f>SUM(Model!D124:K124)</f>
        <v>22884.136168059395</v>
      </c>
      <c r="N125" s="160">
        <f>SUM(D125:K125)</f>
        <v>22884.136168059395</v>
      </c>
      <c r="O125" s="159" cm="1">
        <f t="array" ref="O125">IF(SUM(ISBLANK(Model!D124:K124)*1)&gt;0,0,IF(M125=N125,1,0))</f>
        <v>1</v>
      </c>
    </row>
    <row r="126" spans="1:15" ht="15" customHeight="1" outlineLevel="1">
      <c r="B126" s="52"/>
      <c r="C126" s="52"/>
      <c r="D126" s="107"/>
      <c r="E126" s="107"/>
      <c r="F126" s="107"/>
      <c r="G126" s="109"/>
      <c r="H126" s="109"/>
      <c r="I126" s="109"/>
      <c r="J126" s="109"/>
      <c r="K126" s="109"/>
    </row>
    <row r="127" spans="1:15" ht="15" customHeight="1" outlineLevel="1">
      <c r="B127" s="43" t="s">
        <v>45</v>
      </c>
      <c r="C127" s="92" t="s">
        <v>50</v>
      </c>
      <c r="D127" s="51">
        <f>Model!D20</f>
        <v>56.864545208911593</v>
      </c>
      <c r="E127" s="51">
        <f>Model!E20</f>
        <v>59.251770513737341</v>
      </c>
      <c r="F127" s="51">
        <f>Model!F20</f>
        <v>57.723457210284863</v>
      </c>
      <c r="G127" s="51">
        <f>Model!G20</f>
        <v>60</v>
      </c>
      <c r="H127" s="51">
        <f>Model!H20</f>
        <v>60</v>
      </c>
      <c r="I127" s="51">
        <f>Model!I20</f>
        <v>60</v>
      </c>
      <c r="J127" s="51">
        <f>Model!J20</f>
        <v>60</v>
      </c>
      <c r="K127" s="51">
        <f>Model!K20</f>
        <v>60</v>
      </c>
      <c r="M127" s="167">
        <f>SUM(Model!D126:K126)</f>
        <v>473.83977293293378</v>
      </c>
      <c r="N127" s="166">
        <f>SUM(D127:K127)</f>
        <v>473.83977293293378</v>
      </c>
      <c r="O127" s="165" cm="1">
        <f t="array" ref="O127">IF(SUM(ISBLANK(Model!D126:K126)*1)&gt;0,0,IF(M127=N127,1,0))</f>
        <v>1</v>
      </c>
    </row>
    <row r="128" spans="1:15" ht="15" customHeight="1" outlineLevel="1">
      <c r="B128" s="43" t="s">
        <v>44</v>
      </c>
      <c r="C128" s="92" t="s">
        <v>50</v>
      </c>
      <c r="D128" s="51">
        <f>Model!D21</f>
        <v>68.631987618373074</v>
      </c>
      <c r="E128" s="51">
        <f>Model!E21</f>
        <v>74.351493802309562</v>
      </c>
      <c r="F128" s="51">
        <f>Model!F21</f>
        <v>74</v>
      </c>
      <c r="G128" s="51">
        <f>Model!G21</f>
        <v>75</v>
      </c>
      <c r="H128" s="51">
        <f>Model!H21</f>
        <v>75</v>
      </c>
      <c r="I128" s="51">
        <f>Model!I21</f>
        <v>75</v>
      </c>
      <c r="J128" s="51">
        <f>Model!J21</f>
        <v>75</v>
      </c>
      <c r="K128" s="51">
        <f>Model!K21</f>
        <v>75</v>
      </c>
      <c r="M128" s="164">
        <f>SUM(Model!D127:K127)</f>
        <v>591.98348142068266</v>
      </c>
      <c r="N128" s="163">
        <f>SUM(D128:K128)</f>
        <v>591.98348142068266</v>
      </c>
      <c r="O128" s="162" cm="1">
        <f t="array" ref="O128">IF(SUM(ISBLANK(Model!D127:K127)*1)&gt;0,0,IF(M128=N128,1,0))</f>
        <v>1</v>
      </c>
    </row>
    <row r="129" spans="2:15" ht="15" customHeight="1" outlineLevel="1">
      <c r="B129" s="43" t="s">
        <v>43</v>
      </c>
      <c r="C129" s="92" t="s">
        <v>50</v>
      </c>
      <c r="D129" s="51">
        <f>Model!D22</f>
        <v>95.757325358726149</v>
      </c>
      <c r="E129" s="51">
        <f>Model!E22</f>
        <v>101.54571458840979</v>
      </c>
      <c r="F129" s="51">
        <f>Model!F22</f>
        <v>102</v>
      </c>
      <c r="G129" s="51">
        <f>Model!G22</f>
        <v>100</v>
      </c>
      <c r="H129" s="51">
        <f>Model!H22</f>
        <v>100</v>
      </c>
      <c r="I129" s="51">
        <f>Model!I22</f>
        <v>100</v>
      </c>
      <c r="J129" s="51">
        <f>Model!J22</f>
        <v>100</v>
      </c>
      <c r="K129" s="51">
        <f>Model!K22</f>
        <v>100</v>
      </c>
      <c r="M129" s="164">
        <f>SUM(Model!D128:K128)</f>
        <v>799.30303994713597</v>
      </c>
      <c r="N129" s="163">
        <f>SUM(D129:K129)</f>
        <v>799.30303994713597</v>
      </c>
      <c r="O129" s="162" cm="1">
        <f t="array" ref="O129">IF(SUM(ISBLANK(Model!D128:K128)*1)&gt;0,0,IF(M129=N129,1,0))</f>
        <v>1</v>
      </c>
    </row>
    <row r="130" spans="2:15" ht="15" customHeight="1" outlineLevel="1">
      <c r="B130" s="99" t="s">
        <v>49</v>
      </c>
      <c r="D130" s="110">
        <f>Model!D23</f>
        <v>0.39406012314378847</v>
      </c>
      <c r="E130" s="110">
        <f>Model!E23</f>
        <v>0.36805269658295597</v>
      </c>
      <c r="F130" s="110">
        <f>Model!F23</f>
        <v>0.37002475352237196</v>
      </c>
      <c r="G130" s="110">
        <f>Model!G23</f>
        <v>0.37</v>
      </c>
      <c r="H130" s="110">
        <f>Model!H23</f>
        <v>0.37</v>
      </c>
      <c r="I130" s="110">
        <f>Model!I23</f>
        <v>0.37</v>
      </c>
      <c r="J130" s="110">
        <f>Model!J23</f>
        <v>0.37</v>
      </c>
      <c r="K130" s="110">
        <f>Model!K23</f>
        <v>0.37</v>
      </c>
      <c r="M130" s="169">
        <f>SUM(Model!D129:K129)</f>
        <v>2.9821375732491169</v>
      </c>
      <c r="N130" s="168">
        <f>SUM(D130:K130)</f>
        <v>2.9821375732491169</v>
      </c>
      <c r="O130" s="159" cm="1">
        <f t="array" ref="O130">IF(SUM(ISBLANK(Model!D129:K129)*1)&gt;0,0,IF(M130=N130,1,0))</f>
        <v>1</v>
      </c>
    </row>
    <row r="131" spans="2:15" ht="15" customHeight="1" outlineLevel="1">
      <c r="D131" s="107"/>
      <c r="E131" s="107"/>
      <c r="F131" s="107"/>
      <c r="G131" s="109"/>
      <c r="H131" s="109"/>
      <c r="I131" s="109"/>
      <c r="J131" s="109"/>
      <c r="K131" s="109"/>
    </row>
    <row r="132" spans="2:15" ht="15" customHeight="1" outlineLevel="1">
      <c r="B132" s="52" t="s">
        <v>48</v>
      </c>
      <c r="D132" s="107"/>
      <c r="E132" s="107"/>
      <c r="F132" s="107"/>
      <c r="G132" s="109"/>
      <c r="H132" s="109"/>
      <c r="I132" s="109"/>
      <c r="J132" s="109"/>
      <c r="K132" s="109"/>
    </row>
    <row r="133" spans="2:15" ht="15" customHeight="1" outlineLevel="1">
      <c r="B133" s="50" t="s">
        <v>45</v>
      </c>
      <c r="D133" s="104">
        <f>Model!D60</f>
        <v>12685</v>
      </c>
      <c r="E133" s="104">
        <f>Model!E60</f>
        <v>14074</v>
      </c>
      <c r="F133" s="104">
        <f>Model!F60</f>
        <v>14721.208547945205</v>
      </c>
      <c r="G133" s="104">
        <f>Model!G126/Model!G121*Model!G122</f>
        <v>16219.90277260274</v>
      </c>
      <c r="H133" s="104">
        <f>Model!H126/Model!H121*Model!H122</f>
        <v>17193.096938958905</v>
      </c>
      <c r="I133" s="104">
        <f>Model!I126/Model!I121*Model!I122</f>
        <v>18224.682755296442</v>
      </c>
      <c r="J133" s="104">
        <f>Model!J126/Model!J121*Model!J122</f>
        <v>19318.16372061423</v>
      </c>
      <c r="K133" s="104">
        <f>Model!K126/Model!K121*Model!K122</f>
        <v>20477.253543851082</v>
      </c>
      <c r="M133" s="167">
        <f>SUM(Model!D132:K132)</f>
        <v>132913.30827926862</v>
      </c>
      <c r="N133" s="166">
        <f>SUM(D133:K133)</f>
        <v>132913.30827926862</v>
      </c>
      <c r="O133" s="165" cm="1">
        <f t="array" ref="O133">IF(SUM(ISBLANK(Model!D132:K132)*1)&gt;0,0,IF(M133=N133,1,0))</f>
        <v>1</v>
      </c>
    </row>
    <row r="134" spans="2:15" ht="15" customHeight="1" outlineLevel="1">
      <c r="B134" s="50" t="s">
        <v>44</v>
      </c>
      <c r="D134" s="104">
        <f>Model!D61</f>
        <v>7168</v>
      </c>
      <c r="E134" s="104">
        <f>Model!E61</f>
        <v>7691</v>
      </c>
      <c r="F134" s="104">
        <f>Model!F61</f>
        <v>8036.3318794520546</v>
      </c>
      <c r="G134" s="104">
        <f>Model!G127/Model!G121*Model!G123</f>
        <v>9123.6953095890403</v>
      </c>
      <c r="H134" s="104">
        <f>Model!H127/Model!H121*Model!H123</f>
        <v>9671.1170281643845</v>
      </c>
      <c r="I134" s="104">
        <f>Model!I127/Model!I121*Model!I123</f>
        <v>10251.384049854247</v>
      </c>
      <c r="J134" s="104">
        <f>Model!J127/Model!J121*Model!J123</f>
        <v>10866.467092845503</v>
      </c>
      <c r="K134" s="104">
        <f>Model!K127/Model!K121*Model!K123</f>
        <v>11518.455118416234</v>
      </c>
      <c r="M134" s="164">
        <f>SUM(Model!D133:K133)</f>
        <v>74326.450478321465</v>
      </c>
      <c r="N134" s="163">
        <f>SUM(D134:K134)</f>
        <v>74326.450478321465</v>
      </c>
      <c r="O134" s="162" cm="1">
        <f t="array" ref="O134">IF(SUM(ISBLANK(Model!D133:K133)*1)&gt;0,0,IF(M134=N134,1,0))</f>
        <v>1</v>
      </c>
    </row>
    <row r="135" spans="2:15" ht="15" customHeight="1" outlineLevel="1">
      <c r="B135" s="50" t="s">
        <v>43</v>
      </c>
      <c r="D135" s="104">
        <f>Model!D69</f>
        <v>10001</v>
      </c>
      <c r="E135" s="104">
        <f>Model!E69</f>
        <v>10504</v>
      </c>
      <c r="F135" s="104">
        <f>Model!F69</f>
        <v>11077.106104109589</v>
      </c>
      <c r="G135" s="104">
        <f>Model!G128/Model!G121*Model!G123</f>
        <v>12164.927079452054</v>
      </c>
      <c r="H135" s="104">
        <f>Model!H128/Model!H121*Model!H123</f>
        <v>12894.822704219179</v>
      </c>
      <c r="I135" s="104">
        <f>Model!I128/Model!I121*Model!I123</f>
        <v>13668.512066472329</v>
      </c>
      <c r="J135" s="104">
        <f>Model!J128/Model!J121*Model!J123</f>
        <v>14488.622790460671</v>
      </c>
      <c r="K135" s="104">
        <f>Model!K128/Model!K121*Model!K123</f>
        <v>15357.940157888312</v>
      </c>
      <c r="M135" s="164">
        <f>SUM(Model!D134:K134)</f>
        <v>100156.93090260215</v>
      </c>
      <c r="N135" s="163">
        <f>SUM(D135:K135)</f>
        <v>100156.93090260215</v>
      </c>
      <c r="O135" s="162" cm="1">
        <f t="array" ref="O135">IF(SUM(ISBLANK(Model!D134:K134)*1)&gt;0,0,IF(M135=N135,1,0))</f>
        <v>1</v>
      </c>
    </row>
    <row r="136" spans="2:15" ht="15" customHeight="1" outlineLevel="1">
      <c r="B136" s="50" t="s">
        <v>47</v>
      </c>
      <c r="D136" s="104">
        <f>Model!D70</f>
        <v>1088</v>
      </c>
      <c r="E136" s="104">
        <f>Model!E70</f>
        <v>894</v>
      </c>
      <c r="F136" s="104">
        <f>Model!F70</f>
        <v>581</v>
      </c>
      <c r="G136" s="104">
        <f>Model!G129*Model!G124</f>
        <v>903.41252582400057</v>
      </c>
      <c r="H136" s="104">
        <f>Model!H129*Model!H124</f>
        <v>1037.0022573734407</v>
      </c>
      <c r="I136" s="104">
        <f>Model!I129*Model!I124</f>
        <v>1181.4911528158477</v>
      </c>
      <c r="J136" s="104">
        <f>Model!J129*Model!J124</f>
        <v>1337.6508219847992</v>
      </c>
      <c r="K136" s="104">
        <f>Model!K129*Model!K124</f>
        <v>1506.3124913038871</v>
      </c>
      <c r="M136" s="161">
        <f>SUM(Model!D135:K135)</f>
        <v>8528.8692493019753</v>
      </c>
      <c r="N136" s="160">
        <f>SUM(D136:K136)</f>
        <v>8528.8692493019753</v>
      </c>
      <c r="O136" s="159" cm="1">
        <f t="array" ref="O136">IF(SUM(ISBLANK(Model!D135:K135)*1)&gt;0,0,IF(M136=N136,1,0))</f>
        <v>1</v>
      </c>
    </row>
    <row r="137" spans="2:15" ht="15" customHeight="1" outlineLevel="1">
      <c r="D137" s="107"/>
      <c r="E137" s="107"/>
      <c r="F137" s="107"/>
      <c r="G137" s="106"/>
      <c r="H137" s="106"/>
      <c r="I137" s="106"/>
      <c r="J137" s="106"/>
      <c r="K137" s="106"/>
    </row>
    <row r="138" spans="2:15" ht="15" customHeight="1" outlineLevel="1">
      <c r="B138" s="108" t="s">
        <v>46</v>
      </c>
      <c r="C138" s="108"/>
      <c r="D138" s="107"/>
      <c r="E138" s="107"/>
      <c r="F138" s="107"/>
      <c r="G138" s="106"/>
      <c r="H138" s="106"/>
      <c r="I138" s="106"/>
      <c r="J138" s="106"/>
      <c r="K138" s="106"/>
    </row>
    <row r="139" spans="2:15" ht="15" customHeight="1" outlineLevel="1">
      <c r="B139" s="50" t="s">
        <v>45</v>
      </c>
      <c r="C139" s="50"/>
      <c r="D139" s="105">
        <v>-1280</v>
      </c>
      <c r="E139" s="104">
        <f>Model!D132-Model!E132</f>
        <v>-1389</v>
      </c>
      <c r="F139" s="104">
        <f>Model!E132-Model!F132</f>
        <v>-647.20854794520528</v>
      </c>
      <c r="G139" s="104">
        <f>Model!F132-Model!G132</f>
        <v>-1498.6942246575345</v>
      </c>
      <c r="H139" s="104">
        <f>Model!G132-Model!H132</f>
        <v>-973.19416635616471</v>
      </c>
      <c r="I139" s="104">
        <f>Model!H132-Model!I132</f>
        <v>-1031.5858163375378</v>
      </c>
      <c r="J139" s="104">
        <f>Model!I132-Model!J132</f>
        <v>-1093.4809653177872</v>
      </c>
      <c r="K139" s="104">
        <f>Model!J132-Model!K132</f>
        <v>-1159.0898232368527</v>
      </c>
      <c r="M139" s="167">
        <f>SUM(Model!E138:K138)</f>
        <v>-7792.2535438510822</v>
      </c>
      <c r="N139" s="166">
        <f>SUM(E139:K139)</f>
        <v>-7792.2535438510822</v>
      </c>
      <c r="O139" s="165" cm="1">
        <f t="array" ref="O139">IF(SUM(ISBLANK(Model!E138:K138)*1)&gt;0,0,IF(M139=N139,1,0))</f>
        <v>1</v>
      </c>
    </row>
    <row r="140" spans="2:15" ht="15" customHeight="1" outlineLevel="1">
      <c r="B140" s="50" t="s">
        <v>44</v>
      </c>
      <c r="C140" s="50"/>
      <c r="D140" s="105">
        <v>-470</v>
      </c>
      <c r="E140" s="104">
        <f>Model!D133-Model!E133</f>
        <v>-523</v>
      </c>
      <c r="F140" s="104">
        <f>Model!E133-Model!F133</f>
        <v>-345.33187945205464</v>
      </c>
      <c r="G140" s="104">
        <f>Model!F133-Model!G133</f>
        <v>-1087.3634301369857</v>
      </c>
      <c r="H140" s="104">
        <f>Model!G133-Model!H133</f>
        <v>-547.42171857534413</v>
      </c>
      <c r="I140" s="104">
        <f>Model!H133-Model!I133</f>
        <v>-580.2670216898623</v>
      </c>
      <c r="J140" s="104">
        <f>Model!I133-Model!J133</f>
        <v>-615.08304299125666</v>
      </c>
      <c r="K140" s="104">
        <f>Model!J133-Model!K133</f>
        <v>-651.98802557073031</v>
      </c>
      <c r="M140" s="164">
        <f>SUM(Model!E139:K139)</f>
        <v>-4350.4551184162337</v>
      </c>
      <c r="N140" s="163">
        <f>SUM(E140:K140)</f>
        <v>-4350.4551184162337</v>
      </c>
      <c r="O140" s="162" cm="1">
        <f t="array" ref="O140">IF(SUM(ISBLANK(Model!E139:K139)*1)&gt;0,0,IF(M140=N140,1,0))</f>
        <v>1</v>
      </c>
    </row>
    <row r="141" spans="2:15" ht="15" customHeight="1" outlineLevel="1">
      <c r="B141" s="50" t="s">
        <v>43</v>
      </c>
      <c r="C141" s="50"/>
      <c r="D141" s="103">
        <v>490</v>
      </c>
      <c r="E141" s="104">
        <f>Model!E134-Model!D134</f>
        <v>503</v>
      </c>
      <c r="F141" s="104">
        <f>Model!F134-Model!E134</f>
        <v>573.10610410958907</v>
      </c>
      <c r="G141" s="104">
        <f>Model!G134-Model!F134</f>
        <v>1087.8209753424653</v>
      </c>
      <c r="H141" s="104">
        <f>Model!H134-Model!G134</f>
        <v>729.8956247671249</v>
      </c>
      <c r="I141" s="104">
        <f>Model!I134-Model!H134</f>
        <v>773.68936225314974</v>
      </c>
      <c r="J141" s="104">
        <f>Model!J134-Model!I134</f>
        <v>820.11072398834222</v>
      </c>
      <c r="K141" s="104">
        <f>Model!K134-Model!J134</f>
        <v>869.31736742764042</v>
      </c>
      <c r="M141" s="164">
        <f>SUM(Model!E140:K140)</f>
        <v>5356.9401578883117</v>
      </c>
      <c r="N141" s="163">
        <f>SUM(E141:K141)</f>
        <v>5356.9401578883117</v>
      </c>
      <c r="O141" s="162" cm="1">
        <f t="array" ref="O141">IF(SUM(ISBLANK(Model!E140:K140)*1)&gt;0,0,IF(M141=N141,1,0))</f>
        <v>1</v>
      </c>
    </row>
    <row r="142" spans="2:15" ht="15" customHeight="1" outlineLevel="1">
      <c r="B142" s="50" t="s">
        <v>42</v>
      </c>
      <c r="C142" s="50"/>
      <c r="D142" s="103">
        <v>50</v>
      </c>
      <c r="E142" s="102">
        <f>Model!E135-Model!D135</f>
        <v>-194</v>
      </c>
      <c r="F142" s="102">
        <f>Model!F135-Model!E135</f>
        <v>-313</v>
      </c>
      <c r="G142" s="102">
        <f>Model!G135-Model!F135</f>
        <v>322.41252582400057</v>
      </c>
      <c r="H142" s="102">
        <f>Model!H135-Model!G135</f>
        <v>133.5897315494401</v>
      </c>
      <c r="I142" s="102">
        <f>Model!I135-Model!H135</f>
        <v>144.48889544240706</v>
      </c>
      <c r="J142" s="102">
        <f>Model!J135-Model!I135</f>
        <v>156.1596691689515</v>
      </c>
      <c r="K142" s="102">
        <f>Model!K135-Model!J135</f>
        <v>168.66166931908788</v>
      </c>
      <c r="M142" s="164">
        <f>SUM(Model!E141:K141)</f>
        <v>418.3124913038871</v>
      </c>
      <c r="N142" s="163">
        <f>SUM(E142:K142)</f>
        <v>418.3124913038871</v>
      </c>
      <c r="O142" s="162" cm="1">
        <f t="array" ref="O142">IF(SUM(ISBLANK(Model!E141:K141)*1)&gt;0,0,IF(M142=N142,1,0))</f>
        <v>1</v>
      </c>
    </row>
    <row r="143" spans="2:15" ht="15" customHeight="1" outlineLevel="1" thickBot="1">
      <c r="B143" s="50" t="s">
        <v>41</v>
      </c>
      <c r="C143" s="50"/>
      <c r="D143" s="101">
        <f>SUM(Model!D138:D141)</f>
        <v>-1210</v>
      </c>
      <c r="E143" s="101">
        <f>SUM(Model!E138:E141)</f>
        <v>-1603</v>
      </c>
      <c r="F143" s="101">
        <f>SUM(Model!F138:F141)</f>
        <v>-732.43432328767085</v>
      </c>
      <c r="G143" s="101">
        <f>SUM(Model!G138:G141)</f>
        <v>-1175.8241536280543</v>
      </c>
      <c r="H143" s="101">
        <f>SUM(Model!H138:H141)</f>
        <v>-657.13052861494384</v>
      </c>
      <c r="I143" s="101">
        <f>SUM(Model!I138:I141)</f>
        <v>-693.67458033184334</v>
      </c>
      <c r="J143" s="101">
        <f>SUM(Model!J138:J141)</f>
        <v>-732.29361515175015</v>
      </c>
      <c r="K143" s="101">
        <f>SUM(Model!K138:K141)</f>
        <v>-773.0988120608547</v>
      </c>
      <c r="M143" s="161">
        <f>SUM(Model!D142:K142)</f>
        <v>-7577.4560130751179</v>
      </c>
      <c r="N143" s="160">
        <f>SUM(D143:K143)</f>
        <v>-7577.4560130751179</v>
      </c>
      <c r="O143" s="159" cm="1">
        <f t="array" ref="O143">IF(SUM(ISBLANK(Model!D142:K142)*1)&gt;0,0,IF(M143=N143,1,0))</f>
        <v>1</v>
      </c>
    </row>
    <row r="144" spans="2:15" ht="15" customHeight="1" outlineLevel="1">
      <c r="B144" s="50"/>
      <c r="C144" s="50"/>
      <c r="D144" s="100"/>
      <c r="E144" s="100"/>
      <c r="F144" s="100"/>
      <c r="G144" s="100"/>
      <c r="H144" s="100"/>
      <c r="I144" s="100"/>
      <c r="J144" s="100"/>
      <c r="K144" s="100"/>
    </row>
    <row r="145" spans="1:15" ht="15" customHeight="1" outlineLevel="1">
      <c r="B145" s="50" t="s">
        <v>17</v>
      </c>
      <c r="C145" s="59"/>
      <c r="D145" s="98">
        <f>Model!D122</f>
        <v>81422</v>
      </c>
      <c r="E145" s="97">
        <f>Model!E122</f>
        <v>86698</v>
      </c>
      <c r="F145" s="97">
        <f>Model!F122</f>
        <v>93085.92</v>
      </c>
      <c r="G145" s="97">
        <f>Model!G122</f>
        <v>98671.075200000007</v>
      </c>
      <c r="H145" s="97">
        <f>Model!H122</f>
        <v>104591.33971200002</v>
      </c>
      <c r="I145" s="97">
        <f>Model!I122</f>
        <v>110866.82009472002</v>
      </c>
      <c r="J145" s="97">
        <f>Model!J122</f>
        <v>117518.82930040323</v>
      </c>
      <c r="K145" s="96">
        <f>Model!K122</f>
        <v>124569.95905842743</v>
      </c>
      <c r="M145" s="167">
        <f>SUM(Model!D144:K144)</f>
        <v>817423.9433655506</v>
      </c>
      <c r="N145" s="166">
        <f>SUM(D145:K145)</f>
        <v>817423.9433655506</v>
      </c>
      <c r="O145" s="165" cm="1">
        <f t="array" ref="O145">IF(SUM(ISBLANK(Model!D144:K144)*1)&gt;0,0,IF(M145=N145,1,0))</f>
        <v>1</v>
      </c>
    </row>
    <row r="146" spans="1:15" ht="15" customHeight="1" outlineLevel="1">
      <c r="B146" s="50" t="s">
        <v>40</v>
      </c>
      <c r="C146" s="92" t="s">
        <v>39</v>
      </c>
      <c r="D146" s="95">
        <f>Model!D19</f>
        <v>4.2268597830036869</v>
      </c>
      <c r="E146" s="94">
        <f>Model!E19</f>
        <v>4.2559520887536202</v>
      </c>
      <c r="F146" s="94">
        <f>Model!F19</f>
        <v>4.3960292798110974</v>
      </c>
      <c r="G146" s="94">
        <f>Model!G19</f>
        <v>4.25</v>
      </c>
      <c r="H146" s="94">
        <f>Model!H19</f>
        <v>4.25</v>
      </c>
      <c r="I146" s="94">
        <f>Model!I19</f>
        <v>4.25</v>
      </c>
      <c r="J146" s="94">
        <f>Model!J19</f>
        <v>4.25</v>
      </c>
      <c r="K146" s="93">
        <f>Model!K19</f>
        <v>4.25</v>
      </c>
      <c r="M146" s="177">
        <f>SUM(Model!D145:K145)</f>
        <v>34.128841151568402</v>
      </c>
      <c r="N146" s="176">
        <f>SUM(D146:K146)</f>
        <v>34.128841151568402</v>
      </c>
      <c r="O146" s="162" cm="1">
        <f t="array" ref="O146">IF(SUM(ISBLANK(Model!D145:K145)*1)&gt;0,0,IF(M146=N146,1,0))</f>
        <v>1</v>
      </c>
    </row>
    <row r="147" spans="1:15" ht="15" customHeight="1" outlineLevel="1">
      <c r="B147" s="50" t="s">
        <v>38</v>
      </c>
      <c r="C147" s="92"/>
      <c r="D147" s="91">
        <f>Model!D14</f>
        <v>3.6353811009309525E-2</v>
      </c>
      <c r="E147" s="90">
        <f>Model!E14</f>
        <v>3.2330618930079123E-2</v>
      </c>
      <c r="F147" s="90">
        <f>Model!F14</f>
        <v>3.1227444064580338E-2</v>
      </c>
      <c r="G147" s="90">
        <f>Model!G14</f>
        <v>3.2000000000000001E-2</v>
      </c>
      <c r="H147" s="90">
        <f>Model!H14</f>
        <v>3.2000000000000001E-2</v>
      </c>
      <c r="I147" s="90">
        <f>Model!I14</f>
        <v>3.2000000000000001E-2</v>
      </c>
      <c r="J147" s="90">
        <f>Model!J14</f>
        <v>3.2000000000000001E-2</v>
      </c>
      <c r="K147" s="89">
        <f>Model!K14</f>
        <v>3.2000000000000001E-2</v>
      </c>
      <c r="M147" s="169">
        <f>SUM(Model!D146:K146)</f>
        <v>0.25991187400396898</v>
      </c>
      <c r="N147" s="168">
        <f>SUM(D147:K147)</f>
        <v>0.25991187400396898</v>
      </c>
      <c r="O147" s="159" cm="1">
        <f t="array" ref="O147">IF(SUM(ISBLANK(Model!D146:K146)*1)&gt;0,0,IF(M147=N147,1,0))</f>
        <v>1</v>
      </c>
    </row>
    <row r="148" spans="1:15" ht="15" customHeight="1" outlineLevel="1">
      <c r="B148" s="88"/>
      <c r="C148" s="59"/>
      <c r="D148" s="58"/>
      <c r="E148" s="58"/>
      <c r="F148" s="58"/>
      <c r="G148" s="58"/>
      <c r="H148" s="58"/>
      <c r="I148" s="58"/>
      <c r="J148" s="58"/>
      <c r="K148" s="58"/>
    </row>
    <row r="149" spans="1:15" ht="15" customHeight="1" outlineLevel="1">
      <c r="B149" s="69" t="s">
        <v>37</v>
      </c>
      <c r="C149" s="52"/>
      <c r="D149" s="57"/>
      <c r="E149" s="57"/>
      <c r="F149" s="57"/>
      <c r="G149" s="57"/>
      <c r="H149" s="57"/>
      <c r="I149" s="57"/>
      <c r="J149" s="57"/>
      <c r="K149" s="57"/>
    </row>
    <row r="150" spans="1:15" ht="15" customHeight="1" outlineLevel="1">
      <c r="B150" s="50" t="s">
        <v>22</v>
      </c>
      <c r="D150" s="51">
        <f>Model!D152-Model!D151-Model!D150</f>
        <v>19218</v>
      </c>
      <c r="E150" s="51">
        <f>Model!D152</f>
        <v>19262.999999999996</v>
      </c>
      <c r="F150" s="51">
        <f>Model!E152</f>
        <v>20371</v>
      </c>
      <c r="G150" s="51">
        <f>Model!F152</f>
        <v>21175.000000000004</v>
      </c>
      <c r="H150" s="51">
        <f>Model!G152</f>
        <v>23216.723576470591</v>
      </c>
      <c r="I150" s="51">
        <f>Model!H152</f>
        <v>24609.726991058826</v>
      </c>
      <c r="J150" s="51">
        <f>Model!I152</f>
        <v>26086.31061052236</v>
      </c>
      <c r="K150" s="51">
        <f>Model!J152</f>
        <v>27651.489247153702</v>
      </c>
      <c r="M150" s="167">
        <f>SUM(Model!D149:K149)</f>
        <v>181591.25042520551</v>
      </c>
      <c r="N150" s="166">
        <f>SUM(D150:K150)</f>
        <v>181591.25042520551</v>
      </c>
      <c r="O150" s="165" cm="1">
        <f t="array" ref="O150">IF(SUM(ISBLANK(Model!D149:K149)*1)&gt;0,0,IF(M150=N150,1,0))</f>
        <v>1</v>
      </c>
    </row>
    <row r="151" spans="1:15" ht="15" customHeight="1" outlineLevel="1">
      <c r="B151" s="50" t="s">
        <v>36</v>
      </c>
      <c r="D151" s="51">
        <f>-Model!D102</f>
        <v>3004.9999999999973</v>
      </c>
      <c r="E151" s="51">
        <f>-Model!E102</f>
        <v>3911.0000000000018</v>
      </c>
      <c r="F151" s="51">
        <f>-Model!F102</f>
        <v>3710.8353600000046</v>
      </c>
      <c r="G151" s="51">
        <f>Model!G152-Model!G151-Model!G149</f>
        <v>5199.197982870588</v>
      </c>
      <c r="H151" s="51">
        <f>Model!H152-Model!H151-Model!H149</f>
        <v>4739.9262853722357</v>
      </c>
      <c r="I151" s="51">
        <f>Model!I152-Model!I151-Model!I149</f>
        <v>5024.3218624945766</v>
      </c>
      <c r="J151" s="51">
        <f>Model!J152-Model!J151-Model!J149</f>
        <v>5325.7811742442464</v>
      </c>
      <c r="K151" s="51">
        <f>Model!K152-Model!K151-Model!K149</f>
        <v>5645.3280446989011</v>
      </c>
      <c r="M151" s="164">
        <f>SUM(Model!D150:K150)</f>
        <v>36561.390709680549</v>
      </c>
      <c r="N151" s="163">
        <f>SUM(D151:K151)</f>
        <v>36561.390709680549</v>
      </c>
      <c r="O151" s="162" cm="1">
        <f t="array" ref="O151">IF(SUM(ISBLANK(Model!D150:K150)*1)&gt;0,0,IF(M151=N151,1,0))</f>
        <v>1</v>
      </c>
    </row>
    <row r="152" spans="1:15" ht="15" customHeight="1" outlineLevel="1">
      <c r="B152" s="50" t="s">
        <v>35</v>
      </c>
      <c r="D152" s="51">
        <f>Model!D41</f>
        <v>-2960</v>
      </c>
      <c r="E152" s="51">
        <f>Model!E41</f>
        <v>-2803</v>
      </c>
      <c r="F152" s="51">
        <f>Model!F41</f>
        <v>-2906.83536</v>
      </c>
      <c r="G152" s="51">
        <f>Model!G146*Model!G144*-1</f>
        <v>-3157.4744064000001</v>
      </c>
      <c r="H152" s="51">
        <f>Model!H146*Model!H144*-1</f>
        <v>-3346.9228707840007</v>
      </c>
      <c r="I152" s="51">
        <f>Model!I146*Model!I144*-1</f>
        <v>-3547.7382430310408</v>
      </c>
      <c r="J152" s="51">
        <f>Model!J146*Model!J144*-1</f>
        <v>-3760.6025376129037</v>
      </c>
      <c r="K152" s="51">
        <f>Model!K146*Model!K144*-1</f>
        <v>-3986.2386898696777</v>
      </c>
      <c r="M152" s="164">
        <f>SUM(Model!D151:K151)</f>
        <v>-26468.812107697624</v>
      </c>
      <c r="N152" s="163">
        <f>SUM(D152:K152)</f>
        <v>-26468.812107697624</v>
      </c>
      <c r="O152" s="162" cm="1">
        <f t="array" ref="O152">IF(SUM(ISBLANK(Model!D151:K151)*1)&gt;0,0,IF(M152=N152,1,0))</f>
        <v>1</v>
      </c>
    </row>
    <row r="153" spans="1:15" ht="15" customHeight="1" outlineLevel="1">
      <c r="B153" s="69" t="s">
        <v>34</v>
      </c>
      <c r="C153" s="52"/>
      <c r="D153" s="68">
        <f>Model!D64</f>
        <v>19262.999999999996</v>
      </c>
      <c r="E153" s="67">
        <f>SUM(Model!E149:E151)</f>
        <v>20371</v>
      </c>
      <c r="F153" s="67">
        <f>SUM(Model!F149:F151)</f>
        <v>21175.000000000004</v>
      </c>
      <c r="G153" s="67">
        <f>Model!G144/Model!G145</f>
        <v>23216.723576470591</v>
      </c>
      <c r="H153" s="67">
        <f>Model!H144/Model!H145</f>
        <v>24609.726991058826</v>
      </c>
      <c r="I153" s="67">
        <f>Model!I144/Model!I145</f>
        <v>26086.31061052236</v>
      </c>
      <c r="J153" s="67">
        <f>Model!J144/Model!J145</f>
        <v>27651.489247153702</v>
      </c>
      <c r="K153" s="67">
        <f>Model!K144/Model!K145</f>
        <v>29310.578601982925</v>
      </c>
      <c r="M153" s="161">
        <f>SUM(Model!D152:K152)</f>
        <v>191683.82902718842</v>
      </c>
      <c r="N153" s="160">
        <f>SUM(D153:K153)</f>
        <v>191683.82902718842</v>
      </c>
      <c r="O153" s="159" cm="1">
        <f t="array" ref="O153">IF(SUM(ISBLANK(Model!D152:K152)*1)&gt;0,0,IF(M153=N153,1,0))</f>
        <v>1</v>
      </c>
    </row>
    <row r="154" spans="1:15" ht="15" customHeight="1" outlineLevel="1">
      <c r="B154" s="86"/>
      <c r="C154" s="86"/>
      <c r="D154" s="85"/>
      <c r="E154" s="85"/>
      <c r="F154" s="85"/>
      <c r="G154" s="85"/>
      <c r="H154" s="85"/>
      <c r="I154" s="85"/>
      <c r="J154" s="85"/>
      <c r="K154" s="85"/>
    </row>
    <row r="155" spans="1:15" ht="15" customHeight="1">
      <c r="D155" s="57"/>
      <c r="E155" s="57"/>
      <c r="F155" s="57"/>
      <c r="G155" s="57"/>
      <c r="H155" s="57"/>
      <c r="I155" s="57"/>
      <c r="J155" s="57"/>
      <c r="K155" s="57"/>
    </row>
    <row r="156" spans="1:15" s="47" customFormat="1" ht="15" customHeight="1">
      <c r="A156" s="47" t="s">
        <v>0</v>
      </c>
      <c r="B156" s="64" t="s">
        <v>33</v>
      </c>
      <c r="C156" s="64"/>
      <c r="D156" s="64"/>
      <c r="E156" s="64"/>
      <c r="F156" s="64"/>
      <c r="G156" s="64"/>
      <c r="H156" s="64"/>
      <c r="I156" s="64"/>
      <c r="J156" s="64"/>
      <c r="K156" s="64"/>
    </row>
    <row r="157" spans="1:15" s="47" customFormat="1" ht="15" customHeight="1" outlineLevel="1">
      <c r="B157" s="63"/>
      <c r="C157" s="63"/>
      <c r="D157" s="62"/>
      <c r="E157" s="62"/>
      <c r="F157" s="62"/>
      <c r="G157" s="62"/>
      <c r="H157" s="62"/>
      <c r="I157" s="62"/>
      <c r="J157" s="62"/>
      <c r="K157" s="62"/>
    </row>
    <row r="158" spans="1:15" ht="15" customHeight="1" outlineLevel="1" thickBot="1">
      <c r="B158" s="59" t="s">
        <v>18</v>
      </c>
      <c r="C158" s="59"/>
      <c r="D158" s="61">
        <f t="shared" ref="D158:K158" si="7">+D$5</f>
        <v>-2</v>
      </c>
      <c r="E158" s="61">
        <f t="shared" si="7"/>
        <v>-1</v>
      </c>
      <c r="F158" s="61">
        <f t="shared" si="7"/>
        <v>0</v>
      </c>
      <c r="G158" s="60">
        <f t="shared" si="7"/>
        <v>1</v>
      </c>
      <c r="H158" s="60">
        <f t="shared" si="7"/>
        <v>2</v>
      </c>
      <c r="I158" s="60">
        <f t="shared" si="7"/>
        <v>3</v>
      </c>
      <c r="J158" s="60">
        <f t="shared" si="7"/>
        <v>4</v>
      </c>
      <c r="K158" s="60">
        <f t="shared" si="7"/>
        <v>5</v>
      </c>
    </row>
    <row r="159" spans="1:15" ht="15" customHeight="1" outlineLevel="1">
      <c r="B159" s="59"/>
      <c r="C159" s="59"/>
      <c r="D159" s="58"/>
      <c r="E159" s="58"/>
      <c r="F159" s="58"/>
      <c r="G159" s="58"/>
      <c r="H159" s="58"/>
      <c r="I159" s="58"/>
      <c r="J159" s="58"/>
      <c r="K159" s="58"/>
    </row>
    <row r="160" spans="1:15" ht="15" customHeight="1" outlineLevel="1">
      <c r="B160" s="52" t="s">
        <v>30</v>
      </c>
      <c r="C160" s="52"/>
      <c r="D160" s="84"/>
      <c r="E160" s="84"/>
      <c r="F160" s="84"/>
      <c r="G160" s="84"/>
      <c r="H160" s="84"/>
      <c r="I160" s="84"/>
      <c r="J160" s="84"/>
      <c r="K160" s="84"/>
    </row>
    <row r="161" spans="2:15" ht="15" customHeight="1" outlineLevel="1" thickBot="1">
      <c r="B161" s="52" t="s">
        <v>32</v>
      </c>
      <c r="C161" s="52"/>
      <c r="D161" s="57"/>
      <c r="E161" s="57"/>
      <c r="F161" s="57"/>
      <c r="G161" s="57"/>
      <c r="H161" s="57"/>
      <c r="I161" s="57"/>
      <c r="J161" s="57"/>
      <c r="K161" s="57"/>
      <c r="M161" s="172" t="s">
        <v>110</v>
      </c>
      <c r="N161" s="171" t="s">
        <v>109</v>
      </c>
      <c r="O161" s="170" t="s">
        <v>108</v>
      </c>
    </row>
    <row r="162" spans="2:15" ht="15" customHeight="1" outlineLevel="1">
      <c r="B162" s="50" t="s">
        <v>22</v>
      </c>
      <c r="D162" s="83">
        <f>Model!D163-Model!D162</f>
        <v>20000</v>
      </c>
      <c r="E162" s="83">
        <f>Model!D163</f>
        <v>20000</v>
      </c>
      <c r="F162" s="83">
        <f>Model!E163</f>
        <v>20000</v>
      </c>
      <c r="G162" s="83">
        <f>Model!F163</f>
        <v>20000</v>
      </c>
      <c r="H162" s="83">
        <f>Model!G163</f>
        <v>20000</v>
      </c>
      <c r="I162" s="83">
        <f>Model!H163</f>
        <v>20000</v>
      </c>
      <c r="J162" s="83">
        <f>Model!I163</f>
        <v>20000</v>
      </c>
      <c r="K162" s="83">
        <f>Model!J163</f>
        <v>20000</v>
      </c>
      <c r="M162" s="164">
        <f>SUM(Model!D161:K161)</f>
        <v>160000</v>
      </c>
      <c r="N162" s="163">
        <f>SUM(D162:K162)</f>
        <v>160000</v>
      </c>
      <c r="O162" s="162" cm="1">
        <f t="array" ref="O162">IF(SUM(ISBLANK(Model!D161:K161)*1)&gt;0,0,IF(M162=N162,1,0))</f>
        <v>1</v>
      </c>
    </row>
    <row r="163" spans="2:15" ht="15" customHeight="1" outlineLevel="1">
      <c r="B163" s="50" t="s">
        <v>25</v>
      </c>
      <c r="D163" s="82">
        <f>D109</f>
        <v>0</v>
      </c>
      <c r="E163" s="51">
        <f>Model!E163-Model!E161</f>
        <v>0</v>
      </c>
      <c r="F163" s="51">
        <f>Model!F163-Model!F161</f>
        <v>0</v>
      </c>
      <c r="G163" s="51">
        <f>Model!G163-Model!G161</f>
        <v>0</v>
      </c>
      <c r="H163" s="51">
        <f>Model!H163-Model!H161</f>
        <v>0</v>
      </c>
      <c r="I163" s="51">
        <f>Model!I163-Model!I161</f>
        <v>0</v>
      </c>
      <c r="J163" s="51">
        <f>Model!J163-Model!J161</f>
        <v>0</v>
      </c>
      <c r="K163" s="51">
        <f>Model!K163-Model!K161</f>
        <v>0</v>
      </c>
      <c r="M163" s="164">
        <f>SUM(Model!E162:K162)</f>
        <v>0</v>
      </c>
      <c r="N163" s="163">
        <f>SUM(E163:K163)</f>
        <v>0</v>
      </c>
      <c r="O163" s="162" cm="1">
        <f t="array" ref="O163">IF(SUM(ISBLANK(Model!E162:K162)*1)&gt;0,0,IF(M163=N163,1,0))</f>
        <v>1</v>
      </c>
    </row>
    <row r="164" spans="2:15" ht="15" customHeight="1" outlineLevel="1">
      <c r="B164" s="69" t="s">
        <v>31</v>
      </c>
      <c r="C164" s="52"/>
      <c r="D164" s="67">
        <f>Model!D24</f>
        <v>20000</v>
      </c>
      <c r="E164" s="67">
        <f>Model!E24</f>
        <v>20000</v>
      </c>
      <c r="F164" s="67">
        <f>Model!F24</f>
        <v>20000</v>
      </c>
      <c r="G164" s="67">
        <f>Model!G24</f>
        <v>20000</v>
      </c>
      <c r="H164" s="67">
        <f>Model!H24</f>
        <v>20000</v>
      </c>
      <c r="I164" s="67">
        <f>Model!I24</f>
        <v>20000</v>
      </c>
      <c r="J164" s="67">
        <f>Model!J24</f>
        <v>20000</v>
      </c>
      <c r="K164" s="67">
        <f>Model!K24</f>
        <v>20000</v>
      </c>
      <c r="M164" s="161">
        <f>SUM(Model!D163:K163)</f>
        <v>160000</v>
      </c>
      <c r="N164" s="160">
        <f>SUM(D164:K164)</f>
        <v>160000</v>
      </c>
      <c r="O164" s="159" cm="1">
        <f t="array" ref="O164">IF(SUM(ISBLANK(Model!D163:K163)*1)&gt;0,0,IF(M164=N164,1,0))</f>
        <v>1</v>
      </c>
    </row>
    <row r="165" spans="2:15" ht="15" customHeight="1" outlineLevel="1">
      <c r="B165" s="43" t="s">
        <v>30</v>
      </c>
      <c r="D165" s="57"/>
      <c r="E165" s="57"/>
      <c r="F165" s="57"/>
      <c r="G165" s="57"/>
      <c r="H165" s="57"/>
      <c r="I165" s="57"/>
      <c r="J165" s="57"/>
      <c r="K165" s="57"/>
    </row>
    <row r="166" spans="2:15" ht="15" customHeight="1" outlineLevel="1">
      <c r="B166" s="50" t="s">
        <v>29</v>
      </c>
      <c r="C166" s="52"/>
      <c r="D166" s="81">
        <f>Model!D15</f>
        <v>6.2E-2</v>
      </c>
      <c r="E166" s="80">
        <f>Model!E15</f>
        <v>6.2E-2</v>
      </c>
      <c r="F166" s="80">
        <f>Model!F15</f>
        <v>6.2E-2</v>
      </c>
      <c r="G166" s="80">
        <f>Model!G15</f>
        <v>6.2E-2</v>
      </c>
      <c r="H166" s="80">
        <f>Model!H15</f>
        <v>6.2E-2</v>
      </c>
      <c r="I166" s="80">
        <f>Model!I15</f>
        <v>6.2E-2</v>
      </c>
      <c r="J166" s="80">
        <f>Model!J15</f>
        <v>6.2E-2</v>
      </c>
      <c r="K166" s="79">
        <f>Model!K15</f>
        <v>6.2E-2</v>
      </c>
      <c r="M166" s="175">
        <f>SUM(Model!D165:K165)</f>
        <v>0.496</v>
      </c>
      <c r="N166" s="174">
        <f>SUM(D166:K166)</f>
        <v>0.496</v>
      </c>
      <c r="O166" s="173" cm="1">
        <f t="array" ref="O166">IF(SUM(ISBLANK(Model!D165:K165)*1)&gt;0,0,IF(M166=N166,1,0))</f>
        <v>1</v>
      </c>
    </row>
    <row r="167" spans="2:15" ht="15" customHeight="1" outlineLevel="1">
      <c r="B167" s="50"/>
      <c r="C167" s="52"/>
      <c r="D167" s="78"/>
      <c r="E167" s="78"/>
      <c r="F167" s="78"/>
      <c r="G167" s="78"/>
      <c r="H167" s="78"/>
      <c r="I167" s="78"/>
      <c r="J167" s="78"/>
      <c r="K167" s="78"/>
    </row>
    <row r="168" spans="2:15" ht="15" customHeight="1" outlineLevel="1">
      <c r="B168" s="50" t="s">
        <v>28</v>
      </c>
      <c r="D168" s="51">
        <f>-Model!D44</f>
        <v>1240</v>
      </c>
      <c r="E168" s="51">
        <f>-Model!E44</f>
        <v>1240</v>
      </c>
      <c r="F168" s="51">
        <f>-Model!F44</f>
        <v>1240</v>
      </c>
      <c r="G168" s="51">
        <f>Model!G165*AVERAGE(Model!G163,Model!G161)</f>
        <v>1240</v>
      </c>
      <c r="H168" s="51">
        <f>Model!H165*AVERAGE(Model!H163,Model!H161)</f>
        <v>1240</v>
      </c>
      <c r="I168" s="51">
        <f>Model!I165*AVERAGE(Model!I163,Model!I161)</f>
        <v>1240</v>
      </c>
      <c r="J168" s="51">
        <f>Model!J165*AVERAGE(Model!J163,Model!J161)</f>
        <v>1240</v>
      </c>
      <c r="K168" s="51">
        <f>Model!K165*AVERAGE(Model!K163,Model!K161)</f>
        <v>1240</v>
      </c>
      <c r="M168" s="167">
        <f>SUM(Model!D167:K167)</f>
        <v>9920</v>
      </c>
      <c r="N168" s="166">
        <f>SUM(D168:K168)</f>
        <v>9920</v>
      </c>
      <c r="O168" s="165" cm="1">
        <f t="array" ref="O168">IF(SUM(ISBLANK(Model!D167:K167)*1)&gt;0,0,IF(M168=N168,1,0))</f>
        <v>1</v>
      </c>
    </row>
    <row r="169" spans="2:15" ht="15" customHeight="1" outlineLevel="1">
      <c r="B169" s="69" t="s">
        <v>27</v>
      </c>
      <c r="C169" s="52"/>
      <c r="D169" s="67">
        <f>SUM(Model!D167)</f>
        <v>1240</v>
      </c>
      <c r="E169" s="67">
        <f>SUM(Model!E167)</f>
        <v>1240</v>
      </c>
      <c r="F169" s="67">
        <f>SUM(Model!F167)</f>
        <v>1240</v>
      </c>
      <c r="G169" s="67">
        <f>SUM(Model!G167)</f>
        <v>1240</v>
      </c>
      <c r="H169" s="67">
        <f>SUM(Model!H167)</f>
        <v>1240</v>
      </c>
      <c r="I169" s="67">
        <f>SUM(Model!I167)</f>
        <v>1240</v>
      </c>
      <c r="J169" s="67">
        <f>SUM(Model!J167)</f>
        <v>1240</v>
      </c>
      <c r="K169" s="67">
        <f>SUM(Model!K167)</f>
        <v>1240</v>
      </c>
      <c r="M169" s="161">
        <f>SUM(Model!D168:K168)</f>
        <v>9920</v>
      </c>
      <c r="N169" s="160">
        <f>SUM(D169:K169)</f>
        <v>9920</v>
      </c>
      <c r="O169" s="159" cm="1">
        <f t="array" ref="O169">IF(SUM(ISBLANK(Model!D168:K168)*1)&gt;0,0,IF(M169=N169,1,0))</f>
        <v>1</v>
      </c>
    </row>
    <row r="170" spans="2:15" ht="15" customHeight="1" outlineLevel="1">
      <c r="D170" s="57"/>
      <c r="E170" s="57"/>
      <c r="F170" s="57"/>
      <c r="G170" s="57"/>
      <c r="H170" s="57"/>
      <c r="I170" s="57"/>
      <c r="J170" s="57"/>
      <c r="K170" s="57"/>
    </row>
    <row r="171" spans="2:15" ht="15" customHeight="1" outlineLevel="1">
      <c r="B171" s="52" t="s">
        <v>26</v>
      </c>
      <c r="D171" s="57"/>
      <c r="E171" s="57"/>
      <c r="F171" s="57"/>
      <c r="G171" s="57"/>
      <c r="H171" s="57"/>
      <c r="I171" s="57"/>
      <c r="J171" s="57"/>
      <c r="K171" s="57"/>
    </row>
    <row r="172" spans="2:15" ht="15" customHeight="1" outlineLevel="1">
      <c r="B172" s="50" t="s">
        <v>22</v>
      </c>
      <c r="D172" s="77">
        <f>Model!D173-Model!D172</f>
        <v>7627</v>
      </c>
      <c r="E172" s="77">
        <f>Model!D173</f>
        <v>7627</v>
      </c>
      <c r="F172" s="77">
        <f>Model!E173</f>
        <v>7627</v>
      </c>
      <c r="G172" s="77">
        <f>Model!F173</f>
        <v>7627</v>
      </c>
      <c r="H172" s="77">
        <f>Model!G173</f>
        <v>7627</v>
      </c>
      <c r="I172" s="77">
        <f>Model!H173</f>
        <v>7627</v>
      </c>
      <c r="J172" s="77">
        <f>Model!I173</f>
        <v>7627</v>
      </c>
      <c r="K172" s="77">
        <f>Model!J173</f>
        <v>7627</v>
      </c>
      <c r="M172" s="167">
        <f>SUM(Model!D171:K171)</f>
        <v>61016</v>
      </c>
      <c r="N172" s="166">
        <f>SUM(D172:K172)</f>
        <v>61016</v>
      </c>
      <c r="O172" s="165" cm="1">
        <f t="array" ref="O172">IF(SUM(ISBLANK(Model!D171:K171)*1)&gt;0,0,IF(M172=N172,1,0))</f>
        <v>1</v>
      </c>
    </row>
    <row r="173" spans="2:15" ht="15" customHeight="1" outlineLevel="1">
      <c r="B173" s="50" t="s">
        <v>25</v>
      </c>
      <c r="D173" s="57">
        <f>D107</f>
        <v>0</v>
      </c>
      <c r="E173" s="77">
        <f>Model!E173-Model!E171</f>
        <v>0</v>
      </c>
      <c r="F173" s="77">
        <f>Model!F173-Model!F171</f>
        <v>0</v>
      </c>
      <c r="G173" s="77">
        <f>Model!G173-Model!G171</f>
        <v>0</v>
      </c>
      <c r="H173" s="77">
        <f>Model!H173-Model!H171</f>
        <v>0</v>
      </c>
      <c r="I173" s="77">
        <f>Model!I173-Model!I171</f>
        <v>0</v>
      </c>
      <c r="J173" s="77">
        <f>Model!J173-Model!J171</f>
        <v>0</v>
      </c>
      <c r="K173" s="77">
        <f>Model!K173-Model!K171</f>
        <v>0</v>
      </c>
      <c r="M173" s="164">
        <f>SUM(Model!E172:K172)</f>
        <v>0</v>
      </c>
      <c r="N173" s="163">
        <f>SUM(E173:K173)</f>
        <v>0</v>
      </c>
      <c r="O173" s="162" cm="1">
        <f t="array" ref="O173">IF(SUM(ISBLANK(Model!E172:K172)*1)&gt;0,0,IF(M173=N173,1,0))</f>
        <v>1</v>
      </c>
    </row>
    <row r="174" spans="2:15" ht="15" customHeight="1" outlineLevel="1">
      <c r="B174" s="69" t="s">
        <v>24</v>
      </c>
      <c r="D174" s="76">
        <f>Model!D25</f>
        <v>7627</v>
      </c>
      <c r="E174" s="76">
        <f>Model!E25</f>
        <v>7627</v>
      </c>
      <c r="F174" s="76">
        <f>Model!F25</f>
        <v>7627</v>
      </c>
      <c r="G174" s="76">
        <f>Model!G25</f>
        <v>7627</v>
      </c>
      <c r="H174" s="76">
        <f>Model!H25</f>
        <v>7627</v>
      </c>
      <c r="I174" s="76">
        <f>Model!I25</f>
        <v>7627</v>
      </c>
      <c r="J174" s="76">
        <f>Model!J25</f>
        <v>7627</v>
      </c>
      <c r="K174" s="76">
        <f>Model!K25</f>
        <v>7627</v>
      </c>
      <c r="M174" s="161">
        <f>SUM(Model!D173:K173)</f>
        <v>61016</v>
      </c>
      <c r="N174" s="160">
        <f>SUM(D174:K174)</f>
        <v>61016</v>
      </c>
      <c r="O174" s="159" cm="1">
        <f t="array" ref="O174">IF(SUM(ISBLANK(Model!D173:K173)*1)&gt;0,0,IF(M174=N174,1,0))</f>
        <v>1</v>
      </c>
    </row>
    <row r="175" spans="2:15" ht="15" customHeight="1" outlineLevel="1">
      <c r="D175" s="57"/>
      <c r="E175" s="57"/>
      <c r="F175" s="57"/>
      <c r="G175" s="57"/>
      <c r="H175" s="57"/>
      <c r="I175" s="57"/>
      <c r="J175" s="57"/>
      <c r="K175" s="57"/>
    </row>
    <row r="176" spans="2:15" ht="15" customHeight="1" outlineLevel="1">
      <c r="B176" s="50" t="s">
        <v>14</v>
      </c>
      <c r="D176" s="75">
        <f>Model!D48</f>
        <v>5185</v>
      </c>
      <c r="E176" s="74">
        <f>Model!E48</f>
        <v>7549</v>
      </c>
      <c r="F176" s="74">
        <f>Model!F48</f>
        <v>8708.1928560000015</v>
      </c>
      <c r="G176" s="74">
        <f>Model!G48</f>
        <v>5697.1961088000044</v>
      </c>
      <c r="H176" s="74">
        <f>Model!H48</f>
        <v>6539.6538753280038</v>
      </c>
      <c r="I176" s="74">
        <f>Model!I48</f>
        <v>7450.8451078476883</v>
      </c>
      <c r="J176" s="74">
        <f>Model!J48</f>
        <v>8435.6358143185553</v>
      </c>
      <c r="K176" s="73">
        <f>Model!K48</f>
        <v>9499.2679631776664</v>
      </c>
      <c r="M176" s="167">
        <f>SUM(Model!D175:K175)</f>
        <v>59064.791725471921</v>
      </c>
      <c r="N176" s="166">
        <f>SUM(D176:K176)</f>
        <v>59064.791725471921</v>
      </c>
      <c r="O176" s="165" cm="1">
        <f t="array" ref="O176">IF(SUM(ISBLANK(Model!D175:K175)*1)&gt;0,0,IF(M176=N176,1,0))</f>
        <v>1</v>
      </c>
    </row>
    <row r="177" spans="1:15" ht="15" customHeight="1" outlineLevel="1">
      <c r="B177" s="50" t="s">
        <v>21</v>
      </c>
      <c r="D177" s="72">
        <f>Model!D50</f>
        <v>4312</v>
      </c>
      <c r="E177" s="71">
        <f>Model!E50</f>
        <v>4209</v>
      </c>
      <c r="F177" s="71">
        <f>Model!F50</f>
        <v>2930.9750848000026</v>
      </c>
      <c r="G177" s="71">
        <f>Model!G50</f>
        <v>3988.0372761600029</v>
      </c>
      <c r="H177" s="71">
        <f>Model!H50</f>
        <v>4577.7577127296026</v>
      </c>
      <c r="I177" s="71">
        <f>Model!I50</f>
        <v>5215.5915754933812</v>
      </c>
      <c r="J177" s="71">
        <f>Model!J50</f>
        <v>5904.9450700229881</v>
      </c>
      <c r="K177" s="70">
        <f>Model!K50</f>
        <v>6649.4875742243657</v>
      </c>
      <c r="M177" s="161">
        <f>SUM(Model!D176:K176)</f>
        <v>37787.794293430343</v>
      </c>
      <c r="N177" s="160">
        <f>SUM(D177:K177)</f>
        <v>37787.794293430343</v>
      </c>
      <c r="O177" s="159" cm="1">
        <f t="array" ref="O177">IF(SUM(ISBLANK(Model!D176:K176)*1)&gt;0,0,IF(M177=N177,1,0))</f>
        <v>1</v>
      </c>
    </row>
    <row r="178" spans="1:15" ht="15" customHeight="1" outlineLevel="1">
      <c r="D178" s="57"/>
      <c r="E178" s="57"/>
      <c r="F178" s="57"/>
      <c r="G178" s="57"/>
      <c r="H178" s="57"/>
      <c r="I178" s="57"/>
      <c r="J178" s="57"/>
      <c r="K178" s="57"/>
    </row>
    <row r="179" spans="1:15" ht="15" customHeight="1" outlineLevel="1">
      <c r="B179" s="52" t="s">
        <v>23</v>
      </c>
      <c r="C179" s="52"/>
      <c r="D179" s="57"/>
      <c r="E179" s="57"/>
      <c r="F179" s="57"/>
      <c r="G179" s="57"/>
      <c r="H179" s="57"/>
      <c r="I179" s="57"/>
      <c r="J179" s="57"/>
      <c r="K179" s="57"/>
    </row>
    <row r="180" spans="1:15" ht="15" customHeight="1" outlineLevel="1">
      <c r="B180" s="50" t="s">
        <v>22</v>
      </c>
      <c r="D180" s="51">
        <f>Model!D182-Model!D181-Model!D180</f>
        <v>4816</v>
      </c>
      <c r="E180" s="51">
        <f>Model!D182</f>
        <v>5689</v>
      </c>
      <c r="F180" s="51">
        <f>Model!E182</f>
        <v>9029</v>
      </c>
      <c r="G180" s="51">
        <f>Model!F182</f>
        <v>14806.217771199999</v>
      </c>
      <c r="H180" s="51">
        <f>Model!G182</f>
        <v>16515.376603839999</v>
      </c>
      <c r="I180" s="51">
        <f>Model!H182</f>
        <v>18477.2727664384</v>
      </c>
      <c r="J180" s="51">
        <f>Model!I182</f>
        <v>20712.526298792705</v>
      </c>
      <c r="K180" s="51">
        <f>Model!J182</f>
        <v>23243.217043088276</v>
      </c>
      <c r="M180" s="167">
        <f>SUM(Model!D179:K179)</f>
        <v>113288.6104833594</v>
      </c>
      <c r="N180" s="166">
        <f>SUM(D180:K180)</f>
        <v>113288.6104833594</v>
      </c>
      <c r="O180" s="165" cm="1">
        <f t="array" ref="O180">IF(SUM(ISBLANK(Model!D179:K179)*1)&gt;0,0,IF(M180=N180,1,0))</f>
        <v>1</v>
      </c>
    </row>
    <row r="181" spans="1:15" ht="15" customHeight="1" outlineLevel="1">
      <c r="B181" s="50" t="s">
        <v>14</v>
      </c>
      <c r="D181" s="51">
        <f>Model!D175</f>
        <v>5185</v>
      </c>
      <c r="E181" s="51">
        <f>Model!E175</f>
        <v>7549</v>
      </c>
      <c r="F181" s="51">
        <f>Model!F175</f>
        <v>8708.1928560000015</v>
      </c>
      <c r="G181" s="51">
        <f>Model!G175</f>
        <v>5697.1961088000044</v>
      </c>
      <c r="H181" s="51">
        <f>Model!H175</f>
        <v>6539.6538753280038</v>
      </c>
      <c r="I181" s="51">
        <f>Model!I175</f>
        <v>7450.8451078476883</v>
      </c>
      <c r="J181" s="51">
        <f>Model!J175</f>
        <v>8435.6358143185553</v>
      </c>
      <c r="K181" s="51">
        <f>Model!K175</f>
        <v>9499.2679631776664</v>
      </c>
      <c r="M181" s="164">
        <f>SUM(Model!D180:K180)</f>
        <v>59064.791725471921</v>
      </c>
      <c r="N181" s="163">
        <f>SUM(D181:K181)</f>
        <v>59064.791725471921</v>
      </c>
      <c r="O181" s="162" cm="1">
        <f t="array" ref="O181">IF(SUM(ISBLANK(Model!D180:K180)*1)&gt;0,0,IF(M181=N181,1,0))</f>
        <v>1</v>
      </c>
    </row>
    <row r="182" spans="1:15" ht="15" customHeight="1" outlineLevel="1">
      <c r="B182" s="50" t="s">
        <v>21</v>
      </c>
      <c r="D182" s="51">
        <f>-Model!D176</f>
        <v>-4312</v>
      </c>
      <c r="E182" s="51">
        <f>-Model!E176</f>
        <v>-4209</v>
      </c>
      <c r="F182" s="51">
        <f>-Model!F176</f>
        <v>-2930.9750848000026</v>
      </c>
      <c r="G182" s="51">
        <f>-Model!G176</f>
        <v>-3988.0372761600029</v>
      </c>
      <c r="H182" s="51">
        <f>-Model!H176</f>
        <v>-4577.7577127296026</v>
      </c>
      <c r="I182" s="51">
        <f>-Model!I176</f>
        <v>-5215.5915754933812</v>
      </c>
      <c r="J182" s="51">
        <f>-Model!J176</f>
        <v>-5904.9450700229881</v>
      </c>
      <c r="K182" s="51">
        <f>-Model!K176</f>
        <v>-6649.4875742243657</v>
      </c>
      <c r="M182" s="164">
        <f>SUM(Model!D181:K181)</f>
        <v>-37787.794293430343</v>
      </c>
      <c r="N182" s="163">
        <f>SUM(D182:K182)</f>
        <v>-37787.794293430343</v>
      </c>
      <c r="O182" s="162" cm="1">
        <f t="array" ref="O182">IF(SUM(ISBLANK(Model!D181:K181)*1)&gt;0,0,IF(M182=N182,1,0))</f>
        <v>1</v>
      </c>
    </row>
    <row r="183" spans="1:15" ht="15" customHeight="1" outlineLevel="1">
      <c r="B183" s="69" t="s">
        <v>20</v>
      </c>
      <c r="C183" s="52"/>
      <c r="D183" s="68">
        <f>Model!D78</f>
        <v>5689</v>
      </c>
      <c r="E183" s="67">
        <f>SUM(Model!E179:E181)</f>
        <v>9029</v>
      </c>
      <c r="F183" s="67">
        <f>SUM(Model!F179:F181)</f>
        <v>14806.217771199999</v>
      </c>
      <c r="G183" s="67">
        <f>SUM(Model!G179:G181)</f>
        <v>16515.376603839999</v>
      </c>
      <c r="H183" s="67">
        <f>SUM(Model!H179:H181)</f>
        <v>18477.2727664384</v>
      </c>
      <c r="I183" s="67">
        <f>SUM(Model!I179:I181)</f>
        <v>20712.526298792705</v>
      </c>
      <c r="J183" s="67">
        <f>SUM(Model!J179:J181)</f>
        <v>23243.217043088276</v>
      </c>
      <c r="K183" s="67">
        <f>SUM(Model!K179:K181)</f>
        <v>26092.997432041579</v>
      </c>
      <c r="M183" s="161">
        <f>SUM(Model!D182:K182)</f>
        <v>134565.60791540093</v>
      </c>
      <c r="N183" s="160">
        <f>SUM(D183:K183)</f>
        <v>134565.60791540093</v>
      </c>
      <c r="O183" s="159" cm="1">
        <f t="array" ref="O183">IF(SUM(ISBLANK(Model!D182:K182)*1)&gt;0,0,IF(M183=N183,1,0))</f>
        <v>1</v>
      </c>
    </row>
    <row r="184" spans="1:15" ht="15" customHeight="1" outlineLevel="1">
      <c r="B184" s="52"/>
      <c r="C184" s="52"/>
      <c r="D184" s="66"/>
      <c r="E184" s="66"/>
      <c r="F184" s="66"/>
      <c r="G184" s="66"/>
      <c r="H184" s="66"/>
      <c r="I184" s="66"/>
      <c r="J184" s="66"/>
      <c r="K184" s="66"/>
    </row>
    <row r="185" spans="1:15" ht="15" customHeight="1" outlineLevel="1">
      <c r="B185" s="44"/>
      <c r="C185" s="44"/>
      <c r="D185" s="65"/>
      <c r="E185" s="65"/>
      <c r="F185" s="65"/>
      <c r="G185" s="65"/>
      <c r="H185" s="65"/>
      <c r="I185" s="65"/>
      <c r="J185" s="65"/>
      <c r="K185" s="65"/>
    </row>
    <row r="186" spans="1:15" ht="15" customHeight="1">
      <c r="D186" s="57"/>
      <c r="E186" s="57"/>
      <c r="F186" s="57"/>
      <c r="G186" s="57"/>
      <c r="H186" s="57"/>
      <c r="I186" s="57"/>
      <c r="J186" s="57"/>
      <c r="K186" s="57"/>
    </row>
    <row r="187" spans="1:15" s="47" customFormat="1" ht="15" customHeight="1">
      <c r="A187" s="47" t="s">
        <v>0</v>
      </c>
      <c r="B187" s="64" t="s">
        <v>19</v>
      </c>
      <c r="C187" s="64"/>
      <c r="D187" s="64"/>
      <c r="E187" s="64"/>
      <c r="F187" s="64"/>
      <c r="G187" s="64"/>
      <c r="H187" s="64"/>
      <c r="I187" s="64"/>
      <c r="J187" s="64"/>
      <c r="K187" s="64"/>
    </row>
    <row r="188" spans="1:15" s="47" customFormat="1" ht="15" customHeight="1" outlineLevel="1">
      <c r="B188" s="63"/>
      <c r="C188" s="63"/>
      <c r="D188" s="62"/>
      <c r="E188" s="62"/>
      <c r="F188" s="62"/>
      <c r="G188" s="62"/>
      <c r="H188" s="62"/>
      <c r="I188" s="62"/>
      <c r="J188" s="62"/>
      <c r="K188" s="62"/>
    </row>
    <row r="189" spans="1:15" ht="15" customHeight="1" outlineLevel="1" thickBot="1">
      <c r="B189" s="59" t="s">
        <v>18</v>
      </c>
      <c r="C189" s="59"/>
      <c r="D189" s="61">
        <f t="shared" ref="D189:K189" si="8">+D$5</f>
        <v>-2</v>
      </c>
      <c r="E189" s="61">
        <f t="shared" si="8"/>
        <v>-1</v>
      </c>
      <c r="F189" s="61">
        <f t="shared" si="8"/>
        <v>0</v>
      </c>
      <c r="G189" s="60">
        <f t="shared" si="8"/>
        <v>1</v>
      </c>
      <c r="H189" s="60">
        <f t="shared" si="8"/>
        <v>2</v>
      </c>
      <c r="I189" s="60">
        <f t="shared" si="8"/>
        <v>3</v>
      </c>
      <c r="J189" s="60">
        <f t="shared" si="8"/>
        <v>4</v>
      </c>
      <c r="K189" s="60">
        <f t="shared" si="8"/>
        <v>5</v>
      </c>
    </row>
    <row r="190" spans="1:15" ht="15" customHeight="1" outlineLevel="1">
      <c r="B190" s="59"/>
      <c r="C190" s="59"/>
      <c r="D190" s="58"/>
      <c r="E190" s="58"/>
      <c r="F190" s="58"/>
      <c r="G190" s="58"/>
      <c r="H190" s="58"/>
      <c r="I190" s="58"/>
      <c r="J190" s="58"/>
      <c r="K190" s="58"/>
    </row>
    <row r="191" spans="1:15" ht="15" customHeight="1" outlineLevel="1" thickBot="1">
      <c r="B191" s="52" t="s">
        <v>7</v>
      </c>
      <c r="C191" s="52"/>
      <c r="D191" s="57"/>
      <c r="E191" s="57"/>
      <c r="F191" s="57"/>
      <c r="G191" s="57"/>
      <c r="H191" s="57"/>
      <c r="I191" s="57"/>
      <c r="J191" s="57"/>
      <c r="K191" s="57"/>
      <c r="M191" s="172" t="s">
        <v>110</v>
      </c>
      <c r="N191" s="171" t="s">
        <v>109</v>
      </c>
      <c r="O191" s="170" t="s">
        <v>108</v>
      </c>
    </row>
    <row r="192" spans="1:15" ht="15" customHeight="1" outlineLevel="1">
      <c r="B192" s="50" t="s">
        <v>17</v>
      </c>
      <c r="D192" s="51">
        <f>Model!D34</f>
        <v>81422</v>
      </c>
      <c r="E192" s="51">
        <f>Model!E34</f>
        <v>86698</v>
      </c>
      <c r="F192" s="51">
        <f>Model!F34</f>
        <v>93085.92</v>
      </c>
      <c r="G192" s="51">
        <f>Model!G34</f>
        <v>98671.075200000007</v>
      </c>
      <c r="H192" s="51">
        <f>Model!H34</f>
        <v>104591.33971200002</v>
      </c>
      <c r="I192" s="51">
        <f>Model!I34</f>
        <v>110866.82009472002</v>
      </c>
      <c r="J192" s="51">
        <f>Model!J34</f>
        <v>117518.82930040323</v>
      </c>
      <c r="K192" s="51">
        <f>Model!K34</f>
        <v>124569.95905842743</v>
      </c>
      <c r="M192" s="164">
        <f>SUM(Model!D191:K191)</f>
        <v>817423.9433655506</v>
      </c>
      <c r="N192" s="163">
        <f>SUM(D192:K192)</f>
        <v>817423.9433655506</v>
      </c>
      <c r="O192" s="162" cm="1">
        <f t="array" ref="O192">IF(SUM(ISBLANK(Model!D191:K191)*1)&gt;0,0,IF(M192=N192,1,0))</f>
        <v>1</v>
      </c>
    </row>
    <row r="193" spans="1:15" ht="15" customHeight="1" outlineLevel="1">
      <c r="B193" s="50" t="s">
        <v>16</v>
      </c>
      <c r="D193" s="51">
        <f>Model!D42-Model!D41</f>
        <v>12146</v>
      </c>
      <c r="E193" s="51">
        <f>Model!E42-Model!E41</f>
        <v>14021</v>
      </c>
      <c r="F193" s="51">
        <f>Model!F42-Model!F41</f>
        <v>14425.193440000003</v>
      </c>
      <c r="G193" s="51">
        <f>Model!G42-Model!G41</f>
        <v>12536.325990400006</v>
      </c>
      <c r="H193" s="51">
        <f>Model!H42-Model!H41</f>
        <v>13929.285549824006</v>
      </c>
      <c r="I193" s="51">
        <f>Model!I42-Model!I41</f>
        <v>15431.802682813453</v>
      </c>
      <c r="J193" s="51">
        <f>Model!J42-Model!J41</f>
        <v>17051.510843782267</v>
      </c>
      <c r="K193" s="51">
        <f>Model!K42-Model!K41</f>
        <v>18796.621494409203</v>
      </c>
      <c r="M193" s="164">
        <f>SUM(Model!D192:K192)</f>
        <v>118337.74000122893</v>
      </c>
      <c r="N193" s="163">
        <f>SUM(D193:K193)</f>
        <v>118337.74000122893</v>
      </c>
      <c r="O193" s="162" cm="1">
        <f t="array" ref="O193">IF(SUM(ISBLANK(Model!D192:K192)*1)&gt;0,0,IF(M193=N193,1,0))</f>
        <v>1</v>
      </c>
    </row>
    <row r="194" spans="1:15" ht="15" customHeight="1" outlineLevel="1">
      <c r="B194" s="55" t="s">
        <v>15</v>
      </c>
      <c r="C194" s="54"/>
      <c r="D194" s="53">
        <f>Model!D192/Model!D191</f>
        <v>0.14917344206725455</v>
      </c>
      <c r="E194" s="53">
        <f>Model!E192/Model!E191</f>
        <v>0.16172230039908647</v>
      </c>
      <c r="F194" s="53">
        <f>Model!F192/Model!F191</f>
        <v>0.15496643788878064</v>
      </c>
      <c r="G194" s="53">
        <f>Model!G192/Model!G191</f>
        <v>0.12705168120434149</v>
      </c>
      <c r="H194" s="53">
        <f>Model!H192/Model!H191</f>
        <v>0.13317819226887545</v>
      </c>
      <c r="I194" s="53">
        <f>Model!I192/Model!I191</f>
        <v>0.13919225490213538</v>
      </c>
      <c r="J194" s="53">
        <f>Model!J192/Model!J191</f>
        <v>0.14509598968344864</v>
      </c>
      <c r="K194" s="53">
        <f>Model!K192/Model!K191</f>
        <v>0.15089209016752558</v>
      </c>
      <c r="M194" s="169">
        <f>SUM(Model!D193:K193)</f>
        <v>1.1612723885814482</v>
      </c>
      <c r="N194" s="168">
        <f>SUM(D194:K194)</f>
        <v>1.1612723885814482</v>
      </c>
      <c r="O194" s="159" cm="1">
        <f t="array" ref="O194">IF(SUM(ISBLANK(Model!D193:K193)*1)&gt;0,0,IF(M194=N194,1,0))</f>
        <v>1</v>
      </c>
    </row>
    <row r="195" spans="1:15" ht="15" customHeight="1" outlineLevel="1">
      <c r="B195" s="55"/>
      <c r="C195" s="54"/>
      <c r="D195" s="56"/>
      <c r="E195" s="56"/>
      <c r="F195" s="56"/>
      <c r="G195" s="56"/>
      <c r="H195" s="56"/>
      <c r="I195" s="56"/>
      <c r="J195" s="56"/>
      <c r="K195" s="56"/>
    </row>
    <row r="196" spans="1:15" ht="15" customHeight="1" outlineLevel="1">
      <c r="B196" s="50" t="s">
        <v>14</v>
      </c>
      <c r="D196" s="51">
        <f>Model!D48</f>
        <v>5185</v>
      </c>
      <c r="E196" s="51">
        <f>Model!E48</f>
        <v>7549</v>
      </c>
      <c r="F196" s="51">
        <f>Model!F48</f>
        <v>8708.1928560000015</v>
      </c>
      <c r="G196" s="51">
        <f>Model!G48</f>
        <v>5697.1961088000044</v>
      </c>
      <c r="H196" s="51">
        <f>Model!H48</f>
        <v>6539.6538753280038</v>
      </c>
      <c r="I196" s="51">
        <f>Model!I48</f>
        <v>7450.8451078476883</v>
      </c>
      <c r="J196" s="51">
        <f>Model!J48</f>
        <v>8435.6358143185553</v>
      </c>
      <c r="K196" s="51">
        <f>Model!K48</f>
        <v>9499.2679631776664</v>
      </c>
      <c r="M196" s="167">
        <f>SUM(Model!D195:K195)</f>
        <v>59064.791725471921</v>
      </c>
      <c r="N196" s="166">
        <f>SUM(D196:K196)</f>
        <v>59064.791725471921</v>
      </c>
      <c r="O196" s="165" cm="1">
        <f t="array" ref="O196">IF(SUM(ISBLANK(Model!D195:K195)*1)&gt;0,0,IF(M196=N196,1,0))</f>
        <v>1</v>
      </c>
    </row>
    <row r="197" spans="1:15" ht="15" customHeight="1" outlineLevel="1">
      <c r="B197" s="55" t="s">
        <v>13</v>
      </c>
      <c r="C197" s="54"/>
      <c r="D197" s="53">
        <f>Model!D195/Model!D191</f>
        <v>6.3680577730834423E-2</v>
      </c>
      <c r="E197" s="53">
        <f>Model!E195/Model!E191</f>
        <v>8.7072366144547747E-2</v>
      </c>
      <c r="F197" s="53">
        <f>Model!F195/Model!F191</f>
        <v>9.3550054143526767E-2</v>
      </c>
      <c r="G197" s="53">
        <f>Model!G195/Model!G191</f>
        <v>5.773927260093345E-2</v>
      </c>
      <c r="H197" s="53">
        <f>Model!H195/Model!H191</f>
        <v>6.2525768322075459E-2</v>
      </c>
      <c r="I197" s="53">
        <f>Model!I195/Model!I191</f>
        <v>6.7205364972874618E-2</v>
      </c>
      <c r="J197" s="53">
        <f>Model!J195/Model!J191</f>
        <v>7.1781142345753529E-2</v>
      </c>
      <c r="K197" s="53">
        <f>Model!K195/Model!K191</f>
        <v>7.6256491010984404E-2</v>
      </c>
      <c r="M197" s="169">
        <f>SUM(Model!D196:K196)</f>
        <v>0.57981103727153038</v>
      </c>
      <c r="N197" s="168">
        <f>SUM(D197:K197)</f>
        <v>0.57981103727153038</v>
      </c>
      <c r="O197" s="159" cm="1">
        <f t="array" ref="O197">IF(SUM(ISBLANK(Model!D196:K196)*1)&gt;0,0,IF(M197=N197,1,0))</f>
        <v>1</v>
      </c>
    </row>
    <row r="198" spans="1:15" ht="15" customHeight="1" outlineLevel="1"/>
    <row r="199" spans="1:15" ht="15" customHeight="1" outlineLevel="1">
      <c r="B199" s="52" t="s">
        <v>12</v>
      </c>
      <c r="C199" s="52"/>
    </row>
    <row r="200" spans="1:15" ht="15" customHeight="1" outlineLevel="1">
      <c r="B200" s="50" t="s">
        <v>11</v>
      </c>
      <c r="D200" s="51">
        <f>Model!D99</f>
        <v>6935</v>
      </c>
      <c r="E200" s="51">
        <f>Model!E99</f>
        <v>8749</v>
      </c>
      <c r="F200" s="51">
        <f>Model!F99</f>
        <v>10882.593892712332</v>
      </c>
      <c r="G200" s="51">
        <f>Model!G99</f>
        <v>7678.8463615719502</v>
      </c>
      <c r="H200" s="51">
        <f>Model!H99</f>
        <v>9229.4462174970613</v>
      </c>
      <c r="I200" s="51">
        <f>Model!I99</f>
        <v>10304.908770546886</v>
      </c>
      <c r="J200" s="51">
        <f>Model!J99</f>
        <v>11463.944736779709</v>
      </c>
      <c r="K200" s="51">
        <f>Model!K99</f>
        <v>12712.407840986491</v>
      </c>
      <c r="M200" s="167">
        <f>SUM(Model!D199:K199)</f>
        <v>77956.147820094426</v>
      </c>
      <c r="N200" s="166">
        <f>SUM(D200:K200)</f>
        <v>77956.147820094426</v>
      </c>
      <c r="O200" s="165" cm="1">
        <f t="array" ref="O200">IF(SUM(ISBLANK(Model!D199:K199)*1)&gt;0,0,IF(M200=N200,1,0))</f>
        <v>1</v>
      </c>
    </row>
    <row r="201" spans="1:15" ht="15" customHeight="1" outlineLevel="1">
      <c r="B201" s="50" t="s">
        <v>10</v>
      </c>
      <c r="D201" s="51">
        <f>Model!D103</f>
        <v>-3004.9999999999973</v>
      </c>
      <c r="E201" s="51">
        <f>Model!E103</f>
        <v>-3911.0000000000018</v>
      </c>
      <c r="F201" s="51">
        <f>Model!F103</f>
        <v>-3710.8353600000046</v>
      </c>
      <c r="G201" s="51">
        <f>Model!G103</f>
        <v>-5199.197982870588</v>
      </c>
      <c r="H201" s="51">
        <f>Model!H103</f>
        <v>-4739.9262853722357</v>
      </c>
      <c r="I201" s="51">
        <f>Model!I103</f>
        <v>-5024.3218624945766</v>
      </c>
      <c r="J201" s="51">
        <f>Model!J103</f>
        <v>-5325.7811742442464</v>
      </c>
      <c r="K201" s="51">
        <f>Model!K103</f>
        <v>-5645.3280446989011</v>
      </c>
      <c r="M201" s="164">
        <f>SUM(Model!D200:K200)</f>
        <v>-36561.390709680549</v>
      </c>
      <c r="N201" s="163">
        <f>SUM(D201:K201)</f>
        <v>-36561.390709680549</v>
      </c>
      <c r="O201" s="162" cm="1">
        <f t="array" ref="O201">IF(SUM(ISBLANK(Model!D200:K200)*1)&gt;0,0,IF(M201=N201,1,0))</f>
        <v>1</v>
      </c>
    </row>
    <row r="202" spans="1:15" ht="15" customHeight="1" outlineLevel="1">
      <c r="B202" s="50" t="s">
        <v>9</v>
      </c>
      <c r="D202" s="51">
        <f>Model!D109</f>
        <v>-4312</v>
      </c>
      <c r="E202" s="51">
        <f>Model!E109</f>
        <v>-4209</v>
      </c>
      <c r="F202" s="51">
        <f>Model!F109</f>
        <v>-2930.9750848000026</v>
      </c>
      <c r="G202" s="51">
        <f>Model!G109</f>
        <v>-3988.0372761600029</v>
      </c>
      <c r="H202" s="51">
        <f>Model!H109</f>
        <v>-4577.7577127296026</v>
      </c>
      <c r="I202" s="51">
        <f>Model!I109</f>
        <v>-5215.5915754933812</v>
      </c>
      <c r="J202" s="51">
        <f>Model!J109</f>
        <v>-5904.9450700229881</v>
      </c>
      <c r="K202" s="51">
        <f>Model!K109</f>
        <v>-6649.4875742243657</v>
      </c>
      <c r="M202" s="164">
        <f>SUM(Model!D201:K201)</f>
        <v>-37787.794293430343</v>
      </c>
      <c r="N202" s="163">
        <f>SUM(D202:K202)</f>
        <v>-37787.794293430343</v>
      </c>
      <c r="O202" s="162" cm="1">
        <f t="array" ref="O202">IF(SUM(ISBLANK(Model!D201:K201)*1)&gt;0,0,IF(M202=N202,1,0))</f>
        <v>1</v>
      </c>
    </row>
    <row r="203" spans="1:15" ht="15" customHeight="1" outlineLevel="1" thickBot="1">
      <c r="B203" s="50" t="s">
        <v>8</v>
      </c>
      <c r="D203" s="49">
        <f>SUM(Model!D199:D201)</f>
        <v>-381.99999999999727</v>
      </c>
      <c r="E203" s="49">
        <f>SUM(Model!E199:E201)</f>
        <v>628.99999999999818</v>
      </c>
      <c r="F203" s="49">
        <f>SUM(Model!F199:F201)</f>
        <v>4240.7834479123248</v>
      </c>
      <c r="G203" s="49">
        <f>SUM(Model!G199:G201)</f>
        <v>-1508.3888974586407</v>
      </c>
      <c r="H203" s="49">
        <f>SUM(Model!H199:H201)</f>
        <v>-88.237780604777072</v>
      </c>
      <c r="I203" s="49">
        <f>SUM(Model!I199:I201)</f>
        <v>64.995332558928567</v>
      </c>
      <c r="J203" s="49">
        <f>SUM(Model!J199:J201)</f>
        <v>233.21849251247477</v>
      </c>
      <c r="K203" s="49">
        <f>SUM(Model!K199:K201)</f>
        <v>417.59222206322374</v>
      </c>
      <c r="M203" s="161">
        <f>SUM(Model!D202:K202)</f>
        <v>3606.962816983535</v>
      </c>
      <c r="N203" s="160">
        <f>SUM(D203:K203)</f>
        <v>3606.962816983535</v>
      </c>
      <c r="O203" s="159" cm="1">
        <f t="array" ref="O203">IF(SUM(ISBLANK(Model!D202:K202)*1)&gt;0,0,IF(M203=N203,1,0))</f>
        <v>1</v>
      </c>
    </row>
    <row r="204" spans="1:15" ht="15" customHeight="1" outlineLevel="1"/>
    <row r="205" spans="1:15" ht="15" customHeight="1" outlineLevel="1"/>
    <row r="206" spans="1:15" ht="15" customHeight="1" outlineLevel="1">
      <c r="A206" s="47" t="s">
        <v>0</v>
      </c>
      <c r="B206" s="46" t="s">
        <v>7</v>
      </c>
      <c r="C206" s="46"/>
      <c r="D206" s="46"/>
      <c r="E206" s="46"/>
      <c r="G206" s="45" t="s">
        <v>6</v>
      </c>
      <c r="H206" s="45"/>
      <c r="I206" s="45"/>
      <c r="J206" s="45"/>
      <c r="K206" s="45"/>
    </row>
    <row r="207" spans="1:15" ht="15" customHeight="1" outlineLevel="1"/>
    <row r="208" spans="1:15" ht="15" customHeight="1" outlineLevel="1"/>
    <row r="209" spans="1:11" ht="15" customHeight="1" outlineLevel="1"/>
    <row r="210" spans="1:11" ht="15" customHeight="1" outlineLevel="1"/>
    <row r="211" spans="1:11" ht="15" customHeight="1" outlineLevel="1"/>
    <row r="212" spans="1:11" ht="15" customHeight="1" outlineLevel="1"/>
    <row r="213" spans="1:11" ht="15" customHeight="1" outlineLevel="1"/>
    <row r="214" spans="1:11" ht="15" customHeight="1" outlineLevel="1"/>
    <row r="215" spans="1:11" ht="15" customHeight="1" outlineLevel="1"/>
    <row r="216" spans="1:11" ht="15" customHeight="1" outlineLevel="1"/>
    <row r="217" spans="1:11" ht="15" customHeight="1" outlineLevel="1"/>
    <row r="218" spans="1:11" ht="15" customHeight="1" outlineLevel="1"/>
    <row r="219" spans="1:11" ht="15" customHeight="1" outlineLevel="1"/>
    <row r="220" spans="1:11" ht="15" customHeight="1" outlineLevel="1"/>
    <row r="221" spans="1:11" ht="15" customHeight="1" outlineLevel="1"/>
    <row r="222" spans="1:11" ht="15" customHeight="1" outlineLevel="1"/>
    <row r="223" spans="1:11" ht="15" customHeight="1" outlineLevel="1"/>
    <row r="224" spans="1:11" ht="15" customHeight="1" outlineLevel="1">
      <c r="A224" s="43" t="s">
        <v>0</v>
      </c>
      <c r="B224" s="44"/>
      <c r="C224" s="44"/>
      <c r="D224" s="44"/>
      <c r="E224" s="44"/>
      <c r="F224" s="44"/>
      <c r="G224" s="44"/>
      <c r="H224" s="44"/>
      <c r="I224" s="44"/>
      <c r="J224" s="44"/>
      <c r="K224" s="44"/>
    </row>
    <row r="225" s="43" customFormat="1" ht="15" customHeight="1"/>
  </sheetData>
  <conditionalFormatting sqref="D84:K84">
    <cfRule type="expression" dxfId="0" priority="1">
      <formula>D$84&lt;&gt;0</formula>
    </cfRule>
  </conditionalFormatting>
  <printOptions horizontalCentered="1"/>
  <pageMargins left="0.11799999999999999" right="0.11799999999999999" top="0.11799999999999999" bottom="0.11799999999999999" header="0.11799999999999999" footer="0.11799999999999999"/>
  <pageSetup scale="86" orientation="landscape" r:id="rId1"/>
  <headerFooter>
    <oddFooter>&amp;L&amp;"Open Sans,Bold"&amp;K002060Introduction to 3-Statement Modeling&amp;C&amp;"Open Sans,Bold"&amp;K002060Page &amp;P of &amp;N&amp;R&amp;"Open Sans,Bold"&amp;K002060&amp;G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Cover</vt:lpstr>
      <vt:lpstr>Model</vt:lpstr>
      <vt:lpstr>Cover!Print_Area</vt:lpstr>
      <vt:lpstr>Model!Print_Area</vt:lpstr>
      <vt:lpstr>'Model-R'!Print_Area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Shravani Goud Dindu</cp:lastModifiedBy>
  <cp:revision/>
  <cp:lastPrinted>1899-12-30T05:00:00Z</cp:lastPrinted>
  <dcterms:created xsi:type="dcterms:W3CDTF">1899-12-30T05:00:00Z</dcterms:created>
  <dcterms:modified xsi:type="dcterms:W3CDTF">2025-09-25T05:05:17Z</dcterms:modified>
  <cp:category/>
  <cp:contentStatus/>
  <dc:language/>
  <cp:version/>
</cp:coreProperties>
</file>