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minimized="1" xWindow="0" yWindow="0" windowWidth="25600" windowHeight="14140" tabRatio="500" activeTab="2"/>
  </bookViews>
  <sheets>
    <sheet name="Prob 3" sheetId="1" r:id="rId1"/>
    <sheet name="Prob 4" sheetId="2" r:id="rId2"/>
    <sheet name="Prob 5" sheetId="3" r:id="rId3"/>
    <sheet name="Prob8" sheetId="4" r:id="rId4"/>
    <sheet name="Prob 9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3" l="1"/>
  <c r="E17" i="3"/>
  <c r="B50" i="2"/>
  <c r="B49" i="2"/>
  <c r="B48" i="2"/>
  <c r="C8" i="5"/>
  <c r="C7" i="5"/>
  <c r="C5" i="5"/>
  <c r="E1" i="5"/>
  <c r="B8" i="5"/>
  <c r="B7" i="5"/>
  <c r="B5" i="5"/>
  <c r="E14" i="4"/>
  <c r="E13" i="4"/>
  <c r="D8" i="4"/>
  <c r="C8" i="4"/>
  <c r="B8" i="4"/>
  <c r="D7" i="4"/>
  <c r="D6" i="4"/>
  <c r="C7" i="4"/>
  <c r="C6" i="4"/>
  <c r="F13" i="3"/>
  <c r="F14" i="3"/>
  <c r="F15" i="3"/>
  <c r="F12" i="3"/>
  <c r="B5" i="3"/>
  <c r="B6" i="3"/>
  <c r="E13" i="3"/>
  <c r="E14" i="3"/>
  <c r="E15" i="3"/>
  <c r="D13" i="3"/>
  <c r="E12" i="3"/>
  <c r="D15" i="3"/>
  <c r="D14" i="3"/>
  <c r="D12" i="3"/>
  <c r="D12" i="2"/>
  <c r="D13" i="2"/>
  <c r="D14" i="2"/>
  <c r="B14" i="2"/>
  <c r="B13" i="2"/>
  <c r="B12" i="2"/>
  <c r="D11" i="2"/>
  <c r="B11" i="2"/>
  <c r="A28" i="1"/>
  <c r="A27" i="1"/>
  <c r="E21" i="1"/>
  <c r="E24" i="1"/>
  <c r="A24" i="1"/>
  <c r="A21" i="1"/>
  <c r="B6" i="1"/>
  <c r="B12" i="1"/>
  <c r="B13" i="1"/>
</calcChain>
</file>

<file path=xl/sharedStrings.xml><?xml version="1.0" encoding="utf-8"?>
<sst xmlns="http://schemas.openxmlformats.org/spreadsheetml/2006/main" count="101" uniqueCount="79">
  <si>
    <t>Prob.3</t>
  </si>
  <si>
    <t>High</t>
  </si>
  <si>
    <t>ppmv</t>
  </si>
  <si>
    <t>R</t>
  </si>
  <si>
    <t>K at 0degC</t>
  </si>
  <si>
    <t>Inputs</t>
  </si>
  <si>
    <t>T</t>
  </si>
  <si>
    <t>deg C</t>
  </si>
  <si>
    <t>MW C</t>
  </si>
  <si>
    <t>g/mole</t>
  </si>
  <si>
    <t>K</t>
  </si>
  <si>
    <t>MW O</t>
  </si>
  <si>
    <t>MW CO</t>
  </si>
  <si>
    <t>High Conc.</t>
  </si>
  <si>
    <t xml:space="preserve">T </t>
  </si>
  <si>
    <t>P ambient</t>
  </si>
  <si>
    <t>atm</t>
  </si>
  <si>
    <t>L*atm/(mole*K)</t>
  </si>
  <si>
    <t>mg/m3</t>
  </si>
  <si>
    <t>Constants</t>
  </si>
  <si>
    <t>Step 1: convert to moles of CO per m3 air:</t>
  </si>
  <si>
    <t>mole CO/m3 air</t>
  </si>
  <si>
    <t>Low Concentration</t>
  </si>
  <si>
    <t>Step 2: convert to mg of CO using the molecular weight of CO:</t>
  </si>
  <si>
    <t>MWs</t>
  </si>
  <si>
    <t>Na</t>
  </si>
  <si>
    <t>O</t>
  </si>
  <si>
    <t>H</t>
  </si>
  <si>
    <t>S</t>
  </si>
  <si>
    <t>Cr</t>
  </si>
  <si>
    <t>Cl</t>
  </si>
  <si>
    <t>NaOH</t>
  </si>
  <si>
    <t>g/L</t>
  </si>
  <si>
    <t>mole/l</t>
  </si>
  <si>
    <t>Na2SO4</t>
  </si>
  <si>
    <t>K2Cr2O7</t>
  </si>
  <si>
    <t>KCl</t>
  </si>
  <si>
    <t>Composition of Lake Water</t>
  </si>
  <si>
    <t>Ca+2</t>
  </si>
  <si>
    <t>Na+</t>
  </si>
  <si>
    <t>Mg2+</t>
  </si>
  <si>
    <t>Mn2+</t>
  </si>
  <si>
    <t>mg/L</t>
  </si>
  <si>
    <t>MW</t>
  </si>
  <si>
    <t>Ca</t>
  </si>
  <si>
    <t>Conc.</t>
  </si>
  <si>
    <t>Conc</t>
  </si>
  <si>
    <t>mg/L as CaCO3</t>
  </si>
  <si>
    <t>meq/L</t>
  </si>
  <si>
    <t>Equivalent Wt</t>
  </si>
  <si>
    <t>g/eq</t>
  </si>
  <si>
    <t>Eq. Wt of CaCO3</t>
  </si>
  <si>
    <t>C</t>
  </si>
  <si>
    <t>CaCO3</t>
  </si>
  <si>
    <t>Landfills</t>
  </si>
  <si>
    <t>WW Treatment plants</t>
  </si>
  <si>
    <t>Gg of CH4</t>
  </si>
  <si>
    <t xml:space="preserve">CO2e </t>
  </si>
  <si>
    <t>CH4</t>
  </si>
  <si>
    <t>Tg CO2 eq</t>
  </si>
  <si>
    <t>Gg CO2 eq</t>
  </si>
  <si>
    <t>Total GHG emissions</t>
  </si>
  <si>
    <t>Total Methane emissions</t>
  </si>
  <si>
    <t>Frac total methane</t>
  </si>
  <si>
    <t>Percent Total (%)</t>
  </si>
  <si>
    <t>Dish</t>
  </si>
  <si>
    <t>TS + dish</t>
  </si>
  <si>
    <t>ash + dish</t>
  </si>
  <si>
    <t>V=</t>
  </si>
  <si>
    <t>mL</t>
  </si>
  <si>
    <t>g</t>
  </si>
  <si>
    <t>TS</t>
  </si>
  <si>
    <t>FS</t>
  </si>
  <si>
    <t>VS</t>
  </si>
  <si>
    <t>fraction mg/L</t>
  </si>
  <si>
    <t>L</t>
  </si>
  <si>
    <t>HCO</t>
  </si>
  <si>
    <t>Landfill &amp; WW Treatment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</si>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</sst>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4" borderId="0" xfId="0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10" workbookViewId="0">
      <selection activeCell="B29" sqref="B29"/>
    </sheetView>
  </sheetViews>
  <sheetFormatPr baseColWidth="10" defaultRowHeight="15" x14ac:dyDescent="0"/>
  <cols>
    <col min="1" max="1" width="17" bestFit="1" customWidth="1"/>
    <col min="2" max="2" width="14.1640625" bestFit="1" customWidth="1"/>
    <col min="3" max="3" width="14.5" bestFit="1" customWidth="1"/>
    <col min="5" max="5" width="16.6640625" bestFit="1" customWidth="1"/>
  </cols>
  <sheetData>
    <row r="1" spans="1:3">
      <c r="A1" t="s">
        <v>0</v>
      </c>
    </row>
    <row r="3" spans="1:3">
      <c r="A3" s="4" t="s">
        <v>19</v>
      </c>
    </row>
    <row r="4" spans="1:3">
      <c r="A4" t="s">
        <v>8</v>
      </c>
      <c r="B4">
        <v>12</v>
      </c>
      <c r="C4" t="s">
        <v>9</v>
      </c>
    </row>
    <row r="5" spans="1:3">
      <c r="A5" t="s">
        <v>11</v>
      </c>
      <c r="B5">
        <v>16</v>
      </c>
      <c r="C5" t="s">
        <v>9</v>
      </c>
    </row>
    <row r="6" spans="1:3">
      <c r="A6" t="s">
        <v>3</v>
      </c>
      <c r="B6" s="6">
        <f>8.205*10^-5</f>
        <v>8.2050000000000002E-5</v>
      </c>
      <c r="C6" t="s">
        <v>17</v>
      </c>
    </row>
    <row r="7" spans="1:3">
      <c r="A7" t="s">
        <v>4</v>
      </c>
      <c r="B7">
        <v>273.14999999999998</v>
      </c>
      <c r="C7" t="s">
        <v>10</v>
      </c>
    </row>
    <row r="9" spans="1:3">
      <c r="A9" s="5" t="s">
        <v>5</v>
      </c>
    </row>
    <row r="10" spans="1:3">
      <c r="A10" t="s">
        <v>1</v>
      </c>
      <c r="B10">
        <v>115</v>
      </c>
      <c r="C10" t="s">
        <v>2</v>
      </c>
    </row>
    <row r="11" spans="1:3">
      <c r="A11" t="s">
        <v>6</v>
      </c>
      <c r="B11">
        <v>20</v>
      </c>
      <c r="C11" t="s">
        <v>7</v>
      </c>
    </row>
    <row r="12" spans="1:3">
      <c r="A12" t="s">
        <v>12</v>
      </c>
      <c r="B12">
        <f>B4+B5</f>
        <v>28</v>
      </c>
    </row>
    <row r="13" spans="1:3">
      <c r="A13" t="s">
        <v>14</v>
      </c>
      <c r="B13">
        <f>B11+B7</f>
        <v>293.14999999999998</v>
      </c>
      <c r="C13" t="s">
        <v>10</v>
      </c>
    </row>
    <row r="14" spans="1:3">
      <c r="A14" t="s">
        <v>15</v>
      </c>
      <c r="B14">
        <v>1</v>
      </c>
      <c r="C14" t="s">
        <v>16</v>
      </c>
    </row>
    <row r="18" spans="1:7">
      <c r="A18" t="s">
        <v>13</v>
      </c>
      <c r="B18">
        <v>115</v>
      </c>
      <c r="C18" t="s">
        <v>2</v>
      </c>
      <c r="E18" t="s">
        <v>22</v>
      </c>
      <c r="F18">
        <v>35</v>
      </c>
      <c r="G18" t="s">
        <v>2</v>
      </c>
    </row>
    <row r="19" spans="1:7">
      <c r="B19" s="3"/>
    </row>
    <row r="20" spans="1:7">
      <c r="A20" t="s">
        <v>20</v>
      </c>
      <c r="B20" s="3"/>
      <c r="E20" t="s">
        <v>20</v>
      </c>
      <c r="F20" s="3"/>
    </row>
    <row r="21" spans="1:7">
      <c r="A21" s="6">
        <f>B18/10^6/($B$6*$B$13)</f>
        <v>4.7811168335536291E-3</v>
      </c>
      <c r="B21" t="s">
        <v>21</v>
      </c>
      <c r="E21" s="6">
        <f>F18/10^6/($B$6*$B$13)</f>
        <v>1.4551225145597998E-3</v>
      </c>
      <c r="F21" t="s">
        <v>21</v>
      </c>
    </row>
    <row r="23" spans="1:7">
      <c r="A23" t="s">
        <v>23</v>
      </c>
      <c r="E23" t="s">
        <v>23</v>
      </c>
    </row>
    <row r="24" spans="1:7">
      <c r="A24" s="3">
        <f>A21*$B$12*10^3</f>
        <v>133.87127133950162</v>
      </c>
      <c r="B24" t="s">
        <v>18</v>
      </c>
      <c r="E24" s="3">
        <f>E21*$B$12*10^3</f>
        <v>40.743430407674389</v>
      </c>
      <c r="F24" t="s">
        <v>18</v>
      </c>
    </row>
    <row r="27" spans="1:7">
      <c r="A27" s="6">
        <f>35/10^6</f>
        <v>3.4999999999999997E-5</v>
      </c>
      <c r="B27" t="s">
        <v>16</v>
      </c>
    </row>
    <row r="28" spans="1:7">
      <c r="A28" s="6">
        <f>115/10^6</f>
        <v>1.15E-4</v>
      </c>
      <c r="B28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0"/>
  <sheetViews>
    <sheetView topLeftCell="A44" workbookViewId="0">
      <selection activeCell="B51" sqref="B51"/>
    </sheetView>
  </sheetViews>
  <sheetFormatPr baseColWidth="10" defaultRowHeight="15" x14ac:dyDescent="0"/>
  <sheetData>
    <row r="2" spans="1:4">
      <c r="A2" t="s">
        <v>24</v>
      </c>
      <c r="B2" t="s">
        <v>9</v>
      </c>
    </row>
    <row r="3" spans="1:4">
      <c r="A3" t="s">
        <v>25</v>
      </c>
      <c r="B3">
        <v>23</v>
      </c>
    </row>
    <row r="4" spans="1:4">
      <c r="A4" t="s">
        <v>26</v>
      </c>
      <c r="B4">
        <v>16</v>
      </c>
    </row>
    <row r="5" spans="1:4">
      <c r="A5" t="s">
        <v>27</v>
      </c>
      <c r="B5">
        <v>1</v>
      </c>
    </row>
    <row r="6" spans="1:4">
      <c r="A6" t="s">
        <v>28</v>
      </c>
      <c r="B6">
        <v>32</v>
      </c>
    </row>
    <row r="7" spans="1:4">
      <c r="A7" t="s">
        <v>10</v>
      </c>
      <c r="B7">
        <v>39</v>
      </c>
    </row>
    <row r="8" spans="1:4">
      <c r="A8" t="s">
        <v>29</v>
      </c>
      <c r="B8">
        <v>52</v>
      </c>
    </row>
    <row r="9" spans="1:4">
      <c r="A9" t="s">
        <v>30</v>
      </c>
      <c r="B9">
        <v>35.5</v>
      </c>
    </row>
    <row r="10" spans="1:4">
      <c r="C10" t="s">
        <v>32</v>
      </c>
      <c r="D10" t="s">
        <v>33</v>
      </c>
    </row>
    <row r="11" spans="1:4">
      <c r="A11" t="s">
        <v>31</v>
      </c>
      <c r="B11">
        <f>B3+B4+B5</f>
        <v>40</v>
      </c>
      <c r="C11">
        <v>10</v>
      </c>
      <c r="D11" s="1">
        <f>C11/B11</f>
        <v>0.25</v>
      </c>
    </row>
    <row r="12" spans="1:4">
      <c r="A12" t="s">
        <v>34</v>
      </c>
      <c r="B12">
        <f>2*B3+B6+B4*4</f>
        <v>142</v>
      </c>
      <c r="C12">
        <v>10</v>
      </c>
      <c r="D12" s="7">
        <f t="shared" ref="D12:D14" si="0">C12/B12</f>
        <v>7.0422535211267609E-2</v>
      </c>
    </row>
    <row r="13" spans="1:4">
      <c r="A13" t="s">
        <v>35</v>
      </c>
      <c r="B13">
        <f>B7*2+B8*2+B4*7</f>
        <v>294</v>
      </c>
      <c r="C13">
        <v>10</v>
      </c>
      <c r="D13" s="7">
        <f t="shared" si="0"/>
        <v>3.4013605442176874E-2</v>
      </c>
    </row>
    <row r="14" spans="1:4">
      <c r="A14" t="s">
        <v>36</v>
      </c>
      <c r="B14">
        <f>B7+B9</f>
        <v>74.5</v>
      </c>
      <c r="C14">
        <v>10</v>
      </c>
      <c r="D14" s="7">
        <f t="shared" si="0"/>
        <v>0.13422818791946309</v>
      </c>
    </row>
    <row r="44" spans="1:2">
      <c r="A44" t="s">
        <v>27</v>
      </c>
      <c r="B44">
        <v>1</v>
      </c>
    </row>
    <row r="45" spans="1:2">
      <c r="A45" t="s">
        <v>52</v>
      </c>
      <c r="B45">
        <v>12</v>
      </c>
    </row>
    <row r="46" spans="1:2">
      <c r="A46" t="s">
        <v>26</v>
      </c>
      <c r="B46">
        <v>16</v>
      </c>
    </row>
    <row r="48" spans="1:2">
      <c r="A48" t="s">
        <v>76</v>
      </c>
      <c r="B48">
        <f>SUM(B44:B46)</f>
        <v>29</v>
      </c>
    </row>
    <row r="49" spans="2:2">
      <c r="B49">
        <f>50/B48</f>
        <v>1.7241379310344827</v>
      </c>
    </row>
    <row r="50" spans="2:2">
      <c r="B50">
        <f>B49*50</f>
        <v>86.206896551724128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23" sqref="B23"/>
    </sheetView>
  </sheetViews>
  <sheetFormatPr baseColWidth="10" defaultRowHeight="15" x14ac:dyDescent="0"/>
  <cols>
    <col min="1" max="1" width="23.33203125" bestFit="1" customWidth="1"/>
    <col min="4" max="4" width="14.5" bestFit="1" customWidth="1"/>
    <col min="5" max="5" width="13.6640625" bestFit="1" customWidth="1"/>
    <col min="6" max="6" width="11.83203125" bestFit="1" customWidth="1"/>
  </cols>
  <sheetData>
    <row r="1" spans="1:7">
      <c r="A1" t="s">
        <v>43</v>
      </c>
    </row>
    <row r="2" spans="1:7">
      <c r="A2" t="s">
        <v>44</v>
      </c>
      <c r="B2">
        <v>40</v>
      </c>
    </row>
    <row r="3" spans="1:7">
      <c r="A3" t="s">
        <v>52</v>
      </c>
      <c r="B3">
        <v>12</v>
      </c>
    </row>
    <row r="4" spans="1:7">
      <c r="A4" t="s">
        <v>26</v>
      </c>
      <c r="B4">
        <v>16</v>
      </c>
    </row>
    <row r="5" spans="1:7">
      <c r="A5" t="s">
        <v>53</v>
      </c>
      <c r="B5">
        <f>B2+B3+3*B4</f>
        <v>100</v>
      </c>
      <c r="C5" t="s">
        <v>50</v>
      </c>
    </row>
    <row r="6" spans="1:7">
      <c r="A6" t="s">
        <v>51</v>
      </c>
      <c r="B6">
        <f>B5/2</f>
        <v>50</v>
      </c>
      <c r="C6" t="s">
        <v>9</v>
      </c>
    </row>
    <row r="9" spans="1:7">
      <c r="A9" t="s">
        <v>37</v>
      </c>
    </row>
    <row r="10" spans="1:7" ht="18">
      <c r="A10" s="8"/>
      <c r="B10" s="8" t="s">
        <v>45</v>
      </c>
      <c r="C10" s="8" t="s">
        <v>43</v>
      </c>
      <c r="D10" s="8" t="s">
        <v>49</v>
      </c>
      <c r="E10" s="8" t="s">
        <v>46</v>
      </c>
      <c r="F10" s="8" t="s">
        <v>45</v>
      </c>
      <c r="G10" s="8"/>
    </row>
    <row r="11" spans="1:7" ht="18">
      <c r="A11" s="8"/>
      <c r="B11" s="8" t="s">
        <v>42</v>
      </c>
      <c r="C11" s="8" t="s">
        <v>9</v>
      </c>
      <c r="D11" s="8" t="s">
        <v>50</v>
      </c>
      <c r="E11" s="8" t="s">
        <v>48</v>
      </c>
      <c r="F11" s="8" t="s">
        <v>47</v>
      </c>
      <c r="G11" s="8"/>
    </row>
    <row r="12" spans="1:7" ht="18">
      <c r="A12" s="8" t="s">
        <v>38</v>
      </c>
      <c r="B12" s="8">
        <v>42</v>
      </c>
      <c r="C12" s="8">
        <v>40</v>
      </c>
      <c r="D12" s="8">
        <f>C12/2</f>
        <v>20</v>
      </c>
      <c r="E12" s="8">
        <f>B12/D12</f>
        <v>2.1</v>
      </c>
      <c r="F12" s="8">
        <f>E12*$B$6</f>
        <v>105</v>
      </c>
      <c r="G12" s="8"/>
    </row>
    <row r="13" spans="1:7" ht="18">
      <c r="A13" s="12" t="s">
        <v>39</v>
      </c>
      <c r="B13" s="12">
        <v>35</v>
      </c>
      <c r="C13" s="12">
        <v>23</v>
      </c>
      <c r="D13" s="12">
        <f>C13</f>
        <v>23</v>
      </c>
      <c r="E13" s="13">
        <f t="shared" ref="E13:E15" si="0">B13/D13</f>
        <v>1.5217391304347827</v>
      </c>
      <c r="F13" s="13">
        <f t="shared" ref="F13:F15" si="1">E13*$B$6</f>
        <v>76.08695652173914</v>
      </c>
      <c r="G13" s="8"/>
    </row>
    <row r="14" spans="1:7" ht="18">
      <c r="A14" s="8" t="s">
        <v>40</v>
      </c>
      <c r="B14" s="8">
        <v>12</v>
      </c>
      <c r="C14" s="8">
        <v>24</v>
      </c>
      <c r="D14" s="8">
        <f>C14/2</f>
        <v>12</v>
      </c>
      <c r="E14" s="9">
        <f t="shared" si="0"/>
        <v>1</v>
      </c>
      <c r="F14" s="8">
        <f t="shared" si="1"/>
        <v>50</v>
      </c>
      <c r="G14" s="8"/>
    </row>
    <row r="15" spans="1:7" ht="18">
      <c r="A15" s="8" t="s">
        <v>41</v>
      </c>
      <c r="B15" s="8">
        <v>10</v>
      </c>
      <c r="C15" s="8">
        <v>55</v>
      </c>
      <c r="D15" s="8">
        <f>C15/2</f>
        <v>27.5</v>
      </c>
      <c r="E15" s="10">
        <f t="shared" si="0"/>
        <v>0.36363636363636365</v>
      </c>
      <c r="F15" s="11">
        <f t="shared" si="1"/>
        <v>18.181818181818183</v>
      </c>
      <c r="G15" s="8"/>
    </row>
    <row r="17" spans="2:5">
      <c r="D17" t="s">
        <v>78</v>
      </c>
      <c r="E17" s="1">
        <f>E12+E14+E15</f>
        <v>3.4636363636363638</v>
      </c>
    </row>
    <row r="22" spans="2:5">
      <c r="B22">
        <f>3*800/200/0.3</f>
        <v>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6" sqref="D6"/>
    </sheetView>
  </sheetViews>
  <sheetFormatPr baseColWidth="10" defaultRowHeight="15" x14ac:dyDescent="0"/>
  <cols>
    <col min="1" max="1" width="21.6640625" bestFit="1" customWidth="1"/>
    <col min="5" max="5" width="16.6640625" bestFit="1" customWidth="1"/>
  </cols>
  <sheetData>
    <row r="1" spans="1:5">
      <c r="B1" t="s">
        <v>57</v>
      </c>
    </row>
    <row r="2" spans="1:5">
      <c r="A2" t="s">
        <v>58</v>
      </c>
      <c r="B2">
        <v>25</v>
      </c>
    </row>
    <row r="5" spans="1:5">
      <c r="B5" t="s">
        <v>56</v>
      </c>
      <c r="C5" t="s">
        <v>60</v>
      </c>
      <c r="D5" t="s">
        <v>59</v>
      </c>
      <c r="E5" t="s">
        <v>63</v>
      </c>
    </row>
    <row r="6" spans="1:5">
      <c r="A6" t="s">
        <v>54</v>
      </c>
      <c r="B6">
        <v>6709</v>
      </c>
      <c r="C6">
        <f>B6*$B$2</f>
        <v>167725</v>
      </c>
      <c r="D6" s="2">
        <f>C6/1000</f>
        <v>167.72499999999999</v>
      </c>
    </row>
    <row r="7" spans="1:5">
      <c r="A7" t="s">
        <v>55</v>
      </c>
      <c r="B7">
        <v>1758</v>
      </c>
      <c r="C7">
        <f>B7*$B$2</f>
        <v>43950</v>
      </c>
      <c r="D7" s="1">
        <f>C7/1000</f>
        <v>43.95</v>
      </c>
    </row>
    <row r="8" spans="1:5">
      <c r="A8" t="s">
        <v>77</v>
      </c>
      <c r="B8">
        <f>SUM(B6:B7)</f>
        <v>8467</v>
      </c>
      <c r="C8">
        <f t="shared" ref="C8:D8" si="0">SUM(C6:C7)</f>
        <v>211675</v>
      </c>
      <c r="D8">
        <f t="shared" si="0"/>
        <v>211.67500000000001</v>
      </c>
    </row>
    <row r="12" spans="1:5">
      <c r="D12" t="s">
        <v>59</v>
      </c>
      <c r="E12" t="s">
        <v>64</v>
      </c>
    </row>
    <row r="13" spans="1:5">
      <c r="A13" t="s">
        <v>62</v>
      </c>
      <c r="D13">
        <v>556.70000000000005</v>
      </c>
      <c r="E13" s="3">
        <f>D8/D13*100</f>
        <v>38.023172265133823</v>
      </c>
    </row>
    <row r="14" spans="1:5">
      <c r="A14" t="s">
        <v>61</v>
      </c>
      <c r="D14">
        <v>7074</v>
      </c>
      <c r="E14" s="3">
        <f>D8/D14*100</f>
        <v>2.9922957308453491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7" sqref="B7"/>
    </sheetView>
  </sheetViews>
  <sheetFormatPr baseColWidth="10" defaultRowHeight="15" x14ac:dyDescent="0"/>
  <cols>
    <col min="3" max="3" width="12.1640625" bestFit="1" customWidth="1"/>
  </cols>
  <sheetData>
    <row r="1" spans="1:6">
      <c r="B1" t="s">
        <v>68</v>
      </c>
      <c r="C1">
        <v>200</v>
      </c>
      <c r="D1" t="s">
        <v>69</v>
      </c>
      <c r="E1">
        <f>C1/1000</f>
        <v>0.2</v>
      </c>
      <c r="F1" t="s">
        <v>75</v>
      </c>
    </row>
    <row r="2" spans="1:6">
      <c r="B2" t="s">
        <v>70</v>
      </c>
      <c r="C2" t="s">
        <v>74</v>
      </c>
    </row>
    <row r="3" spans="1:6">
      <c r="A3" t="s">
        <v>65</v>
      </c>
      <c r="B3">
        <v>12.819000000000001</v>
      </c>
    </row>
    <row r="4" spans="1:6">
      <c r="A4" t="s">
        <v>66</v>
      </c>
      <c r="B4">
        <v>13.02</v>
      </c>
    </row>
    <row r="5" spans="1:6">
      <c r="A5" t="s">
        <v>71</v>
      </c>
      <c r="B5">
        <f>B4-B3</f>
        <v>0.20099999999999874</v>
      </c>
      <c r="C5">
        <f>B5/$E$1*1000</f>
        <v>1004.9999999999936</v>
      </c>
    </row>
    <row r="6" spans="1:6">
      <c r="A6" t="s">
        <v>67</v>
      </c>
      <c r="B6">
        <v>12.981999999999999</v>
      </c>
    </row>
    <row r="7" spans="1:6">
      <c r="A7" t="s">
        <v>72</v>
      </c>
      <c r="B7">
        <f>B6-B3</f>
        <v>0.16299999999999848</v>
      </c>
      <c r="C7">
        <f t="shared" ref="C7:C8" si="0">B7/$E$1*1000</f>
        <v>814.99999999999238</v>
      </c>
    </row>
    <row r="8" spans="1:6">
      <c r="A8" t="s">
        <v>73</v>
      </c>
      <c r="B8">
        <f>B5-B7</f>
        <v>3.8000000000000256E-2</v>
      </c>
      <c r="C8">
        <f t="shared" si="0"/>
        <v>190.00000000000128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 3</vt:lpstr>
      <vt:lpstr>Prob 4</vt:lpstr>
      <vt:lpstr>Prob 5</vt:lpstr>
      <vt:lpstr>Prob8</vt:lpstr>
      <vt:lpstr>Prob 9</vt:lpstr>
    </vt:vector>
  </TitlesOfParts>
  <Company>Cornell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 Sills</dc:creator>
  <cp:lastModifiedBy>Deborah  Sills</cp:lastModifiedBy>
  <dcterms:created xsi:type="dcterms:W3CDTF">2013-09-01T14:02:15Z</dcterms:created>
  <dcterms:modified xsi:type="dcterms:W3CDTF">2013-09-04T12:59:33Z</dcterms:modified>
</cp:coreProperties>
</file>