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tian\QLExtension\Output\Release\Workbooks\"/>
    </mc:Choice>
  </mc:AlternateContent>
  <bookViews>
    <workbookView xWindow="0" yWindow="120" windowWidth="11655" windowHeight="4530"/>
  </bookViews>
  <sheets>
    <sheet name="Black-Scholes" sheetId="2" r:id="rId1"/>
    <sheet name="SABR" sheetId="3" r:id="rId2"/>
    <sheet name="SVI" sheetId="4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10" i="2"/>
  <c r="C15" i="2"/>
  <c r="B7" i="2"/>
  <c r="B13" i="2"/>
  <c r="C11" i="2"/>
  <c r="C12" i="2"/>
  <c r="B10" i="2"/>
  <c r="B14" i="2"/>
  <c r="C13" i="2"/>
  <c r="B11" i="2"/>
  <c r="C14" i="2"/>
  <c r="K3" i="3"/>
  <c r="G2" i="3" s="1"/>
  <c r="G5" i="3"/>
  <c r="C5" i="3"/>
  <c r="B5" i="3"/>
  <c r="E1" i="2"/>
  <c r="D5" i="3"/>
  <c r="H5" i="3"/>
  <c r="F5" i="3"/>
  <c r="E5" i="3"/>
  <c r="D8" i="3" a="1"/>
  <c r="B15" i="2"/>
  <c r="B12" i="2"/>
  <c r="E9" i="3" l="1"/>
  <c r="E11" i="3"/>
  <c r="E13" i="3"/>
  <c r="D9" i="3"/>
  <c r="D11" i="3"/>
  <c r="D8" i="3"/>
  <c r="D10" i="3"/>
  <c r="D12" i="3"/>
  <c r="E8" i="3"/>
  <c r="E10" i="3"/>
  <c r="E12" i="3"/>
  <c r="D13" i="3"/>
  <c r="B1" i="2"/>
  <c r="O20" i="3"/>
  <c r="O11" i="3"/>
  <c r="AJ11" i="3" s="1"/>
  <c r="O15" i="3"/>
  <c r="AQ10" i="3" a="1"/>
  <c r="O7" i="3"/>
  <c r="O9" i="3"/>
  <c r="O17" i="3"/>
  <c r="O16" i="3"/>
  <c r="AA21" i="3"/>
  <c r="O5" i="3"/>
  <c r="O8" i="3"/>
  <c r="E16" i="4"/>
  <c r="AC21" i="3"/>
  <c r="AJ9" i="3"/>
  <c r="AA19" i="3"/>
  <c r="Y21" i="3"/>
  <c r="O6" i="3"/>
  <c r="AB21" i="3"/>
  <c r="AJ8" i="3"/>
  <c r="AJ6" i="3"/>
  <c r="Z18" i="3"/>
  <c r="O18" i="3"/>
  <c r="Z21" i="3"/>
  <c r="O19" i="3"/>
  <c r="O4" i="3"/>
  <c r="AJ4" i="3" s="1"/>
  <c r="AK4" i="3" a="1"/>
  <c r="O10" i="3"/>
  <c r="AJ10" i="3" s="1"/>
  <c r="AC20" i="3"/>
  <c r="Z19" i="3"/>
  <c r="AJ7" i="3"/>
  <c r="AE18" i="3"/>
  <c r="AD16" i="3"/>
  <c r="AB19" i="3"/>
  <c r="AQ4" i="3" a="1"/>
  <c r="AM10" i="3" a="1"/>
  <c r="AO4" i="3" a="1"/>
  <c r="AB14" i="3"/>
  <c r="Z16" i="3"/>
  <c r="AJ5" i="3"/>
  <c r="AC14" i="3"/>
  <c r="Y17" i="3"/>
  <c r="Z17" i="3"/>
  <c r="AA18" i="3"/>
  <c r="AE16" i="3"/>
  <c r="O14" i="3"/>
  <c r="AD19" i="3"/>
  <c r="AE19" i="3"/>
  <c r="AC16" i="3"/>
  <c r="AB20" i="3"/>
  <c r="AE17" i="3"/>
  <c r="AA15" i="3"/>
  <c r="AB17" i="3"/>
  <c r="O21" i="3"/>
  <c r="AA16" i="3"/>
  <c r="D2" i="2"/>
  <c r="AD21" i="3"/>
  <c r="AE21" i="3"/>
  <c r="H16" i="4" a="1"/>
  <c r="K16" i="4"/>
  <c r="Y19" i="3"/>
  <c r="AC19" i="3"/>
  <c r="AD18" i="3"/>
  <c r="AK10" i="3" a="1"/>
  <c r="Y18" i="3"/>
  <c r="AB18" i="3"/>
  <c r="AC18" i="3"/>
  <c r="AB16" i="3"/>
  <c r="Y16" i="3"/>
  <c r="Z14" i="3"/>
  <c r="AA14" i="3"/>
  <c r="AE14" i="3"/>
  <c r="Y14" i="3"/>
  <c r="AD14" i="3"/>
  <c r="AE20" i="3"/>
  <c r="AO10" i="3" a="1"/>
  <c r="AA20" i="3"/>
  <c r="Z20" i="3"/>
  <c r="AD20" i="3"/>
  <c r="Y20" i="3"/>
  <c r="AA17" i="3"/>
  <c r="AC17" i="3"/>
  <c r="AD17" i="3"/>
  <c r="Y15" i="3"/>
  <c r="AE15" i="3"/>
  <c r="AC15" i="3"/>
  <c r="AB15" i="3"/>
  <c r="AM4" i="3" a="1"/>
  <c r="Z15" i="3"/>
  <c r="AD15" i="3"/>
  <c r="H20" i="4" l="1"/>
  <c r="H21" i="4"/>
  <c r="I19" i="4"/>
  <c r="I17" i="4"/>
  <c r="H18" i="4"/>
  <c r="H19" i="4"/>
  <c r="I22" i="4"/>
  <c r="I20" i="4"/>
  <c r="H16" i="4"/>
  <c r="H17" i="4"/>
  <c r="H22" i="4"/>
  <c r="I21" i="4"/>
  <c r="H23" i="4"/>
  <c r="I16" i="4"/>
  <c r="I23" i="4"/>
  <c r="I18" i="4"/>
  <c r="AL7" i="3"/>
  <c r="AK9" i="3"/>
  <c r="AK6" i="3"/>
  <c r="AL5" i="3"/>
  <c r="AL6" i="3"/>
  <c r="AK8" i="3"/>
  <c r="AL4" i="3"/>
  <c r="AK4" i="3"/>
  <c r="AL9" i="3"/>
  <c r="AL8" i="3"/>
  <c r="AK7" i="3"/>
  <c r="AK5" i="3"/>
  <c r="AL13" i="3"/>
  <c r="AK13" i="3"/>
  <c r="AK10" i="3"/>
  <c r="AL11" i="3"/>
  <c r="AL10" i="3"/>
  <c r="AL14" i="3"/>
  <c r="AL15" i="3"/>
  <c r="AL12" i="3"/>
  <c r="AK12" i="3"/>
  <c r="AK14" i="3"/>
  <c r="AK11" i="3"/>
  <c r="AK15" i="3"/>
  <c r="AP14" i="3"/>
  <c r="AP12" i="3"/>
  <c r="AP13" i="3"/>
  <c r="AO10" i="3"/>
  <c r="AP10" i="3"/>
  <c r="AO11" i="3"/>
  <c r="AO12" i="3"/>
  <c r="AO14" i="3"/>
  <c r="AP15" i="3"/>
  <c r="AO15" i="3"/>
  <c r="AP11" i="3"/>
  <c r="AO13" i="3"/>
  <c r="AQ12" i="3"/>
  <c r="AR10" i="3"/>
  <c r="AR11" i="3"/>
  <c r="AQ10" i="3"/>
  <c r="AQ15" i="3"/>
  <c r="AR13" i="3"/>
  <c r="AR15" i="3"/>
  <c r="AR12" i="3"/>
  <c r="AQ11" i="3"/>
  <c r="AQ13" i="3"/>
  <c r="AR14" i="3"/>
  <c r="AQ14" i="3"/>
  <c r="AM7" i="3"/>
  <c r="AM8" i="3"/>
  <c r="AN9" i="3"/>
  <c r="AM5" i="3"/>
  <c r="AN5" i="3"/>
  <c r="AM4" i="3"/>
  <c r="AN8" i="3"/>
  <c r="AN7" i="3"/>
  <c r="AN6" i="3"/>
  <c r="AN4" i="3"/>
  <c r="AM9" i="3"/>
  <c r="AM6" i="3"/>
  <c r="AP6" i="3"/>
  <c r="AP9" i="3"/>
  <c r="AO6" i="3"/>
  <c r="AP4" i="3"/>
  <c r="AO7" i="3"/>
  <c r="AP5" i="3"/>
  <c r="AP7" i="3"/>
  <c r="AO4" i="3"/>
  <c r="AO8" i="3"/>
  <c r="AO9" i="3"/>
  <c r="AP8" i="3"/>
  <c r="AO5" i="3"/>
  <c r="AM13" i="3"/>
  <c r="AM10" i="3"/>
  <c r="AN11" i="3"/>
  <c r="AM11" i="3"/>
  <c r="AN14" i="3"/>
  <c r="AN13" i="3"/>
  <c r="AN15" i="3"/>
  <c r="AM12" i="3"/>
  <c r="AN10" i="3"/>
  <c r="AM15" i="3"/>
  <c r="AM14" i="3"/>
  <c r="AN12" i="3"/>
  <c r="AQ6" i="3"/>
  <c r="AR8" i="3"/>
  <c r="AR9" i="3"/>
  <c r="AQ4" i="3"/>
  <c r="AR5" i="3"/>
  <c r="AQ7" i="3"/>
  <c r="AQ9" i="3"/>
  <c r="AR7" i="3"/>
  <c r="AR4" i="3"/>
  <c r="AR6" i="3"/>
  <c r="AQ8" i="3"/>
  <c r="AQ5" i="3"/>
  <c r="C18" i="4"/>
  <c r="C16" i="4"/>
  <c r="B13" i="4" l="1"/>
  <c r="B12" i="4"/>
  <c r="B11" i="4"/>
  <c r="B10" i="4"/>
  <c r="B9" i="4"/>
  <c r="B8" i="4"/>
  <c r="B7" i="4"/>
  <c r="B6" i="4"/>
  <c r="B5" i="4"/>
  <c r="B4" i="4"/>
  <c r="B3" i="4"/>
  <c r="B2" i="4"/>
  <c r="E14" i="2" l="1"/>
  <c r="B19" i="2"/>
  <c r="E12" i="2"/>
  <c r="E13" i="2"/>
  <c r="F13" i="2"/>
  <c r="F14" i="2"/>
  <c r="F12" i="2"/>
  <c r="E15" i="2"/>
  <c r="F15" i="2"/>
  <c r="C19" i="2"/>
  <c r="D19" i="2"/>
  <c r="B23" i="2"/>
  <c r="K23" i="2"/>
  <c r="B21" i="2"/>
  <c r="N21" i="2" s="1"/>
  <c r="B20" i="2"/>
  <c r="E21" i="2"/>
  <c r="Q23" i="2"/>
  <c r="T21" i="2"/>
  <c r="B22" i="2"/>
  <c r="E22" i="2"/>
  <c r="E20" i="2"/>
  <c r="T23" i="2"/>
  <c r="Q22" i="2"/>
  <c r="Q21" i="2"/>
  <c r="H23" i="2"/>
  <c r="H21" i="2"/>
  <c r="N23" i="2"/>
  <c r="K21" i="2"/>
  <c r="B24" i="2"/>
  <c r="E23" i="2"/>
  <c r="K24" i="2"/>
  <c r="N22" i="2"/>
  <c r="Q20" i="2"/>
  <c r="T20" i="2"/>
  <c r="N20" i="2"/>
  <c r="H20" i="2"/>
  <c r="T22" i="2"/>
  <c r="K22" i="2"/>
  <c r="H22" i="2"/>
  <c r="Q24" i="2"/>
  <c r="N24" i="2"/>
  <c r="E24" i="2"/>
  <c r="T24" i="2"/>
  <c r="H24" i="2"/>
  <c r="F19" i="2" l="1"/>
  <c r="I19" i="2" s="1"/>
  <c r="L19" i="2" s="1"/>
  <c r="O19" i="2" s="1"/>
  <c r="R19" i="2" s="1"/>
  <c r="U19" i="2" s="1"/>
  <c r="G19" i="2"/>
  <c r="E19" i="2"/>
  <c r="H19" i="2" s="1"/>
  <c r="K19" i="2" s="1"/>
  <c r="N19" i="2" s="1"/>
  <c r="Q19" i="2" s="1"/>
  <c r="T19" i="2" s="1"/>
  <c r="AF16" i="3"/>
  <c r="AG16" i="3"/>
  <c r="AH16" i="3"/>
  <c r="AI16" i="3"/>
  <c r="AH19" i="3"/>
  <c r="AG19" i="3"/>
  <c r="AI19" i="3"/>
  <c r="AF19" i="3"/>
  <c r="AH15" i="3"/>
  <c r="AF15" i="3"/>
  <c r="AG15" i="3"/>
  <c r="AI17" i="3"/>
  <c r="AF17" i="3"/>
  <c r="AG17" i="3"/>
  <c r="AH14" i="3"/>
  <c r="AI14" i="3"/>
  <c r="AG14" i="3"/>
  <c r="AF14" i="3"/>
  <c r="AH18" i="3"/>
  <c r="AG18" i="3"/>
  <c r="AI18" i="3"/>
  <c r="AF18" i="3"/>
  <c r="AI20" i="3"/>
  <c r="AH20" i="3"/>
  <c r="AF20" i="3"/>
  <c r="AG20" i="3"/>
  <c r="F10" i="2"/>
  <c r="E11" i="2"/>
  <c r="E10" i="2"/>
  <c r="F11" i="2"/>
  <c r="AH17" i="3"/>
  <c r="AI15" i="3"/>
  <c r="J19" i="2" l="1"/>
  <c r="M19" i="2" s="1"/>
  <c r="P19" i="2" s="1"/>
  <c r="S19" i="2" s="1"/>
  <c r="V19" i="2" s="1"/>
  <c r="AF21" i="3"/>
  <c r="AH21" i="3"/>
  <c r="AG21" i="3"/>
  <c r="AI21" i="3"/>
  <c r="K20" i="2"/>
  <c r="C40" i="2"/>
  <c r="C34" i="2"/>
  <c r="D36" i="2"/>
  <c r="C38" i="2"/>
  <c r="C35" i="2"/>
  <c r="D23" i="2"/>
  <c r="D20" i="2"/>
  <c r="C32" i="2"/>
  <c r="C26" i="2"/>
  <c r="D37" i="2"/>
  <c r="D22" i="2"/>
  <c r="B38" i="2"/>
  <c r="B34" i="2"/>
  <c r="B30" i="2"/>
  <c r="B25" i="2"/>
  <c r="U40" i="2"/>
  <c r="U34" i="2"/>
  <c r="S36" i="2"/>
  <c r="L38" i="2"/>
  <c r="O35" i="2"/>
  <c r="V23" i="2"/>
  <c r="S20" i="2"/>
  <c r="R32" i="2"/>
  <c r="L26" i="2"/>
  <c r="S37" i="2"/>
  <c r="S22" i="2"/>
  <c r="Q38" i="2"/>
  <c r="Q34" i="2"/>
  <c r="K30" i="2"/>
  <c r="T25" i="2"/>
  <c r="B29" i="2"/>
  <c r="R34" i="2"/>
  <c r="V36" i="2"/>
  <c r="C24" i="2"/>
  <c r="C29" i="2"/>
  <c r="D29" i="2"/>
  <c r="D38" i="2"/>
  <c r="C33" i="2"/>
  <c r="D30" i="2"/>
  <c r="C25" i="2"/>
  <c r="C37" i="2"/>
  <c r="D35" i="2"/>
  <c r="D21" i="2"/>
  <c r="D40" i="2"/>
  <c r="B33" i="2"/>
  <c r="B28" i="2"/>
  <c r="B26" i="2"/>
  <c r="E33" i="2"/>
  <c r="E29" i="2"/>
  <c r="F24" i="2"/>
  <c r="F25" i="2"/>
  <c r="F37" i="2"/>
  <c r="G35" i="2"/>
  <c r="L40" i="2"/>
  <c r="U29" i="2"/>
  <c r="C39" i="2"/>
  <c r="D27" i="2"/>
  <c r="D32" i="2"/>
  <c r="C36" i="2"/>
  <c r="U36" i="2" s="1"/>
  <c r="C30" i="2"/>
  <c r="O30" i="2" s="1"/>
  <c r="D24" i="2"/>
  <c r="P24" i="2" s="1"/>
  <c r="C22" i="2"/>
  <c r="O22" i="2" s="1"/>
  <c r="C31" i="2"/>
  <c r="O31" i="2" s="1"/>
  <c r="D28" i="2"/>
  <c r="S28" i="2" s="1"/>
  <c r="C28" i="2"/>
  <c r="L28" i="2" s="1"/>
  <c r="B40" i="2"/>
  <c r="K40" i="2" s="1"/>
  <c r="B36" i="2"/>
  <c r="T36" i="2" s="1"/>
  <c r="B32" i="2"/>
  <c r="T32" i="2" s="1"/>
  <c r="B27" i="2"/>
  <c r="K27" i="2" s="1"/>
  <c r="H40" i="2"/>
  <c r="H38" i="2"/>
  <c r="H36" i="2"/>
  <c r="H34" i="2"/>
  <c r="H32" i="2"/>
  <c r="H30" i="2"/>
  <c r="H27" i="2"/>
  <c r="H25" i="2"/>
  <c r="I40" i="2"/>
  <c r="I39" i="2"/>
  <c r="C23" i="2"/>
  <c r="D34" i="2"/>
  <c r="C27" i="2"/>
  <c r="C20" i="2"/>
  <c r="D39" i="2"/>
  <c r="D25" i="2"/>
  <c r="D33" i="2"/>
  <c r="C21" i="2"/>
  <c r="D26" i="2"/>
  <c r="D31" i="2"/>
  <c r="B39" i="2"/>
  <c r="B35" i="2"/>
  <c r="B31" i="2"/>
  <c r="B37" i="2"/>
  <c r="E40" i="2"/>
  <c r="E38" i="2"/>
  <c r="E36" i="2"/>
  <c r="E34" i="2"/>
  <c r="E32" i="2"/>
  <c r="E30" i="2"/>
  <c r="E27" i="2"/>
  <c r="E25" i="2"/>
  <c r="F40" i="2"/>
  <c r="F39" i="2"/>
  <c r="F34" i="2"/>
  <c r="G27" i="2"/>
  <c r="G36" i="2"/>
  <c r="G32" i="2"/>
  <c r="F38" i="2"/>
  <c r="F36" i="2"/>
  <c r="F35" i="2"/>
  <c r="F30" i="2"/>
  <c r="G23" i="2"/>
  <c r="G24" i="2"/>
  <c r="G20" i="2"/>
  <c r="F22" i="2"/>
  <c r="F32" i="2"/>
  <c r="F31" i="2"/>
  <c r="F26" i="2"/>
  <c r="G28" i="2"/>
  <c r="G37" i="2"/>
  <c r="F28" i="2"/>
  <c r="G22" i="2"/>
  <c r="I34" i="2"/>
  <c r="I38" i="2"/>
  <c r="J23" i="2"/>
  <c r="I32" i="2"/>
  <c r="J37" i="2"/>
  <c r="R40" i="2"/>
  <c r="O39" i="2"/>
  <c r="O34" i="2"/>
  <c r="M27" i="2"/>
  <c r="M36" i="2"/>
  <c r="M32" i="2"/>
  <c r="R38" i="2"/>
  <c r="V38" i="2"/>
  <c r="O36" i="2"/>
  <c r="R35" i="2"/>
  <c r="O33" i="2"/>
  <c r="L30" i="2"/>
  <c r="M23" i="2"/>
  <c r="V30" i="2"/>
  <c r="V24" i="2"/>
  <c r="P20" i="2"/>
  <c r="L25" i="2"/>
  <c r="L22" i="2"/>
  <c r="L32" i="2"/>
  <c r="L37" i="2"/>
  <c r="R31" i="2"/>
  <c r="O26" i="2"/>
  <c r="V35" i="2"/>
  <c r="V28" i="2"/>
  <c r="P37" i="2"/>
  <c r="V21" i="2"/>
  <c r="R28" i="2"/>
  <c r="M22" i="2"/>
  <c r="P40" i="2"/>
  <c r="N40" i="2"/>
  <c r="N38" i="2"/>
  <c r="Q33" i="2"/>
  <c r="N36" i="2"/>
  <c r="K34" i="2"/>
  <c r="T29" i="2"/>
  <c r="N32" i="2"/>
  <c r="Q30" i="2"/>
  <c r="T28" i="2"/>
  <c r="T27" i="2"/>
  <c r="N25" i="2"/>
  <c r="T26" i="2"/>
  <c r="U23" i="2"/>
  <c r="V39" i="2"/>
  <c r="S25" i="2"/>
  <c r="S33" i="2"/>
  <c r="U31" i="2"/>
  <c r="P28" i="2"/>
  <c r="O28" i="2"/>
  <c r="P22" i="2"/>
  <c r="T38" i="2"/>
  <c r="T34" i="2"/>
  <c r="T30" i="2"/>
  <c r="Q37" i="2"/>
  <c r="N27" i="2"/>
  <c r="J27" i="2"/>
  <c r="I36" i="2"/>
  <c r="J24" i="2"/>
  <c r="I31" i="2"/>
  <c r="I28" i="2"/>
  <c r="L24" i="2"/>
  <c r="L23" i="2"/>
  <c r="R29" i="2"/>
  <c r="S34" i="2"/>
  <c r="P29" i="2"/>
  <c r="L27" i="2"/>
  <c r="U38" i="2"/>
  <c r="P38" i="2"/>
  <c r="O20" i="2"/>
  <c r="L35" i="2"/>
  <c r="R33" i="2"/>
  <c r="P39" i="2"/>
  <c r="P23" i="2"/>
  <c r="P30" i="2"/>
  <c r="V25" i="2"/>
  <c r="M20" i="2"/>
  <c r="U25" i="2"/>
  <c r="V33" i="2"/>
  <c r="U32" i="2"/>
  <c r="U37" i="2"/>
  <c r="L21" i="2"/>
  <c r="U26" i="2"/>
  <c r="S35" i="2"/>
  <c r="S26" i="2"/>
  <c r="V37" i="2"/>
  <c r="M21" i="2"/>
  <c r="P31" i="2"/>
  <c r="V22" i="2"/>
  <c r="V40" i="2"/>
  <c r="Q39" i="2"/>
  <c r="K38" i="2"/>
  <c r="K33" i="2"/>
  <c r="T35" i="2"/>
  <c r="N34" i="2"/>
  <c r="Q29" i="2"/>
  <c r="N31" i="2"/>
  <c r="N30" i="2"/>
  <c r="N28" i="2"/>
  <c r="K37" i="2"/>
  <c r="K25" i="2"/>
  <c r="N26" i="2"/>
  <c r="I35" i="2"/>
  <c r="R24" i="2"/>
  <c r="M34" i="2"/>
  <c r="R27" i="2"/>
  <c r="O38" i="2"/>
  <c r="U20" i="2"/>
  <c r="U30" i="2"/>
  <c r="S24" i="2"/>
  <c r="V20" i="2"/>
  <c r="O32" i="2"/>
  <c r="R26" i="2"/>
  <c r="V26" i="2"/>
  <c r="V31" i="2"/>
  <c r="N39" i="2"/>
  <c r="K36" i="2"/>
  <c r="K32" i="2"/>
  <c r="Q27" i="2"/>
  <c r="Q25" i="2"/>
  <c r="K31" i="2"/>
  <c r="K26" i="2"/>
  <c r="J36" i="2"/>
  <c r="J20" i="2"/>
  <c r="I26" i="2"/>
  <c r="J22" i="2"/>
  <c r="L29" i="2"/>
  <c r="V29" i="2"/>
  <c r="L36" i="2"/>
  <c r="U35" i="2"/>
  <c r="S23" i="2"/>
  <c r="U22" i="2"/>
  <c r="R21" i="2"/>
  <c r="M37" i="2"/>
  <c r="Q40" i="2"/>
  <c r="N35" i="2"/>
  <c r="Q31" i="2"/>
  <c r="K28" i="2"/>
  <c r="J32" i="2"/>
  <c r="I30" i="2"/>
  <c r="I22" i="2"/>
  <c r="J28" i="2"/>
  <c r="O40" i="2"/>
  <c r="R39" i="2"/>
  <c r="L34" i="2"/>
  <c r="V27" i="2"/>
  <c r="P36" i="2"/>
  <c r="S32" i="2"/>
  <c r="O27" i="2"/>
  <c r="M38" i="2"/>
  <c r="R36" i="2"/>
  <c r="R20" i="2"/>
  <c r="L33" i="2"/>
  <c r="R30" i="2"/>
  <c r="S39" i="2"/>
  <c r="M30" i="2"/>
  <c r="M24" i="2"/>
  <c r="P25" i="2"/>
  <c r="O25" i="2"/>
  <c r="R22" i="2"/>
  <c r="M33" i="2"/>
  <c r="O37" i="2"/>
  <c r="L31" i="2"/>
  <c r="U21" i="2"/>
  <c r="M35" i="2"/>
  <c r="M28" i="2"/>
  <c r="P26" i="2"/>
  <c r="P21" i="2"/>
  <c r="U28" i="2"/>
  <c r="S31" i="2"/>
  <c r="S40" i="2"/>
  <c r="T40" i="2"/>
  <c r="T39" i="2"/>
  <c r="N33" i="2"/>
  <c r="Q36" i="2"/>
  <c r="K35" i="2"/>
  <c r="K29" i="2"/>
  <c r="Q32" i="2"/>
  <c r="N37" i="2"/>
  <c r="N29" i="2"/>
  <c r="H29" i="2"/>
  <c r="O24" i="2"/>
  <c r="U24" i="2"/>
  <c r="I24" i="2"/>
  <c r="F29" i="2"/>
  <c r="O29" i="2"/>
  <c r="I29" i="2"/>
  <c r="M29" i="2"/>
  <c r="G29" i="2"/>
  <c r="S29" i="2"/>
  <c r="J29" i="2"/>
  <c r="G38" i="2"/>
  <c r="S38" i="2"/>
  <c r="J38" i="2"/>
  <c r="F33" i="2"/>
  <c r="U33" i="2"/>
  <c r="I33" i="2"/>
  <c r="G30" i="2"/>
  <c r="S30" i="2"/>
  <c r="J30" i="2"/>
  <c r="R25" i="2"/>
  <c r="I25" i="2"/>
  <c r="R37" i="2"/>
  <c r="I37" i="2"/>
  <c r="P35" i="2"/>
  <c r="J35" i="2"/>
  <c r="G21" i="2"/>
  <c r="S21" i="2"/>
  <c r="J21" i="2"/>
  <c r="G40" i="2"/>
  <c r="M40" i="2"/>
  <c r="J40" i="2"/>
  <c r="T33" i="2"/>
  <c r="H33" i="2"/>
  <c r="E28" i="2"/>
  <c r="Q28" i="2"/>
  <c r="H28" i="2"/>
  <c r="E26" i="2"/>
  <c r="Q26" i="2"/>
  <c r="H26" i="2"/>
  <c r="L39" i="2"/>
  <c r="U39" i="2"/>
  <c r="S27" i="2"/>
  <c r="P27" i="2"/>
  <c r="V32" i="2"/>
  <c r="P32" i="2"/>
  <c r="O23" i="2"/>
  <c r="F23" i="2"/>
  <c r="R23" i="2"/>
  <c r="I23" i="2"/>
  <c r="P34" i="2"/>
  <c r="G34" i="2"/>
  <c r="V34" i="2"/>
  <c r="J34" i="2"/>
  <c r="F27" i="2"/>
  <c r="U27" i="2"/>
  <c r="I27" i="2"/>
  <c r="F20" i="2"/>
  <c r="L20" i="2"/>
  <c r="I20" i="2"/>
  <c r="G39" i="2"/>
  <c r="M39" i="2"/>
  <c r="J39" i="2"/>
  <c r="G25" i="2"/>
  <c r="M25" i="2"/>
  <c r="J25" i="2"/>
  <c r="G33" i="2"/>
  <c r="P33" i="2"/>
  <c r="J33" i="2"/>
  <c r="F21" i="2"/>
  <c r="O21" i="2"/>
  <c r="I21" i="2"/>
  <c r="G26" i="2"/>
  <c r="M26" i="2"/>
  <c r="J26" i="2"/>
  <c r="G31" i="2"/>
  <c r="M31" i="2"/>
  <c r="J31" i="2"/>
  <c r="E39" i="2"/>
  <c r="K39" i="2"/>
  <c r="H39" i="2"/>
  <c r="E35" i="2"/>
  <c r="Q35" i="2"/>
  <c r="H35" i="2"/>
  <c r="E31" i="2"/>
  <c r="T31" i="2"/>
  <c r="H31" i="2"/>
  <c r="E37" i="2"/>
  <c r="T37" i="2"/>
  <c r="H37" i="2"/>
</calcChain>
</file>

<file path=xl/sharedStrings.xml><?xml version="1.0" encoding="utf-8"?>
<sst xmlns="http://schemas.openxmlformats.org/spreadsheetml/2006/main" count="105" uniqueCount="71">
  <si>
    <t>Start Date</t>
  </si>
  <si>
    <t>Spot Price</t>
  </si>
  <si>
    <t>Strike Price</t>
  </si>
  <si>
    <t>Risk Free Rate</t>
  </si>
  <si>
    <t>End Date</t>
  </si>
  <si>
    <t>Time to Maturity</t>
  </si>
  <si>
    <t>Dividend/Convenience Yield</t>
  </si>
  <si>
    <t>Volatility</t>
  </si>
  <si>
    <t>BSM (1973)</t>
  </si>
  <si>
    <t>Object Handler</t>
  </si>
  <si>
    <t>Option Name</t>
  </si>
  <si>
    <t>Option Type</t>
  </si>
  <si>
    <t>bsm_call</t>
  </si>
  <si>
    <t>bsm_put</t>
  </si>
  <si>
    <t>Strike</t>
  </si>
  <si>
    <t>Price (%)</t>
  </si>
  <si>
    <t>Delta</t>
  </si>
  <si>
    <t>Gamma</t>
  </si>
  <si>
    <t>Vega</t>
  </si>
  <si>
    <t>Theta</t>
  </si>
  <si>
    <t>Rho</t>
  </si>
  <si>
    <t>Delta (%)</t>
  </si>
  <si>
    <t>Gamma (%)</t>
  </si>
  <si>
    <t>Vega (1 % vol)</t>
  </si>
  <si>
    <t>Theta (1D)</t>
  </si>
  <si>
    <t>Call</t>
  </si>
  <si>
    <t>Put</t>
  </si>
  <si>
    <t>Rho (1% rate)</t>
  </si>
  <si>
    <t>NPV</t>
  </si>
  <si>
    <t>Maturity</t>
  </si>
  <si>
    <t>Alpha</t>
  </si>
  <si>
    <t>Beta</t>
  </si>
  <si>
    <t>alpha</t>
  </si>
  <si>
    <t>beta</t>
  </si>
  <si>
    <t>rho</t>
  </si>
  <si>
    <t>F0</t>
  </si>
  <si>
    <t>ATMVol</t>
  </si>
  <si>
    <t>nu</t>
  </si>
  <si>
    <t>Initial</t>
  </si>
  <si>
    <t>isFixed</t>
  </si>
  <si>
    <t>today</t>
  </si>
  <si>
    <t>Calibration</t>
  </si>
  <si>
    <t>http://www.mathworks.com/help/fininst/calibrating-the-sabr-model.html</t>
  </si>
  <si>
    <t>Market Vol</t>
  </si>
  <si>
    <t>Model Vol</t>
  </si>
  <si>
    <t>Parameters</t>
  </si>
  <si>
    <t>Calibrated</t>
  </si>
  <si>
    <t>http://www.mathworks.com/help/fininst/pricing-a-swaption-using-the-sabr-model.html</t>
  </si>
  <si>
    <t>ExerciseDate</t>
  </si>
  <si>
    <t>Tenor</t>
  </si>
  <si>
    <t>ATM0</t>
  </si>
  <si>
    <t>Index</t>
  </si>
  <si>
    <t>3Mx10Y</t>
  </si>
  <si>
    <t>1Yx10Y</t>
  </si>
  <si>
    <t>2Yx10Y</t>
  </si>
  <si>
    <t>3Yx10Y</t>
  </si>
  <si>
    <t>4Yx10Y</t>
  </si>
  <si>
    <t>5Yx10Y</t>
  </si>
  <si>
    <t>7Yx10Y</t>
  </si>
  <si>
    <t>10Yx10Y</t>
  </si>
  <si>
    <t>Strikes</t>
  </si>
  <si>
    <t>Volatilities</t>
  </si>
  <si>
    <t>Nu</t>
  </si>
  <si>
    <t>Initial Guess</t>
  </si>
  <si>
    <t>T</t>
  </si>
  <si>
    <t>a</t>
  </si>
  <si>
    <t>b</t>
  </si>
  <si>
    <t>m</t>
  </si>
  <si>
    <t>sigma</t>
  </si>
  <si>
    <t>Underlying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</si>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</sst>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%"/>
    <numFmt numFmtId="166" formatCode="0.00000"/>
    <numFmt numFmtId="167" formatCode="0.0000"/>
    <numFmt numFmtId="168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6" borderId="0" xfId="0" applyFill="1"/>
    <xf numFmtId="0" fontId="2" fillId="5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6" borderId="5" xfId="0" applyFill="1" applyBorder="1"/>
    <xf numFmtId="0" fontId="0" fillId="3" borderId="13" xfId="0" applyFill="1" applyBorder="1" applyAlignment="1">
      <alignment horizontal="center" vertical="center"/>
    </xf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7" xfId="0" applyFill="1" applyBorder="1"/>
    <xf numFmtId="0" fontId="0" fillId="8" borderId="1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2" xfId="0" applyFill="1" applyBorder="1"/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5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0" borderId="0" xfId="0" applyNumberFormat="1"/>
    <xf numFmtId="0" fontId="0" fillId="9" borderId="0" xfId="0" applyFill="1"/>
    <xf numFmtId="0" fontId="0" fillId="10" borderId="3" xfId="0" applyFill="1" applyBorder="1"/>
    <xf numFmtId="0" fontId="0" fillId="10" borderId="15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15" xfId="0" applyFill="1" applyBorder="1"/>
    <xf numFmtId="0" fontId="0" fillId="11" borderId="13" xfId="0" applyFill="1" applyBorder="1"/>
    <xf numFmtId="0" fontId="0" fillId="11" borderId="6" xfId="0" applyFill="1" applyBorder="1"/>
    <xf numFmtId="14" fontId="0" fillId="2" borderId="14" xfId="0" applyNumberFormat="1" applyFill="1" applyBorder="1"/>
    <xf numFmtId="0" fontId="0" fillId="2" borderId="8" xfId="0" applyFill="1" applyBorder="1"/>
    <xf numFmtId="14" fontId="0" fillId="2" borderId="0" xfId="0" applyNumberFormat="1" applyFill="1" applyBorder="1"/>
    <xf numFmtId="164" fontId="0" fillId="2" borderId="10" xfId="0" applyNumberFormat="1" applyFill="1" applyBorder="1"/>
    <xf numFmtId="0" fontId="0" fillId="2" borderId="10" xfId="0" applyFill="1" applyBorder="1"/>
    <xf numFmtId="0" fontId="0" fillId="2" borderId="12" xfId="0" applyFill="1" applyBorder="1"/>
    <xf numFmtId="0" fontId="2" fillId="12" borderId="0" xfId="0" applyFont="1" applyFill="1"/>
    <xf numFmtId="0" fontId="3" fillId="12" borderId="0" xfId="0" applyFont="1" applyFill="1"/>
    <xf numFmtId="166" fontId="0" fillId="10" borderId="8" xfId="0" applyNumberFormat="1" applyFill="1" applyBorder="1"/>
    <xf numFmtId="166" fontId="0" fillId="10" borderId="10" xfId="0" applyNumberFormat="1" applyFill="1" applyBorder="1"/>
    <xf numFmtId="166" fontId="0" fillId="10" borderId="12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167" fontId="0" fillId="0" borderId="8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center" vertical="center"/>
    </xf>
    <xf numFmtId="167" fontId="0" fillId="0" borderId="15" xfId="0" applyNumberFormat="1" applyFill="1" applyBorder="1" applyAlignment="1">
      <alignment horizontal="center" vertical="center"/>
    </xf>
    <xf numFmtId="167" fontId="0" fillId="0" borderId="12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68" fontId="3" fillId="0" borderId="0" xfId="0" applyNumberFormat="1" applyFont="1"/>
    <xf numFmtId="0" fontId="2" fillId="7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6" xfId="0" applyBorder="1" applyAlignment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'Black-Scholes'!$E$19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'Black-Scholes'!$E$20:$E$40</c:f>
              <c:numCache>
                <c:formatCode>General</c:formatCode>
                <c:ptCount val="21"/>
                <c:pt idx="0">
                  <c:v>9.1394356304130289E-4</c:v>
                </c:pt>
                <c:pt idx="1">
                  <c:v>6.8391564087898083E-3</c:v>
                </c:pt>
                <c:pt idx="2">
                  <c:v>3.4543966094119867E-2</c:v>
                </c:pt>
                <c:pt idx="3">
                  <c:v>0.12826551990080151</c:v>
                </c:pt>
                <c:pt idx="4">
                  <c:v>0.37324319450865912</c:v>
                </c:pt>
                <c:pt idx="5">
                  <c:v>0.89390026970488556</c:v>
                </c:pt>
                <c:pt idx="6">
                  <c:v>1.8305984114515643</c:v>
                </c:pt>
                <c:pt idx="7">
                  <c:v>3.3039977740072293</c:v>
                </c:pt>
                <c:pt idx="8">
                  <c:v>5.384532414516447</c:v>
                </c:pt>
                <c:pt idx="9">
                  <c:v>8.079930948107787</c:v>
                </c:pt>
                <c:pt idx="10">
                  <c:v>11.342290587424749</c:v>
                </c:pt>
                <c:pt idx="11">
                  <c:v>15.087323685544307</c:v>
                </c:pt>
                <c:pt idx="12">
                  <c:v>19.216148023073632</c:v>
                </c:pt>
                <c:pt idx="13">
                  <c:v>23.632757430893001</c:v>
                </c:pt>
                <c:pt idx="14">
                  <c:v>28.254528290067665</c:v>
                </c:pt>
                <c:pt idx="15">
                  <c:v>33.01630840080626</c:v>
                </c:pt>
                <c:pt idx="16">
                  <c:v>37.870087792345089</c:v>
                </c:pt>
                <c:pt idx="17">
                  <c:v>42.782365568010569</c:v>
                </c:pt>
                <c:pt idx="18">
                  <c:v>47.730792156776083</c:v>
                </c:pt>
                <c:pt idx="19">
                  <c:v>52.701007787927878</c:v>
                </c:pt>
                <c:pt idx="20">
                  <c:v>57.684075231012905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'Black-Scholes'!$F$19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'Black-Scholes'!$F$20:$F$40</c:f>
              <c:numCache>
                <c:formatCode>General</c:formatCode>
                <c:ptCount val="21"/>
                <c:pt idx="0">
                  <c:v>9.467292134553263E-3</c:v>
                </c:pt>
                <c:pt idx="1">
                  <c:v>4.3047773401963772E-2</c:v>
                </c:pt>
                <c:pt idx="2">
                  <c:v>0.14667968775949144</c:v>
                </c:pt>
                <c:pt idx="3">
                  <c:v>0.39885596672231971</c:v>
                </c:pt>
                <c:pt idx="4">
                  <c:v>0.90722508331600327</c:v>
                </c:pt>
                <c:pt idx="5">
                  <c:v>1.7891952826102135</c:v>
                </c:pt>
                <c:pt idx="6">
                  <c:v>3.1459573751108341</c:v>
                </c:pt>
                <c:pt idx="7">
                  <c:v>5.0412316721327306</c:v>
                </c:pt>
                <c:pt idx="8">
                  <c:v>7.4920630953057659</c:v>
                </c:pt>
                <c:pt idx="9">
                  <c:v>10.472242802833531</c:v>
                </c:pt>
                <c:pt idx="10">
                  <c:v>13.924084340625054</c:v>
                </c:pt>
                <c:pt idx="11">
                  <c:v>17.772954491735508</c:v>
                </c:pt>
                <c:pt idx="12">
                  <c:v>21.940224268005707</c:v>
                </c:pt>
                <c:pt idx="13">
                  <c:v>26.352472807949198</c:v>
                </c:pt>
                <c:pt idx="14">
                  <c:v>30.946625321413233</c:v>
                </c:pt>
                <c:pt idx="15">
                  <c:v>35.671776440897943</c:v>
                </c:pt>
                <c:pt idx="16">
                  <c:v>40.488809025338149</c:v>
                </c:pt>
                <c:pt idx="17">
                  <c:v>45.368833228079964</c:v>
                </c:pt>
                <c:pt idx="18">
                  <c:v>50.291198814608457</c:v>
                </c:pt>
                <c:pt idx="19">
                  <c:v>55.2415427803206</c:v>
                </c:pt>
                <c:pt idx="20">
                  <c:v>60.21010249644435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'Black-Scholes'!$G$19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'Black-Scholes'!$G$20:$G$40</c:f>
              <c:numCache>
                <c:formatCode>General</c:formatCode>
                <c:ptCount val="21"/>
                <c:pt idx="0">
                  <c:v>4.0471702639808399E-2</c:v>
                </c:pt>
                <c:pt idx="1">
                  <c:v>0.13681361404606149</c:v>
                </c:pt>
                <c:pt idx="2">
                  <c:v>0.36858617512783459</c:v>
                </c:pt>
                <c:pt idx="3">
                  <c:v>0.83162363295962327</c:v>
                </c:pt>
                <c:pt idx="4">
                  <c:v>1.6306531924377252</c:v>
                </c:pt>
                <c:pt idx="5">
                  <c:v>2.8580940544538458</c:v>
                </c:pt>
                <c:pt idx="6">
                  <c:v>4.5765957238084507</c:v>
                </c:pt>
                <c:pt idx="7">
                  <c:v>6.8107134702583103</c:v>
                </c:pt>
                <c:pt idx="8">
                  <c:v>9.5482375546735891</c:v>
                </c:pt>
                <c:pt idx="9">
                  <c:v>12.748262204463847</c:v>
                </c:pt>
                <c:pt idx="10">
                  <c:v>16.352043469965011</c:v>
                </c:pt>
                <c:pt idx="11">
                  <c:v>20.293410541170562</c:v>
                </c:pt>
                <c:pt idx="12">
                  <c:v>24.506887238393787</c:v>
                </c:pt>
                <c:pt idx="13">
                  <c:v>28.932960244961894</c:v>
                </c:pt>
                <c:pt idx="14">
                  <c:v>33.520763202097228</c:v>
                </c:pt>
                <c:pt idx="15">
                  <c:v>38.228822098505788</c:v>
                </c:pt>
                <c:pt idx="16">
                  <c:v>43.024562419438517</c:v>
                </c:pt>
                <c:pt idx="17">
                  <c:v>47.883164702457883</c:v>
                </c:pt>
                <c:pt idx="18">
                  <c:v>52.786185974404418</c:v>
                </c:pt>
                <c:pt idx="19">
                  <c:v>57.720204755134326</c:v>
                </c:pt>
                <c:pt idx="20">
                  <c:v>62.675623773544849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36568"/>
        <c:axId val="498939704"/>
      </c:lineChart>
      <c:catAx>
        <c:axId val="49893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9704"/>
        <c:crosses val="autoZero"/>
        <c:auto val="1"/>
        <c:lblAlgn val="ctr"/>
        <c:lblOffset val="100"/>
        <c:noMultiLvlLbl val="0"/>
      </c:catAx>
      <c:valAx>
        <c:axId val="498939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'Black-Scholes'!$H$19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'Black-Scholes'!$H$20:$H$40</c:f>
              <c:numCache>
                <c:formatCode>General</c:formatCode>
                <c:ptCount val="21"/>
                <c:pt idx="0">
                  <c:v>4.1033727324041932E-4</c:v>
                </c:pt>
                <c:pt idx="1">
                  <c:v>2.4616394526272021E-3</c:v>
                </c:pt>
                <c:pt idx="2">
                  <c:v>1.0042190402204332E-2</c:v>
                </c:pt>
                <c:pt idx="3">
                  <c:v>3.0290084347456545E-2</c:v>
                </c:pt>
                <c:pt idx="4">
                  <c:v>7.1930922398247249E-2</c:v>
                </c:pt>
                <c:pt idx="5">
                  <c:v>0.14113903328566313</c:v>
                </c:pt>
                <c:pt idx="6">
                  <c:v>0.23767071178891153</c:v>
                </c:pt>
                <c:pt idx="7">
                  <c:v>0.35407884483832458</c:v>
                </c:pt>
                <c:pt idx="8">
                  <c:v>0.47836491558642569</c:v>
                </c:pt>
                <c:pt idx="9">
                  <c:v>0.59812857722752877</c:v>
                </c:pt>
                <c:pt idx="10">
                  <c:v>0.70392969570458674</c:v>
                </c:pt>
                <c:pt idx="11">
                  <c:v>0.79072808571461661</c:v>
                </c:pt>
                <c:pt idx="12">
                  <c:v>0.85756683609394413</c:v>
                </c:pt>
                <c:pt idx="13">
                  <c:v>0.90631023811596467</c:v>
                </c:pt>
                <c:pt idx="14">
                  <c:v>0.94022851769310178</c:v>
                </c:pt>
                <c:pt idx="15">
                  <c:v>0.96289272906768963</c:v>
                </c:pt>
                <c:pt idx="16">
                  <c:v>0.97751394832769312</c:v>
                </c:pt>
                <c:pt idx="17">
                  <c:v>0.98666288712325489</c:v>
                </c:pt>
                <c:pt idx="18">
                  <c:v>0.99223766884104692</c:v>
                </c:pt>
                <c:pt idx="19">
                  <c:v>0.99555695686242296</c:v>
                </c:pt>
                <c:pt idx="20">
                  <c:v>0.99749388449835974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'Black-Scholes'!$I$19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'Black-Scholes'!$I$20:$I$40</c:f>
              <c:numCache>
                <c:formatCode>General</c:formatCode>
                <c:ptCount val="21"/>
                <c:pt idx="0">
                  <c:v>3.1905951781649989E-3</c:v>
                </c:pt>
                <c:pt idx="1">
                  <c:v>1.1692408394049635E-2</c:v>
                </c:pt>
                <c:pt idx="2">
                  <c:v>3.2392032871917872E-2</c:v>
                </c:pt>
                <c:pt idx="3">
                  <c:v>7.2135836663357225E-2</c:v>
                </c:pt>
                <c:pt idx="4">
                  <c:v>0.13521806683737481</c:v>
                </c:pt>
                <c:pt idx="5">
                  <c:v>0.22101758070957733</c:v>
                </c:pt>
                <c:pt idx="6">
                  <c:v>0.3238420189008181</c:v>
                </c:pt>
                <c:pt idx="7">
                  <c:v>0.43482210485238854</c:v>
                </c:pt>
                <c:pt idx="8">
                  <c:v>0.54459470173601021</c:v>
                </c:pt>
                <c:pt idx="9">
                  <c:v>0.6455037374359206</c:v>
                </c:pt>
                <c:pt idx="10">
                  <c:v>0.73270093950444937</c:v>
                </c:pt>
                <c:pt idx="11">
                  <c:v>0.80419539259775552</c:v>
                </c:pt>
                <c:pt idx="12">
                  <c:v>0.86024844612018814</c:v>
                </c:pt>
                <c:pt idx="13">
                  <c:v>0.90254296229420738</c:v>
                </c:pt>
                <c:pt idx="14">
                  <c:v>0.93342296946413472</c:v>
                </c:pt>
                <c:pt idx="15">
                  <c:v>0.95533913546114491</c:v>
                </c:pt>
                <c:pt idx="16">
                  <c:v>0.97051774351828435</c:v>
                </c:pt>
                <c:pt idx="17">
                  <c:v>0.98081020742973202</c:v>
                </c:pt>
                <c:pt idx="18">
                  <c:v>0.98766291408924511</c:v>
                </c:pt>
                <c:pt idx="19">
                  <c:v>0.99215372604692953</c:v>
                </c:pt>
                <c:pt idx="20">
                  <c:v>0.99505660319975064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'Black-Scholes'!$J$19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'Black-Scholes'!$J$20:$J$40</c:f>
              <c:numCache>
                <c:formatCode>General</c:formatCode>
                <c:ptCount val="21"/>
                <c:pt idx="0">
                  <c:v>1.0945798441724771E-2</c:v>
                </c:pt>
                <c:pt idx="1">
                  <c:v>2.9961243688515854E-2</c:v>
                </c:pt>
                <c:pt idx="2">
                  <c:v>6.6000288318968398E-2</c:v>
                </c:pt>
                <c:pt idx="3">
                  <c:v>0.12278085324294288</c:v>
                </c:pt>
                <c:pt idx="4">
                  <c:v>0.19997250028043442</c:v>
                </c:pt>
                <c:pt idx="5">
                  <c:v>0.29312000292927781</c:v>
                </c:pt>
                <c:pt idx="6">
                  <c:v>0.39509314154462483</c:v>
                </c:pt>
                <c:pt idx="7">
                  <c:v>0.49811804420639977</c:v>
                </c:pt>
                <c:pt idx="8">
                  <c:v>0.59549028241967705</c:v>
                </c:pt>
                <c:pt idx="9">
                  <c:v>0.68252587992902736</c:v>
                </c:pt>
                <c:pt idx="10">
                  <c:v>0.75675363293679243</c:v>
                </c:pt>
                <c:pt idx="11">
                  <c:v>0.81759326167694824</c:v>
                </c:pt>
                <c:pt idx="12">
                  <c:v>0.86580502589473085</c:v>
                </c:pt>
                <c:pt idx="13">
                  <c:v>0.90292649307373252</c:v>
                </c:pt>
                <c:pt idx="14">
                  <c:v>0.93081414856832378</c:v>
                </c:pt>
                <c:pt idx="15">
                  <c:v>0.95132760515063364</c:v>
                </c:pt>
                <c:pt idx="16">
                  <c:v>0.966145922531496</c:v>
                </c:pt>
                <c:pt idx="17">
                  <c:v>0.97668480209465447</c:v>
                </c:pt>
                <c:pt idx="18">
                  <c:v>0.98408033650858917</c:v>
                </c:pt>
                <c:pt idx="19">
                  <c:v>0.98921056096645577</c:v>
                </c:pt>
                <c:pt idx="20">
                  <c:v>0.99273423948031436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37744"/>
        <c:axId val="498938136"/>
      </c:lineChart>
      <c:catAx>
        <c:axId val="4989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8136"/>
        <c:crosses val="autoZero"/>
        <c:auto val="1"/>
        <c:lblAlgn val="ctr"/>
        <c:lblOffset val="100"/>
        <c:noMultiLvlLbl val="0"/>
      </c:catAx>
      <c:valAx>
        <c:axId val="498938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'Black-Scholes'!$K$19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'Black-Scholes'!$K$20:$K$40</c:f>
              <c:numCache>
                <c:formatCode>General</c:formatCode>
                <c:ptCount val="21"/>
                <c:pt idx="0">
                  <c:v>1.657254999366104E-4</c:v>
                </c:pt>
                <c:pt idx="1">
                  <c:v>7.7919419453118097E-4</c:v>
                </c:pt>
                <c:pt idx="2">
                  <c:v>2.4965868190019412E-3</c:v>
                </c:pt>
                <c:pt idx="3">
                  <c:v>5.9087811951238044E-3</c:v>
                </c:pt>
                <c:pt idx="4">
                  <c:v>1.0967844472504033E-2</c:v>
                </c:pt>
                <c:pt idx="5">
                  <c:v>1.6710026753419167E-2</c:v>
                </c:pt>
                <c:pt idx="6">
                  <c:v>2.1644447511278281E-2</c:v>
                </c:pt>
                <c:pt idx="7">
                  <c:v>2.4503804818030987E-2</c:v>
                </c:pt>
                <c:pt idx="8">
                  <c:v>2.4785531626622743E-2</c:v>
                </c:pt>
                <c:pt idx="9">
                  <c:v>2.2800607200497772E-2</c:v>
                </c:pt>
                <c:pt idx="10">
                  <c:v>1.9353333259510629E-2</c:v>
                </c:pt>
                <c:pt idx="11">
                  <c:v>1.5338732872480802E-2</c:v>
                </c:pt>
                <c:pt idx="12">
                  <c:v>1.1463845493936857E-2</c:v>
                </c:pt>
                <c:pt idx="13">
                  <c:v>8.1462580246321002E-3</c:v>
                </c:pt>
                <c:pt idx="14">
                  <c:v>5.5422503214957626E-3</c:v>
                </c:pt>
                <c:pt idx="15">
                  <c:v>3.6313357109737684E-3</c:v>
                </c:pt>
                <c:pt idx="16">
                  <c:v>2.30288936897144E-3</c:v>
                </c:pt>
                <c:pt idx="17">
                  <c:v>1.4196065088144035E-3</c:v>
                </c:pt>
                <c:pt idx="18">
                  <c:v>8.5379414992207427E-4</c:v>
                </c:pt>
                <c:pt idx="19">
                  <c:v>5.0258933849897203E-4</c:v>
                </c:pt>
                <c:pt idx="20">
                  <c:v>2.9036871852838224E-4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'Black-Scholes'!$L$19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'Black-Scholes'!$L$20:$L$40</c:f>
              <c:numCache>
                <c:formatCode>General</c:formatCode>
                <c:ptCount val="21"/>
                <c:pt idx="0">
                  <c:v>9.3438850188361624E-4</c:v>
                </c:pt>
                <c:pt idx="1">
                  <c:v>2.6822905677955618E-3</c:v>
                </c:pt>
                <c:pt idx="2">
                  <c:v>5.837314975881888E-3</c:v>
                </c:pt>
                <c:pt idx="3">
                  <c:v>1.021201050711045E-2</c:v>
                </c:pt>
                <c:pt idx="4">
                  <c:v>1.5000560622435495E-2</c:v>
                </c:pt>
                <c:pt idx="5">
                  <c:v>1.9122480787142029E-2</c:v>
                </c:pt>
                <c:pt idx="6">
                  <c:v>2.1702049015535071E-2</c:v>
                </c:pt>
                <c:pt idx="7">
                  <c:v>2.2370255155737331E-2</c:v>
                </c:pt>
                <c:pt idx="8">
                  <c:v>2.1279966177590651E-2</c:v>
                </c:pt>
                <c:pt idx="9">
                  <c:v>1.8922089523108275E-2</c:v>
                </c:pt>
                <c:pt idx="10">
                  <c:v>1.5892661331711185E-2</c:v>
                </c:pt>
                <c:pt idx="11">
                  <c:v>1.2716742762458115E-2</c:v>
                </c:pt>
                <c:pt idx="12">
                  <c:v>9.76316877158135E-3</c:v>
                </c:pt>
                <c:pt idx="13">
                  <c:v>7.2346239157777886E-3</c:v>
                </c:pt>
                <c:pt idx="14">
                  <c:v>5.2001473415171362E-3</c:v>
                </c:pt>
                <c:pt idx="15">
                  <c:v>3.6409996397621888E-3</c:v>
                </c:pt>
                <c:pt idx="16">
                  <c:v>2.492231767849662E-3</c:v>
                </c:pt>
                <c:pt idx="17">
                  <c:v>1.6728267447216273E-3</c:v>
                </c:pt>
                <c:pt idx="18">
                  <c:v>1.1039584124136338E-3</c:v>
                </c:pt>
                <c:pt idx="19">
                  <c:v>7.1792877712416141E-4</c:v>
                </c:pt>
                <c:pt idx="20">
                  <c:v>4.6099127406729859E-4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'Black-Scholes'!$M$19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'Black-Scholes'!$M$20:$M$40</c:f>
              <c:numCache>
                <c:formatCode>General</c:formatCode>
                <c:ptCount val="21"/>
                <c:pt idx="0">
                  <c:v>2.4862316367786929E-3</c:v>
                </c:pt>
                <c:pt idx="1">
                  <c:v>5.3275089317529308E-3</c:v>
                </c:pt>
                <c:pt idx="2">
                  <c:v>9.2186435298129334E-3</c:v>
                </c:pt>
                <c:pt idx="3">
                  <c:v>1.3482661321600224E-2</c:v>
                </c:pt>
                <c:pt idx="4">
                  <c:v>1.7240136809422019E-2</c:v>
                </c:pt>
                <c:pt idx="5">
                  <c:v>1.9773958317437983E-2</c:v>
                </c:pt>
                <c:pt idx="6">
                  <c:v>2.0750251227885819E-2</c:v>
                </c:pt>
                <c:pt idx="7">
                  <c:v>2.0233079980720547E-2</c:v>
                </c:pt>
                <c:pt idx="8">
                  <c:v>1.8559175046295229E-2</c:v>
                </c:pt>
                <c:pt idx="9">
                  <c:v>1.6173907885608338E-2</c:v>
                </c:pt>
                <c:pt idx="10">
                  <c:v>1.3499789582157876E-2</c:v>
                </c:pt>
                <c:pt idx="11">
                  <c:v>1.086333546376035E-2</c:v>
                </c:pt>
                <c:pt idx="12">
                  <c:v>8.4741656599965683E-3</c:v>
                </c:pt>
                <c:pt idx="13">
                  <c:v>6.4373494500744354E-3</c:v>
                </c:pt>
                <c:pt idx="14">
                  <c:v>4.7802958574694457E-3</c:v>
                </c:pt>
                <c:pt idx="15">
                  <c:v>3.4813144690450494E-3</c:v>
                </c:pt>
                <c:pt idx="16">
                  <c:v>2.4932428402185086E-3</c:v>
                </c:pt>
                <c:pt idx="17">
                  <c:v>1.7600971824917628E-3</c:v>
                </c:pt>
                <c:pt idx="18">
                  <c:v>1.2272491274535702E-3</c:v>
                </c:pt>
                <c:pt idx="19">
                  <c:v>8.466526411661494E-4</c:v>
                </c:pt>
                <c:pt idx="20">
                  <c:v>5.7876882475140217E-4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0880"/>
        <c:axId val="498940488"/>
      </c:lineChart>
      <c:catAx>
        <c:axId val="4989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0488"/>
        <c:crosses val="autoZero"/>
        <c:auto val="1"/>
        <c:lblAlgn val="ctr"/>
        <c:lblOffset val="100"/>
        <c:noMultiLvlLbl val="0"/>
      </c:catAx>
      <c:valAx>
        <c:axId val="498940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'Black-Scholes'!$N$19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'Black-Scholes'!$N$20:$N$40</c:f>
              <c:numCache>
                <c:formatCode>General</c:formatCode>
                <c:ptCount val="21"/>
                <c:pt idx="0">
                  <c:v>6.6063178741853967E-2</c:v>
                </c:pt>
                <c:pt idx="1">
                  <c:v>0.37583844909092357</c:v>
                </c:pt>
                <c:pt idx="2">
                  <c:v>1.4331092337459899</c:v>
                </c:pt>
                <c:pt idx="3">
                  <c:v>3.9806568547259373</c:v>
                </c:pt>
                <c:pt idx="4">
                  <c:v>8.5693421552567077</c:v>
                </c:pt>
                <c:pt idx="5">
                  <c:v>14.987520570960557</c:v>
                </c:pt>
                <c:pt idx="6">
                  <c:v>22.088010435618962</c:v>
                </c:pt>
                <c:pt idx="7">
                  <c:v>28.229390156049163</c:v>
                </c:pt>
                <c:pt idx="8">
                  <c:v>32.012041971020537</c:v>
                </c:pt>
                <c:pt idx="9">
                  <c:v>32.811323109856041</c:v>
                </c:pt>
                <c:pt idx="10">
                  <c:v>30.859287553521042</c:v>
                </c:pt>
                <c:pt idx="11">
                  <c:v>26.964862030936107</c:v>
                </c:pt>
                <c:pt idx="12">
                  <c:v>22.117998010247145</c:v>
                </c:pt>
                <c:pt idx="13">
                  <c:v>17.178449507586837</c:v>
                </c:pt>
                <c:pt idx="14">
                  <c:v>12.725614108052534</c:v>
                </c:pt>
                <c:pt idx="15">
                  <c:v>9.0472490744295051</c:v>
                </c:pt>
                <c:pt idx="16">
                  <c:v>6.2056874672134903</c:v>
                </c:pt>
                <c:pt idx="17">
                  <c:v>4.125395961279164</c:v>
                </c:pt>
                <c:pt idx="18">
                  <c:v>2.6683289389016775</c:v>
                </c:pt>
                <c:pt idx="19">
                  <c:v>1.6849204301396241</c:v>
                </c:pt>
                <c:pt idx="20">
                  <c:v>1.0417474983915529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'Black-Scholes'!$O$19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'Black-Scholes'!$O$20:$O$40</c:f>
              <c:numCache>
                <c:formatCode>General</c:formatCode>
                <c:ptCount val="21"/>
                <c:pt idx="0">
                  <c:v>0.50047384141985396</c:v>
                </c:pt>
                <c:pt idx="1">
                  <c:v>1.7383814938763791</c:v>
                </c:pt>
                <c:pt idx="2">
                  <c:v>4.5022490740007299</c:v>
                </c:pt>
                <c:pt idx="3">
                  <c:v>9.2438279767034413</c:v>
                </c:pt>
                <c:pt idx="4">
                  <c:v>15.747711833711888</c:v>
                </c:pt>
                <c:pt idx="5">
                  <c:v>23.045208866422165</c:v>
                </c:pt>
                <c:pt idx="6">
                  <c:v>29.757373948753411</c:v>
                </c:pt>
                <c:pt idx="7">
                  <c:v>34.627622771824164</c:v>
                </c:pt>
                <c:pt idx="8">
                  <c:v>36.929195003313623</c:v>
                </c:pt>
                <c:pt idx="9">
                  <c:v>36.587285729811732</c:v>
                </c:pt>
                <c:pt idx="10">
                  <c:v>34.049482633967521</c:v>
                </c:pt>
                <c:pt idx="11">
                  <c:v>30.037817414704339</c:v>
                </c:pt>
                <c:pt idx="12">
                  <c:v>25.309878233001943</c:v>
                </c:pt>
                <c:pt idx="13">
                  <c:v>20.498662686514532</c:v>
                </c:pt>
                <c:pt idx="14">
                  <c:v>16.043238132426371</c:v>
                </c:pt>
                <c:pt idx="15">
                  <c:v>12.188620369409385</c:v>
                </c:pt>
                <c:pt idx="16">
                  <c:v>9.0237908486431611</c:v>
                </c:pt>
                <c:pt idx="17">
                  <c:v>6.5317926368316153</c:v>
                </c:pt>
                <c:pt idx="18">
                  <c:v>4.6357784599304974</c:v>
                </c:pt>
                <c:pt idx="19">
                  <c:v>3.2339347631577438</c:v>
                </c:pt>
                <c:pt idx="20">
                  <c:v>2.2222305389627701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'Black-Scholes'!$P$19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'Black-Scholes'!$P$20:$P$40</c:f>
              <c:numCache>
                <c:formatCode>General</c:formatCode>
                <c:ptCount val="21"/>
                <c:pt idx="0">
                  <c:v>1.6722462104908746</c:v>
                </c:pt>
                <c:pt idx="1">
                  <c:v>4.3357894951284006</c:v>
                </c:pt>
                <c:pt idx="2">
                  <c:v>8.9286982483821067</c:v>
                </c:pt>
                <c:pt idx="3">
                  <c:v>15.325722654863922</c:v>
                </c:pt>
                <c:pt idx="4">
                  <c:v>22.727695972486817</c:v>
                </c:pt>
                <c:pt idx="5">
                  <c:v>29.925041713958358</c:v>
                </c:pt>
                <c:pt idx="6">
                  <c:v>35.729090114251186</c:v>
                </c:pt>
                <c:pt idx="7">
                  <c:v>39.329504331291297</c:v>
                </c:pt>
                <c:pt idx="8">
                  <c:v>40.444764425545642</c:v>
                </c:pt>
                <c:pt idx="9">
                  <c:v>39.271799268930998</c:v>
                </c:pt>
                <c:pt idx="10">
                  <c:v>36.319981834737085</c:v>
                </c:pt>
                <c:pt idx="11">
                  <c:v>32.222587552102645</c:v>
                </c:pt>
                <c:pt idx="12">
                  <c:v>27.586775672660604</c:v>
                </c:pt>
                <c:pt idx="13">
                  <c:v>22.904530257710761</c:v>
                </c:pt>
                <c:pt idx="14">
                  <c:v>18.519782920905186</c:v>
                </c:pt>
                <c:pt idx="15">
                  <c:v>14.634635310797259</c:v>
                </c:pt>
                <c:pt idx="16">
                  <c:v>11.336262884300904</c:v>
                </c:pt>
                <c:pt idx="17">
                  <c:v>8.6302387041632862</c:v>
                </c:pt>
                <c:pt idx="18">
                  <c:v>6.4715368235409283</c:v>
                </c:pt>
                <c:pt idx="19">
                  <c:v>4.7891660516353216</c:v>
                </c:pt>
                <c:pt idx="20">
                  <c:v>3.5035334747622513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3624"/>
        <c:axId val="498944016"/>
      </c:lineChart>
      <c:catAx>
        <c:axId val="49894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4016"/>
        <c:crosses val="autoZero"/>
        <c:auto val="1"/>
        <c:lblAlgn val="ctr"/>
        <c:lblOffset val="100"/>
        <c:noMultiLvlLbl val="0"/>
      </c:catAx>
      <c:valAx>
        <c:axId val="49894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'Black-Scholes'!$Q$19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'Black-Scholes'!$Q$20:$Q$40</c:f>
              <c:numCache>
                <c:formatCode>General</c:formatCode>
                <c:ptCount val="21"/>
                <c:pt idx="0">
                  <c:v>-1.0246567006728487E-2</c:v>
                </c:pt>
                <c:pt idx="1">
                  <c:v>-5.9996350117707084E-2</c:v>
                </c:pt>
                <c:pt idx="2">
                  <c:v>-0.23655299677195379</c:v>
                </c:pt>
                <c:pt idx="3">
                  <c:v>-0.6833510072563489</c:v>
                </c:pt>
                <c:pt idx="4">
                  <c:v>-1.5410408956422603</c:v>
                </c:pt>
                <c:pt idx="5">
                  <c:v>-2.8490307324316411</c:v>
                </c:pt>
                <c:pt idx="6">
                  <c:v>-4.4887951346097559</c:v>
                </c:pt>
                <c:pt idx="7">
                  <c:v>-6.2200701999305155</c:v>
                </c:pt>
                <c:pt idx="8">
                  <c:v>-7.7820871223390728</c:v>
                </c:pt>
                <c:pt idx="9">
                  <c:v>-8.9897379885405932</c:v>
                </c:pt>
                <c:pt idx="10">
                  <c:v>-9.7757345502055202</c:v>
                </c:pt>
                <c:pt idx="11">
                  <c:v>-10.176103129831061</c:v>
                </c:pt>
                <c:pt idx="12">
                  <c:v>-10.285871004258743</c:v>
                </c:pt>
                <c:pt idx="13">
                  <c:v>-10.213977242759485</c:v>
                </c:pt>
                <c:pt idx="14">
                  <c:v>-10.053457475901235</c:v>
                </c:pt>
                <c:pt idx="15">
                  <c:v>-9.8693206829447977</c:v>
                </c:pt>
                <c:pt idx="16">
                  <c:v>-9.6990491557378498</c:v>
                </c:pt>
                <c:pt idx="17">
                  <c:v>-9.5591589918257327</c:v>
                </c:pt>
                <c:pt idx="18">
                  <c:v>-9.4529354548665019</c:v>
                </c:pt>
                <c:pt idx="19">
                  <c:v>-9.3768139125511656</c:v>
                </c:pt>
                <c:pt idx="20">
                  <c:v>-9.3246666677118792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'Black-Scholes'!$R$19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'Black-Scholes'!$R$20:$R$40</c:f>
              <c:numCache>
                <c:formatCode>General</c:formatCode>
                <c:ptCount val="21"/>
                <c:pt idx="0">
                  <c:v>-6.1725671771550479E-2</c:v>
                </c:pt>
                <c:pt idx="1">
                  <c:v>-0.22228204817870811</c:v>
                </c:pt>
                <c:pt idx="2">
                  <c:v>-0.59997090671905429</c:v>
                </c:pt>
                <c:pt idx="3">
                  <c:v>-1.2919122294904239</c:v>
                </c:pt>
                <c:pt idx="4">
                  <c:v>-2.3258589005287034</c:v>
                </c:pt>
                <c:pt idx="5">
                  <c:v>-3.6299914156142861</c:v>
                </c:pt>
                <c:pt idx="6">
                  <c:v>-5.0540026876839503</c:v>
                </c:pt>
                <c:pt idx="7">
                  <c:v>-6.4243665940360728</c:v>
                </c:pt>
                <c:pt idx="8">
                  <c:v>-7.599500526863201</c:v>
                </c:pt>
                <c:pt idx="9">
                  <c:v>-8.5004983842789326</c:v>
                </c:pt>
                <c:pt idx="10">
                  <c:v>-9.1131332273242212</c:v>
                </c:pt>
                <c:pt idx="11">
                  <c:v>-9.4707979522248937</c:v>
                </c:pt>
                <c:pt idx="12">
                  <c:v>-9.6313973232441814</c:v>
                </c:pt>
                <c:pt idx="13">
                  <c:v>-9.6575548113117016</c:v>
                </c:pt>
                <c:pt idx="14">
                  <c:v>-9.6040555357852462</c:v>
                </c:pt>
                <c:pt idx="15">
                  <c:v>-9.512373936600218</c:v>
                </c:pt>
                <c:pt idx="16">
                  <c:v>-9.4102241007370857</c:v>
                </c:pt>
                <c:pt idx="17">
                  <c:v>-9.3137998259444377</c:v>
                </c:pt>
                <c:pt idx="18">
                  <c:v>-9.2309126134547466</c:v>
                </c:pt>
                <c:pt idx="19">
                  <c:v>-9.1639638004291211</c:v>
                </c:pt>
                <c:pt idx="20">
                  <c:v>-9.1122848716821032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'Black-Scholes'!$S$19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'Black-Scholes'!$S$20:$S$40</c:f>
              <c:numCache>
                <c:formatCode>General</c:formatCode>
                <c:ptCount val="21"/>
                <c:pt idx="0">
                  <c:v>-0.17499340378357769</c:v>
                </c:pt>
                <c:pt idx="1">
                  <c:v>-0.47341976925328355</c:v>
                </c:pt>
                <c:pt idx="2">
                  <c:v>-1.0228854465475585</c:v>
                </c:pt>
                <c:pt idx="3">
                  <c:v>-1.854198064458386</c:v>
                </c:pt>
                <c:pt idx="4">
                  <c:v>-2.9262755900426272</c:v>
                </c:pt>
                <c:pt idx="5">
                  <c:v>-4.137160927235974</c:v>
                </c:pt>
                <c:pt idx="6">
                  <c:v>-5.3591177171455397</c:v>
                </c:pt>
                <c:pt idx="7">
                  <c:v>-6.4766120859426888</c:v>
                </c:pt>
                <c:pt idx="8">
                  <c:v>-7.4111751438095652</c:v>
                </c:pt>
                <c:pt idx="9">
                  <c:v>-8.1285600122316843</c:v>
                </c:pt>
                <c:pt idx="10">
                  <c:v>-8.6322898988030019</c:v>
                </c:pt>
                <c:pt idx="11">
                  <c:v>-8.9507536632500599</c:v>
                </c:pt>
                <c:pt idx="12">
                  <c:v>-9.1239146507218329</c:v>
                </c:pt>
                <c:pt idx="13">
                  <c:v>-9.1930375753964402</c:v>
                </c:pt>
                <c:pt idx="14">
                  <c:v>-9.194418669561367</c:v>
                </c:pt>
                <c:pt idx="15">
                  <c:v>-9.1566236261089244</c:v>
                </c:pt>
                <c:pt idx="16">
                  <c:v>-9.1001568309594543</c:v>
                </c:pt>
                <c:pt idx="17">
                  <c:v>-9.0384837810502976</c:v>
                </c:pt>
                <c:pt idx="18">
                  <c:v>-8.9795877716416097</c:v>
                </c:pt>
                <c:pt idx="19">
                  <c:v>-8.9275500941105435</c:v>
                </c:pt>
                <c:pt idx="20">
                  <c:v>-8.8838971859883653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7152"/>
        <c:axId val="498946368"/>
      </c:lineChart>
      <c:catAx>
        <c:axId val="49894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6368"/>
        <c:crosses val="autoZero"/>
        <c:auto val="1"/>
        <c:lblAlgn val="ctr"/>
        <c:lblOffset val="100"/>
        <c:noMultiLvlLbl val="0"/>
      </c:catAx>
      <c:valAx>
        <c:axId val="49894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'Black-Scholes'!$T$19</c:f>
              <c:strCache>
                <c:ptCount val="1"/>
                <c:pt idx="0">
                  <c:v>4/16/2016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'Black-Scholes'!$T$20:$T$40</c:f>
              <c:numCache>
                <c:formatCode>General</c:formatCode>
                <c:ptCount val="21"/>
                <c:pt idx="0">
                  <c:v>1.5628629448775553E-2</c:v>
                </c:pt>
                <c:pt idx="1">
                  <c:v>0.10248861623106979</c:v>
                </c:pt>
                <c:pt idx="2">
                  <c:v>0.45283383640848895</c:v>
                </c:pt>
                <c:pt idx="3">
                  <c:v>1.467429257920569</c:v>
                </c:pt>
                <c:pt idx="4">
                  <c:v>3.716764711370613</c:v>
                </c:pt>
                <c:pt idx="5">
                  <c:v>7.7266696519876223</c:v>
                </c:pt>
                <c:pt idx="6">
                  <c:v>13.699369952639605</c:v>
                </c:pt>
                <c:pt idx="7">
                  <c:v>21.360758561205092</c:v>
                </c:pt>
                <c:pt idx="8">
                  <c:v>30.031447141326542</c:v>
                </c:pt>
                <c:pt idx="9">
                  <c:v>38.860286607001846</c:v>
                </c:pt>
                <c:pt idx="10">
                  <c:v>47.078760504281846</c:v>
                </c:pt>
                <c:pt idx="11">
                  <c:v>54.165165661689691</c:v>
                </c:pt>
                <c:pt idx="12">
                  <c:v>59.887165338774615</c:v>
                </c:pt>
                <c:pt idx="13">
                  <c:v>64.253533441536717</c:v>
                </c:pt>
                <c:pt idx="14">
                  <c:v>67.426608508036765</c:v>
                </c:pt>
                <c:pt idx="15">
                  <c:v>69.636924041650914</c:v>
                </c:pt>
                <c:pt idx="16">
                  <c:v>71.12097840455948</c:v>
                </c:pt>
                <c:pt idx="17">
                  <c:v>72.085981206427377</c:v>
                </c:pt>
                <c:pt idx="18">
                  <c:v>72.696170167020327</c:v>
                </c:pt>
                <c:pt idx="19">
                  <c:v>73.072691858966905</c:v>
                </c:pt>
                <c:pt idx="20">
                  <c:v>73.300115523640116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'Black-Scholes'!$U$19</c:f>
              <c:strCache>
                <c:ptCount val="1"/>
                <c:pt idx="0">
                  <c:v>7/25/2016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'Black-Scholes'!$U$20:$U$40</c:f>
              <c:numCache>
                <c:formatCode>General</c:formatCode>
                <c:ptCount val="21"/>
                <c:pt idx="0">
                  <c:v>0.16075184796853514</c:v>
                </c:pt>
                <c:pt idx="1">
                  <c:v>0.64277688524347798</c:v>
                </c:pt>
                <c:pt idx="2">
                  <c:v>1.9248365294828342</c:v>
                </c:pt>
                <c:pt idx="3">
                  <c:v>4.5955605638651971</c:v>
                </c:pt>
                <c:pt idx="4">
                  <c:v>9.1676533746914828</c:v>
                </c:pt>
                <c:pt idx="5">
                  <c:v>15.840452599473307</c:v>
                </c:pt>
                <c:pt idx="6">
                  <c:v>24.38276443164181</c:v>
                </c:pt>
                <c:pt idx="7">
                  <c:v>34.192304304014343</c:v>
                </c:pt>
                <c:pt idx="8">
                  <c:v>44.479153106371655</c:v>
                </c:pt>
                <c:pt idx="9">
                  <c:v>54.472847646984562</c:v>
                </c:pt>
                <c:pt idx="10">
                  <c:v>63.57339659572488</c:v>
                </c:pt>
                <c:pt idx="11">
                  <c:v>71.416483936526745</c:v>
                </c:pt>
                <c:pt idx="12">
                  <c:v>77.864816380381029</c:v>
                </c:pt>
                <c:pt idx="13">
                  <c:v>82.95623953876958</c:v>
                </c:pt>
                <c:pt idx="14">
                  <c:v>86.838562264615433</c:v>
                </c:pt>
                <c:pt idx="15">
                  <c:v>89.71105659526674</c:v>
                </c:pt>
                <c:pt idx="16">
                  <c:v>91.781623490759401</c:v>
                </c:pt>
                <c:pt idx="17">
                  <c:v>93.240693169860634</c:v>
                </c:pt>
                <c:pt idx="18">
                  <c:v>94.248792275981856</c:v>
                </c:pt>
                <c:pt idx="19">
                  <c:v>94.933458277055635</c:v>
                </c:pt>
                <c:pt idx="20">
                  <c:v>95.391560826179841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'Black-Scholes'!$V$19</c:f>
              <c:strCache>
                <c:ptCount val="1"/>
                <c:pt idx="0">
                  <c:v>11/2/2016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'Black-Scholes'!$V$20:$V$40</c:f>
              <c:numCache>
                <c:formatCode>General</c:formatCode>
                <c:ptCount val="21"/>
                <c:pt idx="0">
                  <c:v>0.68177464588547321</c:v>
                </c:pt>
                <c:pt idx="1">
                  <c:v>2.0326791816760408</c:v>
                </c:pt>
                <c:pt idx="2">
                  <c:v>4.8312128270932746</c:v>
                </c:pt>
                <c:pt idx="3">
                  <c:v>9.6170513081242479</c:v>
                </c:pt>
                <c:pt idx="4">
                  <c:v>16.636723608634529</c:v>
                </c:pt>
                <c:pt idx="5">
                  <c:v>25.728273772969384</c:v>
                </c:pt>
                <c:pt idx="6">
                  <c:v>36.362055067076525</c:v>
                </c:pt>
                <c:pt idx="7">
                  <c:v>47.794236331663747</c:v>
                </c:pt>
                <c:pt idx="8">
                  <c:v>59.250769700769318</c:v>
                </c:pt>
                <c:pt idx="9">
                  <c:v>70.074035416158168</c:v>
                </c:pt>
                <c:pt idx="10">
                  <c:v>79.802054886147076</c:v>
                </c:pt>
                <c:pt idx="11">
                  <c:v>88.183441178192638</c:v>
                </c:pt>
                <c:pt idx="12">
                  <c:v>95.14862414937825</c:v>
                </c:pt>
                <c:pt idx="13">
                  <c:v>100.76071493460825</c:v>
                </c:pt>
                <c:pt idx="14">
                  <c:v>105.16404082579702</c:v>
                </c:pt>
                <c:pt idx="15">
                  <c:v>108.54076744042136</c:v>
                </c:pt>
                <c:pt idx="16">
                  <c:v>111.07954544449611</c:v>
                </c:pt>
                <c:pt idx="17">
                  <c:v>112.95594037791058</c:v>
                </c:pt>
                <c:pt idx="18">
                  <c:v>114.32236991278863</c:v>
                </c:pt>
                <c:pt idx="19">
                  <c:v>115.30472699516676</c:v>
                </c:pt>
                <c:pt idx="20">
                  <c:v>116.00313826004013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4800"/>
        <c:axId val="498945192"/>
      </c:lineChart>
      <c:catAx>
        <c:axId val="4989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5192"/>
        <c:crosses val="autoZero"/>
        <c:auto val="1"/>
        <c:lblAlgn val="ctr"/>
        <c:lblOffset val="100"/>
        <c:noMultiLvlLbl val="0"/>
      </c:catAx>
      <c:valAx>
        <c:axId val="498945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Market 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SABR!$B$3:$H$3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3.5000000000000003E-2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0.05</c:v>
                </c:pt>
              </c:numCache>
            </c:numRef>
          </c:cat>
          <c:val>
            <c:numRef>
              <c:f>SABR!$B$4:$H$4</c:f>
              <c:numCache>
                <c:formatCode>General</c:formatCode>
                <c:ptCount val="7"/>
                <c:pt idx="0">
                  <c:v>0.45600000000000002</c:v>
                </c:pt>
                <c:pt idx="1">
                  <c:v>0.41600000000000004</c:v>
                </c:pt>
                <c:pt idx="2">
                  <c:v>0.379</c:v>
                </c:pt>
                <c:pt idx="3">
                  <c:v>0.36599999999999999</c:v>
                </c:pt>
                <c:pt idx="4">
                  <c:v>0.37799999999999995</c:v>
                </c:pt>
                <c:pt idx="5">
                  <c:v>0.39200000000000002</c:v>
                </c:pt>
                <c:pt idx="6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v>Model Vol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SABR!$B$5:$H$5</c:f>
              <c:numCache>
                <c:formatCode>General</c:formatCode>
                <c:ptCount val="7"/>
                <c:pt idx="0">
                  <c:v>0.46067172934403411</c:v>
                </c:pt>
                <c:pt idx="1">
                  <c:v>0.40859674328283779</c:v>
                </c:pt>
                <c:pt idx="2">
                  <c:v>0.37990144380903468</c:v>
                </c:pt>
                <c:pt idx="3">
                  <c:v>0.37133820546658619</c:v>
                </c:pt>
                <c:pt idx="4">
                  <c:v>0.37636137253848395</c:v>
                </c:pt>
                <c:pt idx="5">
                  <c:v>0.38811436571231578</c:v>
                </c:pt>
                <c:pt idx="6">
                  <c:v>0.40231575985477047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5976"/>
        <c:axId val="498936960"/>
      </c:lineChart>
      <c:catAx>
        <c:axId val="49894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6960"/>
        <c:crosses val="autoZero"/>
        <c:auto val="1"/>
        <c:lblAlgn val="ctr"/>
        <c:lblOffset val="100"/>
        <c:noMultiLvlLbl val="0"/>
      </c:catAx>
      <c:valAx>
        <c:axId val="49893696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Data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SABR!$Y$4:$Y$11</c:f>
              <c:numCache>
                <c:formatCode>General</c:formatCode>
                <c:ptCount val="8"/>
                <c:pt idx="0">
                  <c:v>0.57600000000000007</c:v>
                </c:pt>
                <c:pt idx="1">
                  <c:v>0.53700000000000003</c:v>
                </c:pt>
                <c:pt idx="2">
                  <c:v>0.49399999999999999</c:v>
                </c:pt>
                <c:pt idx="3">
                  <c:v>0.45600000000000002</c:v>
                </c:pt>
                <c:pt idx="4">
                  <c:v>0.441</c:v>
                </c:pt>
                <c:pt idx="5">
                  <c:v>0.41100000000000003</c:v>
                </c:pt>
                <c:pt idx="6">
                  <c:v>0.35200000000000004</c:v>
                </c:pt>
                <c:pt idx="7">
                  <c:v>0.32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SABR!$Z$4:$Z$11</c:f>
              <c:numCache>
                <c:formatCode>General</c:formatCode>
                <c:ptCount val="8"/>
                <c:pt idx="0">
                  <c:v>0.46600000000000003</c:v>
                </c:pt>
                <c:pt idx="1">
                  <c:v>0.46899999999999997</c:v>
                </c:pt>
                <c:pt idx="2">
                  <c:v>0.44799999999999995</c:v>
                </c:pt>
                <c:pt idx="3">
                  <c:v>0.41600000000000004</c:v>
                </c:pt>
                <c:pt idx="4">
                  <c:v>0.39799999999999996</c:v>
                </c:pt>
                <c:pt idx="5">
                  <c:v>0.374</c:v>
                </c:pt>
                <c:pt idx="6">
                  <c:v>0.33399999999999996</c:v>
                </c:pt>
                <c:pt idx="7">
                  <c:v>0.31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SABR!$AA$4:$AA$11</c:f>
              <c:numCache>
                <c:formatCode>General</c:formatCode>
                <c:ptCount val="8"/>
                <c:pt idx="0">
                  <c:v>0.35899999999999999</c:v>
                </c:pt>
                <c:pt idx="1">
                  <c:v>0.39299999999999996</c:v>
                </c:pt>
                <c:pt idx="2">
                  <c:v>0.39600000000000002</c:v>
                </c:pt>
                <c:pt idx="3">
                  <c:v>0.379</c:v>
                </c:pt>
                <c:pt idx="4">
                  <c:v>0.37200000000000005</c:v>
                </c:pt>
                <c:pt idx="5">
                  <c:v>0.34700000000000003</c:v>
                </c:pt>
                <c:pt idx="6">
                  <c:v>0.30499999999999999</c:v>
                </c:pt>
                <c:pt idx="7">
                  <c:v>0.28899999999999998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SABR!$AB$4:$AB$11</c:f>
              <c:numCache>
                <c:formatCode>General</c:formatCode>
                <c:ptCount val="8"/>
                <c:pt idx="0">
                  <c:v>0.34100000000000003</c:v>
                </c:pt>
                <c:pt idx="1">
                  <c:v>0.36499999999999999</c:v>
                </c:pt>
                <c:pt idx="2">
                  <c:v>0.37799999999999995</c:v>
                </c:pt>
                <c:pt idx="3">
                  <c:v>0.36599999999999999</c:v>
                </c:pt>
                <c:pt idx="4">
                  <c:v>0.35</c:v>
                </c:pt>
                <c:pt idx="5">
                  <c:v>0.31900000000000001</c:v>
                </c:pt>
                <c:pt idx="6">
                  <c:v>0.28100000000000003</c:v>
                </c:pt>
                <c:pt idx="7">
                  <c:v>0.26600000000000001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SABR!$AC$4:$AC$11</c:f>
              <c:numCache>
                <c:formatCode>General</c:formatCode>
                <c:ptCount val="8"/>
                <c:pt idx="0">
                  <c:v>0.41</c:v>
                </c:pt>
                <c:pt idx="1">
                  <c:v>0.41299999999999998</c:v>
                </c:pt>
                <c:pt idx="2">
                  <c:v>0.39500000000000002</c:v>
                </c:pt>
                <c:pt idx="3">
                  <c:v>0.37799999999999995</c:v>
                </c:pt>
                <c:pt idx="4">
                  <c:v>0.36</c:v>
                </c:pt>
                <c:pt idx="5">
                  <c:v>0.32600000000000001</c:v>
                </c:pt>
                <c:pt idx="6">
                  <c:v>0.28999999999999998</c:v>
                </c:pt>
                <c:pt idx="7">
                  <c:v>0.26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SABR!$AD$4:$AD$11</c:f>
              <c:numCache>
                <c:formatCode>General</c:formatCode>
                <c:ptCount val="8"/>
                <c:pt idx="0">
                  <c:v>0.45799999999999996</c:v>
                </c:pt>
                <c:pt idx="1">
                  <c:v>0.434</c:v>
                </c:pt>
                <c:pt idx="2">
                  <c:v>0.41899999999999998</c:v>
                </c:pt>
                <c:pt idx="3">
                  <c:v>0.39200000000000002</c:v>
                </c:pt>
                <c:pt idx="4">
                  <c:v>0.36899999999999999</c:v>
                </c:pt>
                <c:pt idx="5">
                  <c:v>0.33200000000000002</c:v>
                </c:pt>
                <c:pt idx="6">
                  <c:v>0.29600000000000004</c:v>
                </c:pt>
                <c:pt idx="7">
                  <c:v>0.26300000000000001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SABR!$AE$4:$AE$11</c:f>
              <c:numCache>
                <c:formatCode>General</c:formatCode>
                <c:ptCount val="8"/>
                <c:pt idx="0">
                  <c:v>0.503</c:v>
                </c:pt>
                <c:pt idx="1">
                  <c:v>0.46899999999999997</c:v>
                </c:pt>
                <c:pt idx="2">
                  <c:v>0.44</c:v>
                </c:pt>
                <c:pt idx="3">
                  <c:v>0.4</c:v>
                </c:pt>
                <c:pt idx="4">
                  <c:v>0.375</c:v>
                </c:pt>
                <c:pt idx="5">
                  <c:v>0.33799999999999997</c:v>
                </c:pt>
                <c:pt idx="6">
                  <c:v>0.30199999999999999</c:v>
                </c:pt>
                <c:pt idx="7">
                  <c:v>0.27300000000000002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8941272"/>
        <c:axId val="498950680"/>
        <c:axId val="434038984"/>
      </c:surface3DChart>
      <c:catAx>
        <c:axId val="49894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50680"/>
        <c:crosses val="autoZero"/>
        <c:auto val="1"/>
        <c:lblAlgn val="ctr"/>
        <c:lblOffset val="100"/>
        <c:noMultiLvlLbl val="0"/>
      </c:catAx>
      <c:valAx>
        <c:axId val="4989506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1272"/>
        <c:crosses val="autoZero"/>
        <c:crossBetween val="midCat"/>
      </c:valAx>
      <c:serAx>
        <c:axId val="434038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506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Data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SABR!$Y$14:$Y$21</c:f>
              <c:numCache>
                <c:formatCode>0.0000</c:formatCode>
                <c:ptCount val="8"/>
                <c:pt idx="0">
                  <c:v>0.63138682042357941</c:v>
                </c:pt>
                <c:pt idx="1">
                  <c:v>0.56425865893000005</c:v>
                </c:pt>
                <c:pt idx="2">
                  <c:v>0.50758691642804565</c:v>
                </c:pt>
                <c:pt idx="3">
                  <c:v>0.46067172934403411</c:v>
                </c:pt>
                <c:pt idx="4">
                  <c:v>0.4428447354894367</c:v>
                </c:pt>
                <c:pt idx="5">
                  <c:v>0.41490764137412295</c:v>
                </c:pt>
                <c:pt idx="6">
                  <c:v>0.35971624360184862</c:v>
                </c:pt>
                <c:pt idx="7">
                  <c:v>0.32902147000523951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SABR!$Z$14:$Z$21</c:f>
              <c:numCache>
                <c:formatCode>0.0000</c:formatCode>
                <c:ptCount val="8"/>
                <c:pt idx="0">
                  <c:v>0.46049772386968679</c:v>
                </c:pt>
                <c:pt idx="1">
                  <c:v>0.45087777478253427</c:v>
                </c:pt>
                <c:pt idx="2">
                  <c:v>0.43379954735276349</c:v>
                </c:pt>
                <c:pt idx="3">
                  <c:v>0.40859674328283779</c:v>
                </c:pt>
                <c:pt idx="4">
                  <c:v>0.39624047768651571</c:v>
                </c:pt>
                <c:pt idx="5">
                  <c:v>0.37039609693954034</c:v>
                </c:pt>
                <c:pt idx="6">
                  <c:v>0.3240301776417806</c:v>
                </c:pt>
                <c:pt idx="7">
                  <c:v>0.30093668678105701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SABR!$AA$14:$AA$21</c:f>
              <c:numCache>
                <c:formatCode>0.0000</c:formatCode>
                <c:ptCount val="8"/>
                <c:pt idx="0">
                  <c:v>0.35642385127827692</c:v>
                </c:pt>
                <c:pt idx="1">
                  <c:v>0.3884742848404325</c:v>
                </c:pt>
                <c:pt idx="2">
                  <c:v>0.39383696064146545</c:v>
                </c:pt>
                <c:pt idx="3">
                  <c:v>0.37990144380903468</c:v>
                </c:pt>
                <c:pt idx="4">
                  <c:v>0.36830401701326676</c:v>
                </c:pt>
                <c:pt idx="5">
                  <c:v>0.34152089202476937</c:v>
                </c:pt>
                <c:pt idx="6">
                  <c:v>0.30125605494708207</c:v>
                </c:pt>
                <c:pt idx="7">
                  <c:v>0.28190840303813702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SABR!$AB$14:$AB$21</c:f>
              <c:numCache>
                <c:formatCode>0.0000</c:formatCode>
                <c:ptCount val="8"/>
                <c:pt idx="0">
                  <c:v>0.34554809563325062</c:v>
                </c:pt>
                <c:pt idx="1">
                  <c:v>0.37902124821136651</c:v>
                </c:pt>
                <c:pt idx="2">
                  <c:v>0.38514837668428586</c:v>
                </c:pt>
                <c:pt idx="3">
                  <c:v>0.37133820546658619</c:v>
                </c:pt>
                <c:pt idx="4">
                  <c:v>0.35698280537310756</c:v>
                </c:pt>
                <c:pt idx="5">
                  <c:v>0.32726460943897578</c:v>
                </c:pt>
                <c:pt idx="6">
                  <c:v>0.29047180362071395</c:v>
                </c:pt>
                <c:pt idx="7">
                  <c:v>0.27070444355836443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SABR!$AC$14:$AC$21</c:f>
              <c:numCache>
                <c:formatCode>0.0000</c:formatCode>
                <c:ptCount val="8"/>
                <c:pt idx="0">
                  <c:v>0.40122172480906093</c:v>
                </c:pt>
                <c:pt idx="1">
                  <c:v>0.40333183654574534</c:v>
                </c:pt>
                <c:pt idx="2">
                  <c:v>0.39685773971223609</c:v>
                </c:pt>
                <c:pt idx="3">
                  <c:v>0.37636137253848395</c:v>
                </c:pt>
                <c:pt idx="4">
                  <c:v>0.35791201356686297</c:v>
                </c:pt>
                <c:pt idx="5">
                  <c:v>0.32477806193013609</c:v>
                </c:pt>
                <c:pt idx="6">
                  <c:v>0.28918808567986465</c:v>
                </c:pt>
                <c:pt idx="7">
                  <c:v>0.2657722055609853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SABR!$AD$14:$AD$21</c:f>
              <c:numCache>
                <c:formatCode>0.0000</c:formatCode>
                <c:ptCount val="8"/>
                <c:pt idx="0">
                  <c:v>0.46044569006281555</c:v>
                </c:pt>
                <c:pt idx="1">
                  <c:v>0.43621015544180691</c:v>
                </c:pt>
                <c:pt idx="2">
                  <c:v>0.41667380612507421</c:v>
                </c:pt>
                <c:pt idx="3">
                  <c:v>0.38811436571231578</c:v>
                </c:pt>
                <c:pt idx="4">
                  <c:v>0.36584101764312149</c:v>
                </c:pt>
                <c:pt idx="5">
                  <c:v>0.32975475505182028</c:v>
                </c:pt>
                <c:pt idx="6">
                  <c:v>0.29389513647158388</c:v>
                </c:pt>
                <c:pt idx="7">
                  <c:v>0.26529133486369588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SABR!$AE$14:$AE$21</c:f>
              <c:numCache>
                <c:formatCode>0.0000</c:formatCode>
                <c:ptCount val="8"/>
                <c:pt idx="0">
                  <c:v>0.51170169438391067</c:v>
                </c:pt>
                <c:pt idx="1">
                  <c:v>0.46815557505970012</c:v>
                </c:pt>
                <c:pt idx="2">
                  <c:v>0.43815167482992146</c:v>
                </c:pt>
                <c:pt idx="3">
                  <c:v>0.40231575985477047</c:v>
                </c:pt>
                <c:pt idx="4">
                  <c:v>0.37694220482485086</c:v>
                </c:pt>
                <c:pt idx="5">
                  <c:v>0.33853058306795969</c:v>
                </c:pt>
                <c:pt idx="6">
                  <c:v>0.3016732190232343</c:v>
                </c:pt>
                <c:pt idx="7">
                  <c:v>0.26761680878740057</c:v>
                </c:pt>
              </c:numCache>
            </c:numRef>
          </c:val>
        </c:ser>
        <c:bandFmts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8949112"/>
        <c:axId val="498949504"/>
        <c:axId val="434042800"/>
      </c:surface3DChart>
      <c:catAx>
        <c:axId val="49894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504"/>
        <c:crosses val="autoZero"/>
        <c:auto val="1"/>
        <c:lblAlgn val="ctr"/>
        <c:lblOffset val="100"/>
        <c:noMultiLvlLbl val="0"/>
      </c:catAx>
      <c:valAx>
        <c:axId val="49894950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112"/>
        <c:crosses val="autoZero"/>
        <c:crossBetween val="midCat"/>
      </c:valAx>
      <c:serAx>
        <c:axId val="434042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5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14286</xdr:rowOff>
    </xdr:from>
    <xdr:to>
      <xdr:col>6</xdr:col>
      <xdr:colOff>1695449</xdr:colOff>
      <xdr:row>55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41</xdr:row>
      <xdr:rowOff>14286</xdr:rowOff>
    </xdr:from>
    <xdr:to>
      <xdr:col>9</xdr:col>
      <xdr:colOff>1695449</xdr:colOff>
      <xdr:row>55</xdr:row>
      <xdr:rowOff>95249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41</xdr:row>
      <xdr:rowOff>14286</xdr:rowOff>
    </xdr:from>
    <xdr:to>
      <xdr:col>12</xdr:col>
      <xdr:colOff>1695449</xdr:colOff>
      <xdr:row>55</xdr:row>
      <xdr:rowOff>95249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41</xdr:row>
      <xdr:rowOff>14286</xdr:rowOff>
    </xdr:from>
    <xdr:to>
      <xdr:col>15</xdr:col>
      <xdr:colOff>1695449</xdr:colOff>
      <xdr:row>55</xdr:row>
      <xdr:rowOff>95249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38100</xdr:colOff>
      <xdr:row>41</xdr:row>
      <xdr:rowOff>14286</xdr:rowOff>
    </xdr:from>
    <xdr:to>
      <xdr:col>18</xdr:col>
      <xdr:colOff>1695449</xdr:colOff>
      <xdr:row>55</xdr:row>
      <xdr:rowOff>95249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38100</xdr:colOff>
      <xdr:row>41</xdr:row>
      <xdr:rowOff>14286</xdr:rowOff>
    </xdr:from>
    <xdr:to>
      <xdr:col>21</xdr:col>
      <xdr:colOff>1695449</xdr:colOff>
      <xdr:row>55</xdr:row>
      <xdr:rowOff>95249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13</xdr:row>
      <xdr:rowOff>119062</xdr:rowOff>
    </xdr:from>
    <xdr:to>
      <xdr:col>7</xdr:col>
      <xdr:colOff>161925</xdr:colOff>
      <xdr:row>28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23</xdr:row>
      <xdr:rowOff>33336</xdr:rowOff>
    </xdr:from>
    <xdr:to>
      <xdr:col>23</xdr:col>
      <xdr:colOff>542925</xdr:colOff>
      <xdr:row>47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23</xdr:row>
      <xdr:rowOff>9525</xdr:rowOff>
    </xdr:from>
    <xdr:to>
      <xdr:col>35</xdr:col>
      <xdr:colOff>857251</xdr:colOff>
      <xdr:row>47</xdr:row>
      <xdr:rowOff>90489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thworks.com/help/fininst/pricing-a-swaption-using-the-sabr-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9" customWidth="1"/>
    <col min="2" max="2" width="28.42578125" customWidth="1"/>
    <col min="3" max="3" width="26.85546875" bestFit="1" customWidth="1"/>
    <col min="4" max="4" width="19.42578125" customWidth="1"/>
    <col min="5" max="7" width="25.7109375" customWidth="1"/>
    <col min="8" max="10" width="24.7109375" customWidth="1"/>
    <col min="11" max="13" width="26.5703125" customWidth="1"/>
    <col min="14" max="22" width="24.5703125" customWidth="1"/>
  </cols>
  <sheetData>
    <row r="1" spans="1:9" x14ac:dyDescent="0.25">
      <c r="A1" s="3" t="s">
        <v>0</v>
      </c>
      <c r="B1" s="6">
        <f ca="1">TODAY()</f>
        <v>42376</v>
      </c>
      <c r="C1" s="3" t="s">
        <v>4</v>
      </c>
      <c r="D1" s="6">
        <v>42443</v>
      </c>
      <c r="E1" s="2" t="e">
        <f ca="1">qlSetEvaluationDate(B1)</f>
        <v>#NAME?</v>
      </c>
      <c r="F1" s="135"/>
    </row>
    <row r="2" spans="1:9" x14ac:dyDescent="0.25">
      <c r="A2" s="4" t="s">
        <v>1</v>
      </c>
      <c r="B2" s="1">
        <v>100</v>
      </c>
      <c r="C2" s="4" t="s">
        <v>5</v>
      </c>
      <c r="D2" s="7">
        <f ca="1">_xll.qlTimeYearFraction(B1,D1,"ACTUAL365")</f>
        <v>0.18356164383561643</v>
      </c>
    </row>
    <row r="3" spans="1:9" x14ac:dyDescent="0.25">
      <c r="A3" s="4" t="s">
        <v>2</v>
      </c>
      <c r="B3" s="1">
        <v>100</v>
      </c>
      <c r="C3" s="4" t="s">
        <v>7</v>
      </c>
      <c r="D3" s="8">
        <v>0.2</v>
      </c>
    </row>
    <row r="4" spans="1:9" ht="15.75" thickBot="1" x14ac:dyDescent="0.3">
      <c r="A4" s="5" t="s">
        <v>3</v>
      </c>
      <c r="B4" s="9">
        <v>0.1</v>
      </c>
      <c r="C4" s="5" t="s">
        <v>6</v>
      </c>
      <c r="D4" s="9">
        <v>0</v>
      </c>
    </row>
    <row r="5" spans="1:9" ht="15.75" thickBot="1" x14ac:dyDescent="0.3"/>
    <row r="6" spans="1:9" ht="15.75" thickBot="1" x14ac:dyDescent="0.3">
      <c r="A6" s="11" t="s">
        <v>8</v>
      </c>
    </row>
    <row r="7" spans="1:9" ht="15.75" thickBot="1" x14ac:dyDescent="0.3">
      <c r="A7" s="3" t="s">
        <v>9</v>
      </c>
      <c r="B7" s="12" t="str">
        <f>_xll.qlInstEuropeanOptionBlackScholes(B8,B9,B2,B3,D1,B4,D4,D3,,,)</f>
        <v>OPTION@bsm_call#21:33:25</v>
      </c>
      <c r="C7" s="13" t="str">
        <f>_xll.qlInstEuropeanOptionBlackScholes(C8,C9,B2,B3,D1,B4,D4,D3,,,)</f>
        <v>OPTION@bsm_put#21:33:25</v>
      </c>
      <c r="D7" s="10"/>
      <c r="E7" s="10"/>
      <c r="F7" s="10"/>
    </row>
    <row r="8" spans="1:9" ht="15.75" thickBot="1" x14ac:dyDescent="0.3">
      <c r="A8" s="4" t="s">
        <v>10</v>
      </c>
      <c r="B8" s="14" t="s">
        <v>12</v>
      </c>
      <c r="C8" s="15" t="s">
        <v>13</v>
      </c>
      <c r="D8" s="10"/>
      <c r="E8" s="10"/>
      <c r="F8" s="10"/>
    </row>
    <row r="9" spans="1:9" ht="15.75" thickBot="1" x14ac:dyDescent="0.3">
      <c r="A9" s="4" t="s">
        <v>11</v>
      </c>
      <c r="B9" s="16" t="s">
        <v>25</v>
      </c>
      <c r="C9" s="17" t="s">
        <v>26</v>
      </c>
      <c r="D9" s="22"/>
      <c r="E9" s="23" t="s">
        <v>25</v>
      </c>
      <c r="F9" s="13" t="s">
        <v>26</v>
      </c>
    </row>
    <row r="10" spans="1:9" x14ac:dyDescent="0.25">
      <c r="A10" s="4" t="s">
        <v>28</v>
      </c>
      <c r="B10" s="18">
        <f>_xll.qlInstGetOptionGreeks(B$7,$A10)</f>
        <v>10.445784245488573</v>
      </c>
      <c r="C10" s="19">
        <f>_xll.qlInstGetOptionGreeks(C$7,$A10)</f>
        <v>3.6213255114365555</v>
      </c>
      <c r="D10" s="3" t="s">
        <v>15</v>
      </c>
      <c r="E10" s="24">
        <f>B10/$B$2</f>
        <v>0.10445784245488574</v>
      </c>
      <c r="F10" s="25">
        <f>C10/$B$2</f>
        <v>3.6213255114365552E-2</v>
      </c>
    </row>
    <row r="11" spans="1:9" x14ac:dyDescent="0.25">
      <c r="A11" s="4" t="s">
        <v>16</v>
      </c>
      <c r="B11" s="18">
        <f>_xll.qlInstGetOptionGreeks(B$7,$A11)</f>
        <v>0.6930259953481902</v>
      </c>
      <c r="C11" s="19">
        <f>_xll.qlInstGetOptionGreeks(C$7,$A11)</f>
        <v>-0.30697400465180963</v>
      </c>
      <c r="D11" s="4" t="s">
        <v>21</v>
      </c>
      <c r="E11" s="26">
        <f>B11*100</f>
        <v>69.302599534819024</v>
      </c>
      <c r="F11" s="27">
        <f>C11*100</f>
        <v>-30.697400465180962</v>
      </c>
      <c r="I11" t="s">
        <v>70</v>
      </c>
    </row>
    <row r="12" spans="1:9" x14ac:dyDescent="0.25">
      <c r="A12" s="4" t="s">
        <v>17</v>
      </c>
      <c r="B12" s="18">
        <f>_xll.qlInstGetOptionGreeks(B$7,$A12)</f>
        <v>2.0891042526278256E-2</v>
      </c>
      <c r="C12" s="19">
        <f>_xll.qlInstGetOptionGreeks(C$7,$A12)</f>
        <v>2.0891042526278256E-2</v>
      </c>
      <c r="D12" s="4" t="s">
        <v>22</v>
      </c>
      <c r="E12" s="26">
        <f>B12*100</f>
        <v>2.0891042526278256</v>
      </c>
      <c r="F12" s="27">
        <f>C12*100</f>
        <v>2.0891042526278256</v>
      </c>
    </row>
    <row r="13" spans="1:9" x14ac:dyDescent="0.25">
      <c r="A13" s="4" t="s">
        <v>18</v>
      </c>
      <c r="B13" s="18">
        <f>_xll.qlInstGetOptionGreeks(B$7,$A13)</f>
        <v>29.533638201533087</v>
      </c>
      <c r="C13" s="19">
        <f>_xll.qlInstGetOptionGreeks(C$7,$A13)</f>
        <v>29.533638201533087</v>
      </c>
      <c r="D13" s="4" t="s">
        <v>23</v>
      </c>
      <c r="E13" s="26">
        <f>B13/100</f>
        <v>0.29533638201533086</v>
      </c>
      <c r="F13" s="27">
        <f>C13/100</f>
        <v>0.29533638201533086</v>
      </c>
    </row>
    <row r="14" spans="1:9" x14ac:dyDescent="0.25">
      <c r="A14" s="4" t="s">
        <v>19</v>
      </c>
      <c r="B14" s="18">
        <f>_xll.qlInstGetOptionGreeks(B$7,$A14)</f>
        <v>-10.063890034188701</v>
      </c>
      <c r="C14" s="19">
        <f>_xll.qlInstGetOptionGreeks(C$7,$A14)</f>
        <v>-0.74633590759389934</v>
      </c>
      <c r="D14" s="4" t="s">
        <v>24</v>
      </c>
      <c r="E14" s="26">
        <f>B14/365</f>
        <v>-2.7572301463530687E-2</v>
      </c>
      <c r="F14" s="27">
        <f>C14/365</f>
        <v>-2.0447559112161625E-3</v>
      </c>
    </row>
    <row r="15" spans="1:9" ht="15.75" thickBot="1" x14ac:dyDescent="0.3">
      <c r="A15" s="5" t="s">
        <v>20</v>
      </c>
      <c r="B15" s="20">
        <f>_xll.qlInstGetOptionGreeks(B$7,$A15)</f>
        <v>41.602899574376039</v>
      </c>
      <c r="C15" s="21">
        <f>_xll.qlInstGetOptionGreeks(C$7,$A15)</f>
        <v>-24.258167950595393</v>
      </c>
      <c r="D15" s="5" t="s">
        <v>27</v>
      </c>
      <c r="E15" s="28">
        <f>B15/100</f>
        <v>0.4160289957437604</v>
      </c>
      <c r="F15" s="29">
        <f>C15/100</f>
        <v>-0.24258167950595394</v>
      </c>
    </row>
    <row r="17" spans="1:22" ht="15.75" thickBot="1" x14ac:dyDescent="0.3"/>
    <row r="18" spans="1:22" x14ac:dyDescent="0.25">
      <c r="A18" s="51"/>
      <c r="B18" s="136" t="s">
        <v>29</v>
      </c>
      <c r="C18" s="137"/>
      <c r="D18" s="138"/>
      <c r="E18" s="136" t="s">
        <v>28</v>
      </c>
      <c r="F18" s="137"/>
      <c r="G18" s="138"/>
      <c r="H18" s="136" t="s">
        <v>16</v>
      </c>
      <c r="I18" s="137"/>
      <c r="J18" s="138"/>
      <c r="K18" s="136" t="s">
        <v>17</v>
      </c>
      <c r="L18" s="137"/>
      <c r="M18" s="138"/>
      <c r="N18" s="136" t="s">
        <v>18</v>
      </c>
      <c r="O18" s="137"/>
      <c r="P18" s="138"/>
      <c r="Q18" s="136" t="s">
        <v>19</v>
      </c>
      <c r="R18" s="137"/>
      <c r="S18" s="138"/>
      <c r="T18" s="136" t="s">
        <v>20</v>
      </c>
      <c r="U18" s="137"/>
      <c r="V18" s="138"/>
    </row>
    <row r="19" spans="1:22" ht="15.75" thickBot="1" x14ac:dyDescent="0.3">
      <c r="A19" s="52" t="s">
        <v>69</v>
      </c>
      <c r="B19" s="53">
        <f ca="1">B1+100</f>
        <v>42476</v>
      </c>
      <c r="C19" s="54">
        <f ca="1">B1+200</f>
        <v>42576</v>
      </c>
      <c r="D19" s="55">
        <f ca="1">B1+300</f>
        <v>42676</v>
      </c>
      <c r="E19" s="53">
        <f ca="1">B19</f>
        <v>42476</v>
      </c>
      <c r="F19" s="54">
        <f t="shared" ref="F19:G19" ca="1" si="0">C19</f>
        <v>42576</v>
      </c>
      <c r="G19" s="55">
        <f t="shared" ca="1" si="0"/>
        <v>42676</v>
      </c>
      <c r="H19" s="53">
        <f t="shared" ref="H19:V19" ca="1" si="1">E19</f>
        <v>42476</v>
      </c>
      <c r="I19" s="54">
        <f t="shared" ca="1" si="1"/>
        <v>42576</v>
      </c>
      <c r="J19" s="55">
        <f ca="1">G19</f>
        <v>42676</v>
      </c>
      <c r="K19" s="53">
        <f t="shared" ca="1" si="1"/>
        <v>42476</v>
      </c>
      <c r="L19" s="54">
        <f t="shared" ca="1" si="1"/>
        <v>42576</v>
      </c>
      <c r="M19" s="55">
        <f t="shared" ca="1" si="1"/>
        <v>42676</v>
      </c>
      <c r="N19" s="53">
        <f t="shared" ca="1" si="1"/>
        <v>42476</v>
      </c>
      <c r="O19" s="54">
        <f t="shared" ca="1" si="1"/>
        <v>42576</v>
      </c>
      <c r="P19" s="55">
        <f t="shared" ca="1" si="1"/>
        <v>42676</v>
      </c>
      <c r="Q19" s="53">
        <f t="shared" ca="1" si="1"/>
        <v>42476</v>
      </c>
      <c r="R19" s="54">
        <f t="shared" ca="1" si="1"/>
        <v>42576</v>
      </c>
      <c r="S19" s="55">
        <f t="shared" ca="1" si="1"/>
        <v>42676</v>
      </c>
      <c r="T19" s="53">
        <f ca="1">Q19</f>
        <v>42476</v>
      </c>
      <c r="U19" s="54">
        <f t="shared" ca="1" si="1"/>
        <v>42576</v>
      </c>
      <c r="V19" s="55">
        <f t="shared" ca="1" si="1"/>
        <v>42676</v>
      </c>
    </row>
    <row r="20" spans="1:22" x14ac:dyDescent="0.25">
      <c r="A20" s="30">
        <v>50</v>
      </c>
      <c r="B20" s="33" t="str">
        <f ca="1">_xll.qlInstEuropeanOptionBlackScholes(B$19&amp;"_"&amp;$A20,$B$9,$A20,$B$3,B$19,$B$4,$D$4,$D$3)</f>
        <v>OPTION@42476_50#21:33:25</v>
      </c>
      <c r="C20" s="34" t="str">
        <f ca="1">_xll.qlInstEuropeanOptionBlackScholes(C$19&amp;"_"&amp;$A20,$B$9,$A20,$B$3,C$19,$B$4,$D$4,$D$3)</f>
        <v>OPTION@42576_50#21:33:25</v>
      </c>
      <c r="D20" s="35" t="str">
        <f ca="1">_xll.qlInstEuropeanOptionBlackScholes(D$19&amp;"_"&amp;$A20,$B$9,$A20,$B$3,D$19,$B$4,$D$4,$D$3)</f>
        <v>OPTION@42676_50#21:33:25</v>
      </c>
      <c r="E20" s="42">
        <f ca="1">_xll.qlInstGetOptionGreeks(B20,$E$18)</f>
        <v>9.1394356304130289E-4</v>
      </c>
      <c r="F20" s="43">
        <f ca="1">_xll.qlInstGetOptionGreeks(C20,$E$18)</f>
        <v>9.467292134553263E-3</v>
      </c>
      <c r="G20" s="44">
        <f ca="1">_xll.qlInstGetOptionGreeks(D20,$E$18)</f>
        <v>4.0471702639808399E-2</v>
      </c>
      <c r="H20" s="56">
        <f ca="1">_xll.qlInstGetOptionGreeks(B20,$H$18)</f>
        <v>4.1033727324041932E-4</v>
      </c>
      <c r="I20" s="57">
        <f ca="1">_xll.qlInstGetOptionGreeks(C20,$H$18)</f>
        <v>3.1905951781649989E-3</v>
      </c>
      <c r="J20" s="58">
        <f ca="1">_xll.qlInstGetOptionGreeks(D20,$H$18)</f>
        <v>1.0945798441724771E-2</v>
      </c>
      <c r="K20" s="42">
        <f ca="1">_xll.qlInstGetOptionGreeks(B20,$K$18)</f>
        <v>1.657254999366104E-4</v>
      </c>
      <c r="L20" s="43">
        <f ca="1">_xll.qlInstGetOptionGreeks(C20,$K$18)</f>
        <v>9.3438850188361624E-4</v>
      </c>
      <c r="M20" s="44">
        <f ca="1">_xll.qlInstGetOptionGreeks(D20,$K$18)</f>
        <v>2.4862316367786929E-3</v>
      </c>
      <c r="N20" s="56">
        <f ca="1">_xll.qlInstGetOptionGreeks(B20,$N$18)</f>
        <v>6.6063178741853967E-2</v>
      </c>
      <c r="O20" s="57">
        <f ca="1">_xll.qlInstGetOptionGreeks(C20,$N$18)</f>
        <v>0.50047384141985396</v>
      </c>
      <c r="P20" s="58">
        <f ca="1">_xll.qlInstGetOptionGreeks(D20,$N$18)</f>
        <v>1.6722462104908746</v>
      </c>
      <c r="Q20" s="42">
        <f ca="1">_xll.qlInstGetOptionGreeks(B20,$Q$18)</f>
        <v>-1.0246567006728487E-2</v>
      </c>
      <c r="R20" s="43">
        <f ca="1">_xll.qlInstGetOptionGreeks(C20,$Q$18)</f>
        <v>-6.1725671771550479E-2</v>
      </c>
      <c r="S20" s="44">
        <f ca="1">_xll.qlInstGetOptionGreeks(D20,$Q$18)</f>
        <v>-0.17499340378357769</v>
      </c>
      <c r="T20" s="56">
        <f ca="1">_xll.qlInstGetOptionGreeks(B20,$T$18)</f>
        <v>1.5628629448775553E-2</v>
      </c>
      <c r="U20" s="57">
        <f ca="1">_xll.qlInstGetOptionGreeks(C20,$T$18)</f>
        <v>0.16075184796853514</v>
      </c>
      <c r="V20" s="58">
        <f ca="1">_xll.qlInstGetOptionGreeks(D20,$T$18)</f>
        <v>0.68177464588547321</v>
      </c>
    </row>
    <row r="21" spans="1:22" x14ac:dyDescent="0.25">
      <c r="A21" s="31">
        <v>55</v>
      </c>
      <c r="B21" s="36" t="str">
        <f ca="1">_xll.qlInstEuropeanOptionBlackScholes(B$19&amp;"_"&amp;$A21,$B$9,$A21,$B$3,B$19,$B$4,$D$4,$D$3)</f>
        <v>OPTION@42476_55#21:33:25</v>
      </c>
      <c r="C21" s="37" t="str">
        <f ca="1">_xll.qlInstEuropeanOptionBlackScholes(C$19&amp;"_"&amp;$A21,$B$9,$A21,$B$3,C$19,$B$4,$D$4,$D$3)</f>
        <v>OPTION@42576_55#21:33:25</v>
      </c>
      <c r="D21" s="38" t="str">
        <f ca="1">_xll.qlInstEuropeanOptionBlackScholes(D$19&amp;"_"&amp;$A21,$B$9,$A21,$B$3,D$19,$B$4,$D$4,$D$3)</f>
        <v>OPTION@42676_55#21:33:25</v>
      </c>
      <c r="E21" s="45">
        <f ca="1">_xll.qlInstGetOptionGreeks(B21,$E$18)</f>
        <v>6.8391564087898083E-3</v>
      </c>
      <c r="F21" s="46">
        <f ca="1">_xll.qlInstGetOptionGreeks(C21,$E$18)</f>
        <v>4.3047773401963772E-2</v>
      </c>
      <c r="G21" s="47">
        <f ca="1">_xll.qlInstGetOptionGreeks(D21,$E$18)</f>
        <v>0.13681361404606149</v>
      </c>
      <c r="H21" s="59">
        <f ca="1">_xll.qlInstGetOptionGreeks(B21,$H$18)</f>
        <v>2.4616394526272021E-3</v>
      </c>
      <c r="I21" s="60">
        <f ca="1">_xll.qlInstGetOptionGreeks(C21,$H$18)</f>
        <v>1.1692408394049635E-2</v>
      </c>
      <c r="J21" s="61">
        <f ca="1">_xll.qlInstGetOptionGreeks(D21,$H$18)</f>
        <v>2.9961243688515854E-2</v>
      </c>
      <c r="K21" s="45">
        <f ca="1">_xll.qlInstGetOptionGreeks(B21,$K$18)</f>
        <v>7.7919419453118097E-4</v>
      </c>
      <c r="L21" s="46">
        <f ca="1">_xll.qlInstGetOptionGreeks(C21,$K$18)</f>
        <v>2.6822905677955618E-3</v>
      </c>
      <c r="M21" s="47">
        <f ca="1">_xll.qlInstGetOptionGreeks(D21,$K$18)</f>
        <v>5.3275089317529308E-3</v>
      </c>
      <c r="N21" s="59">
        <f ca="1">_xll.qlInstGetOptionGreeks(B21,$N$18)</f>
        <v>0.37583844909092357</v>
      </c>
      <c r="O21" s="60">
        <f ca="1">_xll.qlInstGetOptionGreeks(C21,$N$18)</f>
        <v>1.7383814938763791</v>
      </c>
      <c r="P21" s="61">
        <f ca="1">_xll.qlInstGetOptionGreeks(D21,$N$18)</f>
        <v>4.3357894951284006</v>
      </c>
      <c r="Q21" s="45">
        <f ca="1">_xll.qlInstGetOptionGreeks(B21,$Q$18)</f>
        <v>-5.9996350117707084E-2</v>
      </c>
      <c r="R21" s="46">
        <f ca="1">_xll.qlInstGetOptionGreeks(C21,$Q$18)</f>
        <v>-0.22228204817870811</v>
      </c>
      <c r="S21" s="47">
        <f ca="1">_xll.qlInstGetOptionGreeks(D21,$Q$18)</f>
        <v>-0.47341976925328355</v>
      </c>
      <c r="T21" s="59">
        <f ca="1">_xll.qlInstGetOptionGreeks(B21,$T$18)</f>
        <v>0.10248861623106979</v>
      </c>
      <c r="U21" s="60">
        <f ca="1">_xll.qlInstGetOptionGreeks(C21,$T$18)</f>
        <v>0.64277688524347798</v>
      </c>
      <c r="V21" s="61">
        <f ca="1">_xll.qlInstGetOptionGreeks(D21,$T$18)</f>
        <v>2.0326791816760408</v>
      </c>
    </row>
    <row r="22" spans="1:22" x14ac:dyDescent="0.25">
      <c r="A22" s="31">
        <v>60</v>
      </c>
      <c r="B22" s="36" t="str">
        <f ca="1">_xll.qlInstEuropeanOptionBlackScholes(B$19&amp;"_"&amp;$A22,$B$9,$A22,$B$3,B$19,$B$4,$D$4,$D$3)</f>
        <v>OPTION@42476_60#21:33:25</v>
      </c>
      <c r="C22" s="37" t="str">
        <f ca="1">_xll.qlInstEuropeanOptionBlackScholes(C$19&amp;"_"&amp;$A22,$B$9,$A22,$B$3,C$19,$B$4,$D$4,$D$3)</f>
        <v>OPTION@42576_60#21:33:25</v>
      </c>
      <c r="D22" s="38" t="str">
        <f ca="1">_xll.qlInstEuropeanOptionBlackScholes(D$19&amp;"_"&amp;$A22,$B$9,$A22,$B$3,D$19,$B$4,$D$4,$D$3)</f>
        <v>OPTION@42676_60#21:33:25</v>
      </c>
      <c r="E22" s="45">
        <f ca="1">_xll.qlInstGetOptionGreeks(B22,$E$18)</f>
        <v>3.4543966094119867E-2</v>
      </c>
      <c r="F22" s="46">
        <f ca="1">_xll.qlInstGetOptionGreeks(C22,$E$18)</f>
        <v>0.14667968775949144</v>
      </c>
      <c r="G22" s="47">
        <f ca="1">_xll.qlInstGetOptionGreeks(D22,$E$18)</f>
        <v>0.36858617512783459</v>
      </c>
      <c r="H22" s="59">
        <f ca="1">_xll.qlInstGetOptionGreeks(B22,$H$18)</f>
        <v>1.0042190402204332E-2</v>
      </c>
      <c r="I22" s="60">
        <f ca="1">_xll.qlInstGetOptionGreeks(C22,$H$18)</f>
        <v>3.2392032871917872E-2</v>
      </c>
      <c r="J22" s="61">
        <f ca="1">_xll.qlInstGetOptionGreeks(D22,$H$18)</f>
        <v>6.6000288318968398E-2</v>
      </c>
      <c r="K22" s="45">
        <f ca="1">_xll.qlInstGetOptionGreeks(B22,$K$18)</f>
        <v>2.4965868190019412E-3</v>
      </c>
      <c r="L22" s="46">
        <f ca="1">_xll.qlInstGetOptionGreeks(C22,$K$18)</f>
        <v>5.837314975881888E-3</v>
      </c>
      <c r="M22" s="47">
        <f ca="1">_xll.qlInstGetOptionGreeks(D22,$K$18)</f>
        <v>9.2186435298129334E-3</v>
      </c>
      <c r="N22" s="59">
        <f ca="1">_xll.qlInstGetOptionGreeks(B22,$N$18)</f>
        <v>1.4331092337459899</v>
      </c>
      <c r="O22" s="60">
        <f ca="1">_xll.qlInstGetOptionGreeks(C22,$N$18)</f>
        <v>4.5022490740007299</v>
      </c>
      <c r="P22" s="61">
        <f ca="1">_xll.qlInstGetOptionGreeks(D22,$N$18)</f>
        <v>8.9286982483821067</v>
      </c>
      <c r="Q22" s="45">
        <f ca="1">_xll.qlInstGetOptionGreeks(B22,$Q$18)</f>
        <v>-0.23655299677195379</v>
      </c>
      <c r="R22" s="46">
        <f ca="1">_xll.qlInstGetOptionGreeks(C22,$Q$18)</f>
        <v>-0.59997090671905429</v>
      </c>
      <c r="S22" s="47">
        <f ca="1">_xll.qlInstGetOptionGreeks(D22,$Q$18)</f>
        <v>-1.0228854465475585</v>
      </c>
      <c r="T22" s="59">
        <f ca="1">_xll.qlInstGetOptionGreeks(B22,$T$18)</f>
        <v>0.45283383640848895</v>
      </c>
      <c r="U22" s="60">
        <f ca="1">_xll.qlInstGetOptionGreeks(C22,$T$18)</f>
        <v>1.9248365294828342</v>
      </c>
      <c r="V22" s="61">
        <f ca="1">_xll.qlInstGetOptionGreeks(D22,$T$18)</f>
        <v>4.8312128270932746</v>
      </c>
    </row>
    <row r="23" spans="1:22" x14ac:dyDescent="0.25">
      <c r="A23" s="31">
        <v>65</v>
      </c>
      <c r="B23" s="36" t="str">
        <f ca="1">_xll.qlInstEuropeanOptionBlackScholes(B$19&amp;"_"&amp;$A23,$B$9,$A23,$B$3,B$19,$B$4,$D$4,$D$3)</f>
        <v>OPTION@42476_65#21:33:25</v>
      </c>
      <c r="C23" s="37" t="str">
        <f ca="1">_xll.qlInstEuropeanOptionBlackScholes(C$19&amp;"_"&amp;$A23,$B$9,$A23,$B$3,C$19,$B$4,$D$4,$D$3)</f>
        <v>OPTION@42576_65#21:33:25</v>
      </c>
      <c r="D23" s="38" t="str">
        <f ca="1">_xll.qlInstEuropeanOptionBlackScholes(D$19&amp;"_"&amp;$A23,$B$9,$A23,$B$3,D$19,$B$4,$D$4,$D$3)</f>
        <v>OPTION@42676_65#21:33:25</v>
      </c>
      <c r="E23" s="45">
        <f ca="1">_xll.qlInstGetOptionGreeks(B23,$E$18)</f>
        <v>0.12826551990080151</v>
      </c>
      <c r="F23" s="46">
        <f ca="1">_xll.qlInstGetOptionGreeks(C23,$E$18)</f>
        <v>0.39885596672231971</v>
      </c>
      <c r="G23" s="47">
        <f ca="1">_xll.qlInstGetOptionGreeks(D23,$E$18)</f>
        <v>0.83162363295962327</v>
      </c>
      <c r="H23" s="59">
        <f ca="1">_xll.qlInstGetOptionGreeks(B23,$H$18)</f>
        <v>3.0290084347456545E-2</v>
      </c>
      <c r="I23" s="60">
        <f ca="1">_xll.qlInstGetOptionGreeks(C23,$H$18)</f>
        <v>7.2135836663357225E-2</v>
      </c>
      <c r="J23" s="61">
        <f ca="1">_xll.qlInstGetOptionGreeks(D23,$H$18)</f>
        <v>0.12278085324294288</v>
      </c>
      <c r="K23" s="45">
        <f ca="1">_xll.qlInstGetOptionGreeks(B23,$K$18)</f>
        <v>5.9087811951238044E-3</v>
      </c>
      <c r="L23" s="46">
        <f ca="1">_xll.qlInstGetOptionGreeks(C23,$K$18)</f>
        <v>1.021201050711045E-2</v>
      </c>
      <c r="M23" s="47">
        <f ca="1">_xll.qlInstGetOptionGreeks(D23,$K$18)</f>
        <v>1.3482661321600224E-2</v>
      </c>
      <c r="N23" s="59">
        <f ca="1">_xll.qlInstGetOptionGreeks(B23,$N$18)</f>
        <v>3.9806568547259373</v>
      </c>
      <c r="O23" s="60">
        <f ca="1">_xll.qlInstGetOptionGreeks(C23,$N$18)</f>
        <v>9.2438279767034413</v>
      </c>
      <c r="P23" s="61">
        <f ca="1">_xll.qlInstGetOptionGreeks(D23,$N$18)</f>
        <v>15.325722654863922</v>
      </c>
      <c r="Q23" s="45">
        <f ca="1">_xll.qlInstGetOptionGreeks(B23,$Q$18)</f>
        <v>-0.6833510072563489</v>
      </c>
      <c r="R23" s="46">
        <f ca="1">_xll.qlInstGetOptionGreeks(C23,$Q$18)</f>
        <v>-1.2919122294904239</v>
      </c>
      <c r="S23" s="47">
        <f ca="1">_xll.qlInstGetOptionGreeks(D23,$Q$18)</f>
        <v>-1.854198064458386</v>
      </c>
      <c r="T23" s="59">
        <f ca="1">_xll.qlInstGetOptionGreeks(B23,$T$18)</f>
        <v>1.467429257920569</v>
      </c>
      <c r="U23" s="60">
        <f ca="1">_xll.qlInstGetOptionGreeks(C23,$T$18)</f>
        <v>4.5955605638651971</v>
      </c>
      <c r="V23" s="61">
        <f ca="1">_xll.qlInstGetOptionGreeks(D23,$T$18)</f>
        <v>9.6170513081242479</v>
      </c>
    </row>
    <row r="24" spans="1:22" x14ac:dyDescent="0.25">
      <c r="A24" s="31">
        <v>70</v>
      </c>
      <c r="B24" s="36" t="str">
        <f ca="1">_xll.qlInstEuropeanOptionBlackScholes(B$19&amp;"_"&amp;$A24,$B$9,$A24,$B$3,B$19,$B$4,$D$4,$D$3)</f>
        <v>OPTION@42476_70#21:33:25</v>
      </c>
      <c r="C24" s="37" t="str">
        <f ca="1">_xll.qlInstEuropeanOptionBlackScholes(C$19&amp;"_"&amp;$A24,$B$9,$A24,$B$3,C$19,$B$4,$D$4,$D$3)</f>
        <v>OPTION@42576_70#21:33:25</v>
      </c>
      <c r="D24" s="38" t="str">
        <f ca="1">_xll.qlInstEuropeanOptionBlackScholes(D$19&amp;"_"&amp;$A24,$B$9,$A24,$B$3,D$19,$B$4,$D$4,$D$3)</f>
        <v>OPTION@42676_70#21:33:25</v>
      </c>
      <c r="E24" s="45">
        <f ca="1">_xll.qlInstGetOptionGreeks(B24,$E$18)</f>
        <v>0.37324319450865912</v>
      </c>
      <c r="F24" s="46">
        <f ca="1">_xll.qlInstGetOptionGreeks(C24,$E$18)</f>
        <v>0.90722508331600327</v>
      </c>
      <c r="G24" s="47">
        <f ca="1">_xll.qlInstGetOptionGreeks(D24,$E$18)</f>
        <v>1.6306531924377252</v>
      </c>
      <c r="H24" s="59">
        <f ca="1">_xll.qlInstGetOptionGreeks(B24,$H$18)</f>
        <v>7.1930922398247249E-2</v>
      </c>
      <c r="I24" s="60">
        <f ca="1">_xll.qlInstGetOptionGreeks(C24,$H$18)</f>
        <v>0.13521806683737481</v>
      </c>
      <c r="J24" s="61">
        <f ca="1">_xll.qlInstGetOptionGreeks(D24,$H$18)</f>
        <v>0.19997250028043442</v>
      </c>
      <c r="K24" s="45">
        <f ca="1">_xll.qlInstGetOptionGreeks(B24,$K$18)</f>
        <v>1.0967844472504033E-2</v>
      </c>
      <c r="L24" s="46">
        <f ca="1">_xll.qlInstGetOptionGreeks(C24,$K$18)</f>
        <v>1.5000560622435495E-2</v>
      </c>
      <c r="M24" s="47">
        <f ca="1">_xll.qlInstGetOptionGreeks(D24,$K$18)</f>
        <v>1.7240136809422019E-2</v>
      </c>
      <c r="N24" s="59">
        <f ca="1">_xll.qlInstGetOptionGreeks(B24,$N$18)</f>
        <v>8.5693421552567077</v>
      </c>
      <c r="O24" s="60">
        <f ca="1">_xll.qlInstGetOptionGreeks(C24,$N$18)</f>
        <v>15.747711833711888</v>
      </c>
      <c r="P24" s="61">
        <f ca="1">_xll.qlInstGetOptionGreeks(D24,$N$18)</f>
        <v>22.727695972486817</v>
      </c>
      <c r="Q24" s="45">
        <f ca="1">_xll.qlInstGetOptionGreeks(B24,$Q$18)</f>
        <v>-1.5410408956422603</v>
      </c>
      <c r="R24" s="46">
        <f ca="1">_xll.qlInstGetOptionGreeks(C24,$Q$18)</f>
        <v>-2.3258589005287034</v>
      </c>
      <c r="S24" s="47">
        <f ca="1">_xll.qlInstGetOptionGreeks(D24,$Q$18)</f>
        <v>-2.9262755900426272</v>
      </c>
      <c r="T24" s="59">
        <f ca="1">_xll.qlInstGetOptionGreeks(B24,$T$18)</f>
        <v>3.716764711370613</v>
      </c>
      <c r="U24" s="60">
        <f ca="1">_xll.qlInstGetOptionGreeks(C24,$T$18)</f>
        <v>9.1676533746914828</v>
      </c>
      <c r="V24" s="61">
        <f ca="1">_xll.qlInstGetOptionGreeks(D24,$T$18)</f>
        <v>16.636723608634529</v>
      </c>
    </row>
    <row r="25" spans="1:22" x14ac:dyDescent="0.25">
      <c r="A25" s="31">
        <v>75</v>
      </c>
      <c r="B25" s="36" t="str">
        <f ca="1">_xll.qlInstEuropeanOptionBlackScholes(B$19&amp;"_"&amp;$A25,$B$9,$A25,$B$3,B$19,$B$4,$D$4,$D$3)</f>
        <v>OPTION@42476_75#21:33:25</v>
      </c>
      <c r="C25" s="37" t="str">
        <f ca="1">_xll.qlInstEuropeanOptionBlackScholes(C$19&amp;"_"&amp;$A25,$B$9,$A25,$B$3,C$19,$B$4,$D$4,$D$3)</f>
        <v>OPTION@42576_75#21:33:25</v>
      </c>
      <c r="D25" s="38" t="str">
        <f ca="1">_xll.qlInstEuropeanOptionBlackScholes(D$19&amp;"_"&amp;$A25,$B$9,$A25,$B$3,D$19,$B$4,$D$4,$D$3)</f>
        <v>OPTION@42676_75#21:33:25</v>
      </c>
      <c r="E25" s="45">
        <f ca="1">_xll.qlInstGetOptionGreeks(B25,$E$18)</f>
        <v>0.89390026970488556</v>
      </c>
      <c r="F25" s="46">
        <f ca="1">_xll.qlInstGetOptionGreeks(C25,$E$18)</f>
        <v>1.7891952826102135</v>
      </c>
      <c r="G25" s="47">
        <f ca="1">_xll.qlInstGetOptionGreeks(D25,$E$18)</f>
        <v>2.8580940544538458</v>
      </c>
      <c r="H25" s="59">
        <f ca="1">_xll.qlInstGetOptionGreeks(B25,$H$18)</f>
        <v>0.14113903328566313</v>
      </c>
      <c r="I25" s="60">
        <f ca="1">_xll.qlInstGetOptionGreeks(C25,$H$18)</f>
        <v>0.22101758070957733</v>
      </c>
      <c r="J25" s="61">
        <f ca="1">_xll.qlInstGetOptionGreeks(D25,$H$18)</f>
        <v>0.29312000292927781</v>
      </c>
      <c r="K25" s="45">
        <f ca="1">_xll.qlInstGetOptionGreeks(B25,$K$18)</f>
        <v>1.6710026753419167E-2</v>
      </c>
      <c r="L25" s="46">
        <f ca="1">_xll.qlInstGetOptionGreeks(C25,$K$18)</f>
        <v>1.9122480787142029E-2</v>
      </c>
      <c r="M25" s="47">
        <f ca="1">_xll.qlInstGetOptionGreeks(D25,$K$18)</f>
        <v>1.9773958317437983E-2</v>
      </c>
      <c r="N25" s="59">
        <f ca="1">_xll.qlInstGetOptionGreeks(B25,$N$18)</f>
        <v>14.987520570960557</v>
      </c>
      <c r="O25" s="60">
        <f ca="1">_xll.qlInstGetOptionGreeks(C25,$N$18)</f>
        <v>23.045208866422165</v>
      </c>
      <c r="P25" s="61">
        <f ca="1">_xll.qlInstGetOptionGreeks(D25,$N$18)</f>
        <v>29.925041713958358</v>
      </c>
      <c r="Q25" s="45">
        <f ca="1">_xll.qlInstGetOptionGreeks(B25,$Q$18)</f>
        <v>-2.8490307324316411</v>
      </c>
      <c r="R25" s="46">
        <f ca="1">_xll.qlInstGetOptionGreeks(C25,$Q$18)</f>
        <v>-3.6299914156142861</v>
      </c>
      <c r="S25" s="47">
        <f ca="1">_xll.qlInstGetOptionGreeks(D25,$Q$18)</f>
        <v>-4.137160927235974</v>
      </c>
      <c r="T25" s="59">
        <f ca="1">_xll.qlInstGetOptionGreeks(B25,$T$18)</f>
        <v>7.7266696519876223</v>
      </c>
      <c r="U25" s="60">
        <f ca="1">_xll.qlInstGetOptionGreeks(C25,$T$18)</f>
        <v>15.840452599473307</v>
      </c>
      <c r="V25" s="61">
        <f ca="1">_xll.qlInstGetOptionGreeks(D25,$T$18)</f>
        <v>25.728273772969384</v>
      </c>
    </row>
    <row r="26" spans="1:22" x14ac:dyDescent="0.25">
      <c r="A26" s="31">
        <v>80</v>
      </c>
      <c r="B26" s="36" t="str">
        <f ca="1">_xll.qlInstEuropeanOptionBlackScholes(B$19&amp;"_"&amp;$A26,$B$9,$A26,$B$3,B$19,$B$4,$D$4,$D$3)</f>
        <v>OPTION@42476_80#21:33:25</v>
      </c>
      <c r="C26" s="37" t="str">
        <f ca="1">_xll.qlInstEuropeanOptionBlackScholes(C$19&amp;"_"&amp;$A26,$B$9,$A26,$B$3,C$19,$B$4,$D$4,$D$3)</f>
        <v>OPTION@42576_80#21:33:25</v>
      </c>
      <c r="D26" s="38" t="str">
        <f ca="1">_xll.qlInstEuropeanOptionBlackScholes(D$19&amp;"_"&amp;$A26,$B$9,$A26,$B$3,D$19,$B$4,$D$4,$D$3)</f>
        <v>OPTION@42676_80#21:33:25</v>
      </c>
      <c r="E26" s="45">
        <f ca="1">_xll.qlInstGetOptionGreeks(B26,$E$18)</f>
        <v>1.8305984114515643</v>
      </c>
      <c r="F26" s="46">
        <f ca="1">_xll.qlInstGetOptionGreeks(C26,$E$18)</f>
        <v>3.1459573751108341</v>
      </c>
      <c r="G26" s="47">
        <f ca="1">_xll.qlInstGetOptionGreeks(D26,$E$18)</f>
        <v>4.5765957238084507</v>
      </c>
      <c r="H26" s="59">
        <f ca="1">_xll.qlInstGetOptionGreeks(B26,$H$18)</f>
        <v>0.23767071178891153</v>
      </c>
      <c r="I26" s="60">
        <f ca="1">_xll.qlInstGetOptionGreeks(C26,$H$18)</f>
        <v>0.3238420189008181</v>
      </c>
      <c r="J26" s="61">
        <f ca="1">_xll.qlInstGetOptionGreeks(D26,$H$18)</f>
        <v>0.39509314154462483</v>
      </c>
      <c r="K26" s="45">
        <f ca="1">_xll.qlInstGetOptionGreeks(B26,$K$18)</f>
        <v>2.1644447511278281E-2</v>
      </c>
      <c r="L26" s="46">
        <f ca="1">_xll.qlInstGetOptionGreeks(C26,$K$18)</f>
        <v>2.1702049015535071E-2</v>
      </c>
      <c r="M26" s="47">
        <f ca="1">_xll.qlInstGetOptionGreeks(D26,$K$18)</f>
        <v>2.0750251227885819E-2</v>
      </c>
      <c r="N26" s="59">
        <f ca="1">_xll.qlInstGetOptionGreeks(B26,$N$18)</f>
        <v>22.088010435618962</v>
      </c>
      <c r="O26" s="60">
        <f ca="1">_xll.qlInstGetOptionGreeks(C26,$N$18)</f>
        <v>29.757373948753411</v>
      </c>
      <c r="P26" s="61">
        <f ca="1">_xll.qlInstGetOptionGreeks(D26,$N$18)</f>
        <v>35.729090114251186</v>
      </c>
      <c r="Q26" s="45">
        <f ca="1">_xll.qlInstGetOptionGreeks(B26,$Q$18)</f>
        <v>-4.4887951346097559</v>
      </c>
      <c r="R26" s="46">
        <f ca="1">_xll.qlInstGetOptionGreeks(C26,$Q$18)</f>
        <v>-5.0540026876839503</v>
      </c>
      <c r="S26" s="47">
        <f ca="1">_xll.qlInstGetOptionGreeks(D26,$Q$18)</f>
        <v>-5.3591177171455397</v>
      </c>
      <c r="T26" s="59">
        <f ca="1">_xll.qlInstGetOptionGreeks(B26,$T$18)</f>
        <v>13.699369952639605</v>
      </c>
      <c r="U26" s="60">
        <f ca="1">_xll.qlInstGetOptionGreeks(C26,$T$18)</f>
        <v>24.38276443164181</v>
      </c>
      <c r="V26" s="61">
        <f ca="1">_xll.qlInstGetOptionGreeks(D26,$T$18)</f>
        <v>36.362055067076525</v>
      </c>
    </row>
    <row r="27" spans="1:22" x14ac:dyDescent="0.25">
      <c r="A27" s="31">
        <v>85</v>
      </c>
      <c r="B27" s="36" t="str">
        <f ca="1">_xll.qlInstEuropeanOptionBlackScholes(B$19&amp;"_"&amp;$A27,$B$9,$A27,$B$3,B$19,$B$4,$D$4,$D$3)</f>
        <v>OPTION@42476_85#21:33:25</v>
      </c>
      <c r="C27" s="37" t="str">
        <f ca="1">_xll.qlInstEuropeanOptionBlackScholes(C$19&amp;"_"&amp;$A27,$B$9,$A27,$B$3,C$19,$B$4,$D$4,$D$3)</f>
        <v>OPTION@42576_85#21:33:25</v>
      </c>
      <c r="D27" s="38" t="str">
        <f ca="1">_xll.qlInstEuropeanOptionBlackScholes(D$19&amp;"_"&amp;$A27,$B$9,$A27,$B$3,D$19,$B$4,$D$4,$D$3)</f>
        <v>OPTION@42676_85#21:33:25</v>
      </c>
      <c r="E27" s="45">
        <f ca="1">_xll.qlInstGetOptionGreeks(B27,$E$18)</f>
        <v>3.3039977740072293</v>
      </c>
      <c r="F27" s="46">
        <f ca="1">_xll.qlInstGetOptionGreeks(C27,$E$18)</f>
        <v>5.0412316721327306</v>
      </c>
      <c r="G27" s="47">
        <f ca="1">_xll.qlInstGetOptionGreeks(D27,$E$18)</f>
        <v>6.8107134702583103</v>
      </c>
      <c r="H27" s="59">
        <f ca="1">_xll.qlInstGetOptionGreeks(B27,$H$18)</f>
        <v>0.35407884483832458</v>
      </c>
      <c r="I27" s="60">
        <f ca="1">_xll.qlInstGetOptionGreeks(C27,$H$18)</f>
        <v>0.43482210485238854</v>
      </c>
      <c r="J27" s="61">
        <f ca="1">_xll.qlInstGetOptionGreeks(D27,$H$18)</f>
        <v>0.49811804420639977</v>
      </c>
      <c r="K27" s="45">
        <f ca="1">_xll.qlInstGetOptionGreeks(B27,$K$18)</f>
        <v>2.4503804818030987E-2</v>
      </c>
      <c r="L27" s="46">
        <f ca="1">_xll.qlInstGetOptionGreeks(C27,$K$18)</f>
        <v>2.2370255155737331E-2</v>
      </c>
      <c r="M27" s="47">
        <f ca="1">_xll.qlInstGetOptionGreeks(D27,$K$18)</f>
        <v>2.0233079980720547E-2</v>
      </c>
      <c r="N27" s="59">
        <f ca="1">_xll.qlInstGetOptionGreeks(B27,$N$18)</f>
        <v>28.229390156049163</v>
      </c>
      <c r="O27" s="60">
        <f ca="1">_xll.qlInstGetOptionGreeks(C27,$N$18)</f>
        <v>34.627622771824164</v>
      </c>
      <c r="P27" s="61">
        <f ca="1">_xll.qlInstGetOptionGreeks(D27,$N$18)</f>
        <v>39.329504331291297</v>
      </c>
      <c r="Q27" s="45">
        <f ca="1">_xll.qlInstGetOptionGreeks(B27,$Q$18)</f>
        <v>-6.2200701999305155</v>
      </c>
      <c r="R27" s="46">
        <f ca="1">_xll.qlInstGetOptionGreeks(C27,$Q$18)</f>
        <v>-6.4243665940360728</v>
      </c>
      <c r="S27" s="47">
        <f ca="1">_xll.qlInstGetOptionGreeks(D27,$Q$18)</f>
        <v>-6.4766120859426888</v>
      </c>
      <c r="T27" s="59">
        <f ca="1">_xll.qlInstGetOptionGreeks(B27,$T$18)</f>
        <v>21.360758561205092</v>
      </c>
      <c r="U27" s="60">
        <f ca="1">_xll.qlInstGetOptionGreeks(C27,$T$18)</f>
        <v>34.192304304014343</v>
      </c>
      <c r="V27" s="61">
        <f ca="1">_xll.qlInstGetOptionGreeks(D27,$T$18)</f>
        <v>47.794236331663747</v>
      </c>
    </row>
    <row r="28" spans="1:22" x14ac:dyDescent="0.25">
      <c r="A28" s="31">
        <v>90</v>
      </c>
      <c r="B28" s="36" t="str">
        <f ca="1">_xll.qlInstEuropeanOptionBlackScholes(B$19&amp;"_"&amp;$A28,$B$9,$A28,$B$3,B$19,$B$4,$D$4,$D$3)</f>
        <v>OPTION@42476_90#21:33:25</v>
      </c>
      <c r="C28" s="37" t="str">
        <f ca="1">_xll.qlInstEuropeanOptionBlackScholes(C$19&amp;"_"&amp;$A28,$B$9,$A28,$B$3,C$19,$B$4,$D$4,$D$3)</f>
        <v>OPTION@42576_90#21:33:25</v>
      </c>
      <c r="D28" s="38" t="str">
        <f ca="1">_xll.qlInstEuropeanOptionBlackScholes(D$19&amp;"_"&amp;$A28,$B$9,$A28,$B$3,D$19,$B$4,$D$4,$D$3)</f>
        <v>OPTION@42676_90#21:33:25</v>
      </c>
      <c r="E28" s="45">
        <f ca="1">_xll.qlInstGetOptionGreeks(B28,$E$18)</f>
        <v>5.384532414516447</v>
      </c>
      <c r="F28" s="46">
        <f ca="1">_xll.qlInstGetOptionGreeks(C28,$E$18)</f>
        <v>7.4920630953057659</v>
      </c>
      <c r="G28" s="47">
        <f ca="1">_xll.qlInstGetOptionGreeks(D28,$E$18)</f>
        <v>9.5482375546735891</v>
      </c>
      <c r="H28" s="59">
        <f ca="1">_xll.qlInstGetOptionGreeks(B28,$H$18)</f>
        <v>0.47836491558642569</v>
      </c>
      <c r="I28" s="60">
        <f ca="1">_xll.qlInstGetOptionGreeks(C28,$H$18)</f>
        <v>0.54459470173601021</v>
      </c>
      <c r="J28" s="61">
        <f ca="1">_xll.qlInstGetOptionGreeks(D28,$H$18)</f>
        <v>0.59549028241967705</v>
      </c>
      <c r="K28" s="45">
        <f ca="1">_xll.qlInstGetOptionGreeks(B28,$K$18)</f>
        <v>2.4785531626622743E-2</v>
      </c>
      <c r="L28" s="46">
        <f ca="1">_xll.qlInstGetOptionGreeks(C28,$K$18)</f>
        <v>2.1279966177590651E-2</v>
      </c>
      <c r="M28" s="47">
        <f ca="1">_xll.qlInstGetOptionGreeks(D28,$K$18)</f>
        <v>1.8559175046295229E-2</v>
      </c>
      <c r="N28" s="59">
        <f ca="1">_xll.qlInstGetOptionGreeks(B28,$N$18)</f>
        <v>32.012041971020537</v>
      </c>
      <c r="O28" s="60">
        <f ca="1">_xll.qlInstGetOptionGreeks(C28,$N$18)</f>
        <v>36.929195003313623</v>
      </c>
      <c r="P28" s="61">
        <f ca="1">_xll.qlInstGetOptionGreeks(D28,$N$18)</f>
        <v>40.444764425545642</v>
      </c>
      <c r="Q28" s="45">
        <f ca="1">_xll.qlInstGetOptionGreeks(B28,$Q$18)</f>
        <v>-7.7820871223390728</v>
      </c>
      <c r="R28" s="46">
        <f ca="1">_xll.qlInstGetOptionGreeks(C28,$Q$18)</f>
        <v>-7.599500526863201</v>
      </c>
      <c r="S28" s="47">
        <f ca="1">_xll.qlInstGetOptionGreeks(D28,$Q$18)</f>
        <v>-7.4111751438095652</v>
      </c>
      <c r="T28" s="59">
        <f ca="1">_xll.qlInstGetOptionGreeks(B28,$T$18)</f>
        <v>30.031447141326542</v>
      </c>
      <c r="U28" s="60">
        <f ca="1">_xll.qlInstGetOptionGreeks(C28,$T$18)</f>
        <v>44.479153106371655</v>
      </c>
      <c r="V28" s="61">
        <f ca="1">_xll.qlInstGetOptionGreeks(D28,$T$18)</f>
        <v>59.250769700769318</v>
      </c>
    </row>
    <row r="29" spans="1:22" x14ac:dyDescent="0.25">
      <c r="A29" s="31">
        <v>95</v>
      </c>
      <c r="B29" s="36" t="str">
        <f ca="1">_xll.qlInstEuropeanOptionBlackScholes(B$19&amp;"_"&amp;$A29,$B$9,$A29,$B$3,B$19,$B$4,$D$4,$D$3)</f>
        <v>OPTION@42476_95#21:33:25</v>
      </c>
      <c r="C29" s="37" t="str">
        <f ca="1">_xll.qlInstEuropeanOptionBlackScholes(C$19&amp;"_"&amp;$A29,$B$9,$A29,$B$3,C$19,$B$4,$D$4,$D$3)</f>
        <v>OPTION@42576_95#21:33:25</v>
      </c>
      <c r="D29" s="38" t="str">
        <f ca="1">_xll.qlInstEuropeanOptionBlackScholes(D$19&amp;"_"&amp;$A29,$B$9,$A29,$B$3,D$19,$B$4,$D$4,$D$3)</f>
        <v>OPTION@42676_95#21:33:25</v>
      </c>
      <c r="E29" s="45">
        <f ca="1">_xll.qlInstGetOptionGreeks(B29,$E$18)</f>
        <v>8.079930948107787</v>
      </c>
      <c r="F29" s="46">
        <f ca="1">_xll.qlInstGetOptionGreeks(C29,$E$18)</f>
        <v>10.472242802833531</v>
      </c>
      <c r="G29" s="47">
        <f ca="1">_xll.qlInstGetOptionGreeks(D29,$E$18)</f>
        <v>12.748262204463847</v>
      </c>
      <c r="H29" s="59">
        <f ca="1">_xll.qlInstGetOptionGreeks(B29,$H$18)</f>
        <v>0.59812857722752877</v>
      </c>
      <c r="I29" s="60">
        <f ca="1">_xll.qlInstGetOptionGreeks(C29,$H$18)</f>
        <v>0.6455037374359206</v>
      </c>
      <c r="J29" s="61">
        <f ca="1">_xll.qlInstGetOptionGreeks(D29,$H$18)</f>
        <v>0.68252587992902736</v>
      </c>
      <c r="K29" s="45">
        <f ca="1">_xll.qlInstGetOptionGreeks(B29,$K$18)</f>
        <v>2.2800607200497772E-2</v>
      </c>
      <c r="L29" s="46">
        <f ca="1">_xll.qlInstGetOptionGreeks(C29,$K$18)</f>
        <v>1.8922089523108275E-2</v>
      </c>
      <c r="M29" s="47">
        <f ca="1">_xll.qlInstGetOptionGreeks(D29,$K$18)</f>
        <v>1.6173907885608338E-2</v>
      </c>
      <c r="N29" s="59">
        <f ca="1">_xll.qlInstGetOptionGreeks(B29,$N$18)</f>
        <v>32.811323109856041</v>
      </c>
      <c r="O29" s="60">
        <f ca="1">_xll.qlInstGetOptionGreeks(C29,$N$18)</f>
        <v>36.587285729811732</v>
      </c>
      <c r="P29" s="61">
        <f ca="1">_xll.qlInstGetOptionGreeks(D29,$N$18)</f>
        <v>39.271799268930998</v>
      </c>
      <c r="Q29" s="45">
        <f ca="1">_xll.qlInstGetOptionGreeks(B29,$Q$18)</f>
        <v>-8.9897379885405932</v>
      </c>
      <c r="R29" s="46">
        <f ca="1">_xll.qlInstGetOptionGreeks(C29,$Q$18)</f>
        <v>-8.5004983842789326</v>
      </c>
      <c r="S29" s="47">
        <f ca="1">_xll.qlInstGetOptionGreeks(D29,$Q$18)</f>
        <v>-8.1285600122316843</v>
      </c>
      <c r="T29" s="59">
        <f ca="1">_xll.qlInstGetOptionGreeks(B29,$T$18)</f>
        <v>38.860286607001846</v>
      </c>
      <c r="U29" s="60">
        <f ca="1">_xll.qlInstGetOptionGreeks(C29,$T$18)</f>
        <v>54.472847646984562</v>
      </c>
      <c r="V29" s="61">
        <f ca="1">_xll.qlInstGetOptionGreeks(D29,$T$18)</f>
        <v>70.074035416158168</v>
      </c>
    </row>
    <row r="30" spans="1:22" x14ac:dyDescent="0.25">
      <c r="A30" s="31">
        <v>100</v>
      </c>
      <c r="B30" s="36" t="str">
        <f ca="1">_xll.qlInstEuropeanOptionBlackScholes(B$19&amp;"_"&amp;$A30,$B$9,$A30,$B$3,B$19,$B$4,$D$4,$D$3)</f>
        <v>OPTION@42476_100#21:33:25</v>
      </c>
      <c r="C30" s="37" t="str">
        <f ca="1">_xll.qlInstEuropeanOptionBlackScholes(C$19&amp;"_"&amp;$A30,$B$9,$A30,$B$3,C$19,$B$4,$D$4,$D$3)</f>
        <v>OPTION@42576_100#21:33:25</v>
      </c>
      <c r="D30" s="38" t="str">
        <f ca="1">_xll.qlInstEuropeanOptionBlackScholes(D$19&amp;"_"&amp;$A30,$B$9,$A30,$B$3,D$19,$B$4,$D$4,$D$3)</f>
        <v>OPTION@42676_100#21:33:25</v>
      </c>
      <c r="E30" s="45">
        <f ca="1">_xll.qlInstGetOptionGreeks(B30,$E$18)</f>
        <v>11.342290587424749</v>
      </c>
      <c r="F30" s="46">
        <f ca="1">_xll.qlInstGetOptionGreeks(C30,$E$18)</f>
        <v>13.924084340625054</v>
      </c>
      <c r="G30" s="47">
        <f ca="1">_xll.qlInstGetOptionGreeks(D30,$E$18)</f>
        <v>16.352043469965011</v>
      </c>
      <c r="H30" s="59">
        <f ca="1">_xll.qlInstGetOptionGreeks(B30,$H$18)</f>
        <v>0.70392969570458674</v>
      </c>
      <c r="I30" s="60">
        <f ca="1">_xll.qlInstGetOptionGreeks(C30,$H$18)</f>
        <v>0.73270093950444937</v>
      </c>
      <c r="J30" s="61">
        <f ca="1">_xll.qlInstGetOptionGreeks(D30,$H$18)</f>
        <v>0.75675363293679243</v>
      </c>
      <c r="K30" s="45">
        <f ca="1">_xll.qlInstGetOptionGreeks(B30,$K$18)</f>
        <v>1.9353333259510629E-2</v>
      </c>
      <c r="L30" s="46">
        <f ca="1">_xll.qlInstGetOptionGreeks(C30,$K$18)</f>
        <v>1.5892661331711185E-2</v>
      </c>
      <c r="M30" s="47">
        <f ca="1">_xll.qlInstGetOptionGreeks(D30,$K$18)</f>
        <v>1.3499789582157876E-2</v>
      </c>
      <c r="N30" s="59">
        <f ca="1">_xll.qlInstGetOptionGreeks(B30,$N$18)</f>
        <v>30.859287553521042</v>
      </c>
      <c r="O30" s="60">
        <f ca="1">_xll.qlInstGetOptionGreeks(C30,$N$18)</f>
        <v>34.049482633967521</v>
      </c>
      <c r="P30" s="61">
        <f ca="1">_xll.qlInstGetOptionGreeks(D30,$N$18)</f>
        <v>36.319981834737085</v>
      </c>
      <c r="Q30" s="45">
        <f ca="1">_xll.qlInstGetOptionGreeks(B30,$Q$18)</f>
        <v>-9.7757345502055202</v>
      </c>
      <c r="R30" s="46">
        <f ca="1">_xll.qlInstGetOptionGreeks(C30,$Q$18)</f>
        <v>-9.1131332273242212</v>
      </c>
      <c r="S30" s="47">
        <f ca="1">_xll.qlInstGetOptionGreeks(D30,$Q$18)</f>
        <v>-8.6322898988030019</v>
      </c>
      <c r="T30" s="59">
        <f ca="1">_xll.qlInstGetOptionGreeks(B30,$T$18)</f>
        <v>47.078760504281846</v>
      </c>
      <c r="U30" s="60">
        <f ca="1">_xll.qlInstGetOptionGreeks(C30,$T$18)</f>
        <v>63.57339659572488</v>
      </c>
      <c r="V30" s="61">
        <f ca="1">_xll.qlInstGetOptionGreeks(D30,$T$18)</f>
        <v>79.802054886147076</v>
      </c>
    </row>
    <row r="31" spans="1:22" x14ac:dyDescent="0.25">
      <c r="A31" s="31">
        <v>105</v>
      </c>
      <c r="B31" s="36" t="str">
        <f ca="1">_xll.qlInstEuropeanOptionBlackScholes(B$19&amp;"_"&amp;$A31,$B$9,$A31,$B$3,B$19,$B$4,$D$4,$D$3)</f>
        <v>OPTION@42476_105#21:33:25</v>
      </c>
      <c r="C31" s="37" t="str">
        <f ca="1">_xll.qlInstEuropeanOptionBlackScholes(C$19&amp;"_"&amp;$A31,$B$9,$A31,$B$3,C$19,$B$4,$D$4,$D$3)</f>
        <v>OPTION@42576_105#21:33:25</v>
      </c>
      <c r="D31" s="38" t="str">
        <f ca="1">_xll.qlInstEuropeanOptionBlackScholes(D$19&amp;"_"&amp;$A31,$B$9,$A31,$B$3,D$19,$B$4,$D$4,$D$3)</f>
        <v>OPTION@42676_105#21:33:25</v>
      </c>
      <c r="E31" s="45">
        <f ca="1">_xll.qlInstGetOptionGreeks(B31,$E$18)</f>
        <v>15.087323685544307</v>
      </c>
      <c r="F31" s="46">
        <f ca="1">_xll.qlInstGetOptionGreeks(C31,$E$18)</f>
        <v>17.772954491735508</v>
      </c>
      <c r="G31" s="47">
        <f ca="1">_xll.qlInstGetOptionGreeks(D31,$E$18)</f>
        <v>20.293410541170562</v>
      </c>
      <c r="H31" s="59">
        <f ca="1">_xll.qlInstGetOptionGreeks(B31,$H$18)</f>
        <v>0.79072808571461661</v>
      </c>
      <c r="I31" s="60">
        <f ca="1">_xll.qlInstGetOptionGreeks(C31,$H$18)</f>
        <v>0.80419539259775552</v>
      </c>
      <c r="J31" s="61">
        <f ca="1">_xll.qlInstGetOptionGreeks(D31,$H$18)</f>
        <v>0.81759326167694824</v>
      </c>
      <c r="K31" s="45">
        <f ca="1">_xll.qlInstGetOptionGreeks(B31,$K$18)</f>
        <v>1.5338732872480802E-2</v>
      </c>
      <c r="L31" s="46">
        <f ca="1">_xll.qlInstGetOptionGreeks(C31,$K$18)</f>
        <v>1.2716742762458115E-2</v>
      </c>
      <c r="M31" s="47">
        <f ca="1">_xll.qlInstGetOptionGreeks(D31,$K$18)</f>
        <v>1.086333546376035E-2</v>
      </c>
      <c r="N31" s="59">
        <f ca="1">_xll.qlInstGetOptionGreeks(B31,$N$18)</f>
        <v>26.964862030936107</v>
      </c>
      <c r="O31" s="60">
        <f ca="1">_xll.qlInstGetOptionGreeks(C31,$N$18)</f>
        <v>30.037817414704339</v>
      </c>
      <c r="P31" s="61">
        <f ca="1">_xll.qlInstGetOptionGreeks(D31,$N$18)</f>
        <v>32.222587552102645</v>
      </c>
      <c r="Q31" s="45">
        <f ca="1">_xll.qlInstGetOptionGreeks(B31,$Q$18)</f>
        <v>-10.176103129831061</v>
      </c>
      <c r="R31" s="46">
        <f ca="1">_xll.qlInstGetOptionGreeks(C31,$Q$18)</f>
        <v>-9.4707979522248937</v>
      </c>
      <c r="S31" s="47">
        <f ca="1">_xll.qlInstGetOptionGreeks(D31,$Q$18)</f>
        <v>-8.9507536632500599</v>
      </c>
      <c r="T31" s="59">
        <f ca="1">_xll.qlInstGetOptionGreeks(B31,$T$18)</f>
        <v>54.165165661689691</v>
      </c>
      <c r="U31" s="60">
        <f ca="1">_xll.qlInstGetOptionGreeks(C31,$T$18)</f>
        <v>71.416483936526745</v>
      </c>
      <c r="V31" s="61">
        <f ca="1">_xll.qlInstGetOptionGreeks(D31,$T$18)</f>
        <v>88.183441178192638</v>
      </c>
    </row>
    <row r="32" spans="1:22" x14ac:dyDescent="0.25">
      <c r="A32" s="31">
        <v>110</v>
      </c>
      <c r="B32" s="36" t="str">
        <f ca="1">_xll.qlInstEuropeanOptionBlackScholes(B$19&amp;"_"&amp;$A32,$B$9,$A32,$B$3,B$19,$B$4,$D$4,$D$3)</f>
        <v>OPTION@42476_110#21:33:25</v>
      </c>
      <c r="C32" s="37" t="str">
        <f ca="1">_xll.qlInstEuropeanOptionBlackScholes(C$19&amp;"_"&amp;$A32,$B$9,$A32,$B$3,C$19,$B$4,$D$4,$D$3)</f>
        <v>OPTION@42576_110#21:33:25</v>
      </c>
      <c r="D32" s="38" t="str">
        <f ca="1">_xll.qlInstEuropeanOptionBlackScholes(D$19&amp;"_"&amp;$A32,$B$9,$A32,$B$3,D$19,$B$4,$D$4,$D$3)</f>
        <v>OPTION@42676_110#21:33:25</v>
      </c>
      <c r="E32" s="45">
        <f ca="1">_xll.qlInstGetOptionGreeks(B32,$E$18)</f>
        <v>19.216148023073632</v>
      </c>
      <c r="F32" s="46">
        <f ca="1">_xll.qlInstGetOptionGreeks(C32,$E$18)</f>
        <v>21.940224268005707</v>
      </c>
      <c r="G32" s="47">
        <f ca="1">_xll.qlInstGetOptionGreeks(D32,$E$18)</f>
        <v>24.506887238393787</v>
      </c>
      <c r="H32" s="59">
        <f ca="1">_xll.qlInstGetOptionGreeks(B32,$H$18)</f>
        <v>0.85756683609394413</v>
      </c>
      <c r="I32" s="60">
        <f ca="1">_xll.qlInstGetOptionGreeks(C32,$H$18)</f>
        <v>0.86024844612018814</v>
      </c>
      <c r="J32" s="61">
        <f ca="1">_xll.qlInstGetOptionGreeks(D32,$H$18)</f>
        <v>0.86580502589473085</v>
      </c>
      <c r="K32" s="45">
        <f ca="1">_xll.qlInstGetOptionGreeks(B32,$K$18)</f>
        <v>1.1463845493936857E-2</v>
      </c>
      <c r="L32" s="46">
        <f ca="1">_xll.qlInstGetOptionGreeks(C32,$K$18)</f>
        <v>9.76316877158135E-3</v>
      </c>
      <c r="M32" s="47">
        <f ca="1">_xll.qlInstGetOptionGreeks(D32,$K$18)</f>
        <v>8.4741656599965683E-3</v>
      </c>
      <c r="N32" s="59">
        <f ca="1">_xll.qlInstGetOptionGreeks(B32,$N$18)</f>
        <v>22.117998010247145</v>
      </c>
      <c r="O32" s="60">
        <f ca="1">_xll.qlInstGetOptionGreeks(C32,$N$18)</f>
        <v>25.309878233001943</v>
      </c>
      <c r="P32" s="61">
        <f ca="1">_xll.qlInstGetOptionGreeks(D32,$N$18)</f>
        <v>27.586775672660604</v>
      </c>
      <c r="Q32" s="45">
        <f ca="1">_xll.qlInstGetOptionGreeks(B32,$Q$18)</f>
        <v>-10.285871004258743</v>
      </c>
      <c r="R32" s="46">
        <f ca="1">_xll.qlInstGetOptionGreeks(C32,$Q$18)</f>
        <v>-9.6313973232441814</v>
      </c>
      <c r="S32" s="47">
        <f ca="1">_xll.qlInstGetOptionGreeks(D32,$Q$18)</f>
        <v>-9.1239146507218329</v>
      </c>
      <c r="T32" s="59">
        <f ca="1">_xll.qlInstGetOptionGreeks(B32,$T$18)</f>
        <v>59.887165338774615</v>
      </c>
      <c r="U32" s="60">
        <f ca="1">_xll.qlInstGetOptionGreeks(C32,$T$18)</f>
        <v>77.864816380381029</v>
      </c>
      <c r="V32" s="61">
        <f ca="1">_xll.qlInstGetOptionGreeks(D32,$T$18)</f>
        <v>95.14862414937825</v>
      </c>
    </row>
    <row r="33" spans="1:22" x14ac:dyDescent="0.25">
      <c r="A33" s="31">
        <v>115</v>
      </c>
      <c r="B33" s="36" t="str">
        <f ca="1">_xll.qlInstEuropeanOptionBlackScholes(B$19&amp;"_"&amp;$A33,$B$9,$A33,$B$3,B$19,$B$4,$D$4,$D$3)</f>
        <v>OPTION@42476_115#21:33:25</v>
      </c>
      <c r="C33" s="37" t="str">
        <f ca="1">_xll.qlInstEuropeanOptionBlackScholes(C$19&amp;"_"&amp;$A33,$B$9,$A33,$B$3,C$19,$B$4,$D$4,$D$3)</f>
        <v>OPTION@42576_115#21:33:25</v>
      </c>
      <c r="D33" s="38" t="str">
        <f ca="1">_xll.qlInstEuropeanOptionBlackScholes(D$19&amp;"_"&amp;$A33,$B$9,$A33,$B$3,D$19,$B$4,$D$4,$D$3)</f>
        <v>OPTION@42676_115#21:33:25</v>
      </c>
      <c r="E33" s="45">
        <f ca="1">_xll.qlInstGetOptionGreeks(B33,$E$18)</f>
        <v>23.632757430893001</v>
      </c>
      <c r="F33" s="46">
        <f ca="1">_xll.qlInstGetOptionGreeks(C33,$E$18)</f>
        <v>26.352472807949198</v>
      </c>
      <c r="G33" s="47">
        <f ca="1">_xll.qlInstGetOptionGreeks(D33,$E$18)</f>
        <v>28.932960244961894</v>
      </c>
      <c r="H33" s="59">
        <f ca="1">_xll.qlInstGetOptionGreeks(B33,$H$18)</f>
        <v>0.90631023811596467</v>
      </c>
      <c r="I33" s="60">
        <f ca="1">_xll.qlInstGetOptionGreeks(C33,$H$18)</f>
        <v>0.90254296229420738</v>
      </c>
      <c r="J33" s="61">
        <f ca="1">_xll.qlInstGetOptionGreeks(D33,$H$18)</f>
        <v>0.90292649307373252</v>
      </c>
      <c r="K33" s="45">
        <f ca="1">_xll.qlInstGetOptionGreeks(B33,$K$18)</f>
        <v>8.1462580246321002E-3</v>
      </c>
      <c r="L33" s="46">
        <f ca="1">_xll.qlInstGetOptionGreeks(C33,$K$18)</f>
        <v>7.2346239157777886E-3</v>
      </c>
      <c r="M33" s="47">
        <f ca="1">_xll.qlInstGetOptionGreeks(D33,$K$18)</f>
        <v>6.4373494500744354E-3</v>
      </c>
      <c r="N33" s="59">
        <f ca="1">_xll.qlInstGetOptionGreeks(B33,$N$18)</f>
        <v>17.178449507586837</v>
      </c>
      <c r="O33" s="60">
        <f ca="1">_xll.qlInstGetOptionGreeks(C33,$N$18)</f>
        <v>20.498662686514532</v>
      </c>
      <c r="P33" s="61">
        <f ca="1">_xll.qlInstGetOptionGreeks(D33,$N$18)</f>
        <v>22.904530257710761</v>
      </c>
      <c r="Q33" s="45">
        <f ca="1">_xll.qlInstGetOptionGreeks(B33,$Q$18)</f>
        <v>-10.213977242759485</v>
      </c>
      <c r="R33" s="46">
        <f ca="1">_xll.qlInstGetOptionGreeks(C33,$Q$18)</f>
        <v>-9.6575548113117016</v>
      </c>
      <c r="S33" s="47">
        <f ca="1">_xll.qlInstGetOptionGreeks(D33,$Q$18)</f>
        <v>-9.1930375753964402</v>
      </c>
      <c r="T33" s="59">
        <f ca="1">_xll.qlInstGetOptionGreeks(B33,$T$18)</f>
        <v>64.253533441536717</v>
      </c>
      <c r="U33" s="60">
        <f ca="1">_xll.qlInstGetOptionGreeks(C33,$T$18)</f>
        <v>82.95623953876958</v>
      </c>
      <c r="V33" s="61">
        <f ca="1">_xll.qlInstGetOptionGreeks(D33,$T$18)</f>
        <v>100.76071493460825</v>
      </c>
    </row>
    <row r="34" spans="1:22" x14ac:dyDescent="0.25">
      <c r="A34" s="31">
        <v>120</v>
      </c>
      <c r="B34" s="36" t="str">
        <f ca="1">_xll.qlInstEuropeanOptionBlackScholes(B$19&amp;"_"&amp;$A34,$B$9,$A34,$B$3,B$19,$B$4,$D$4,$D$3)</f>
        <v>OPTION@42476_120#21:33:25</v>
      </c>
      <c r="C34" s="37" t="str">
        <f ca="1">_xll.qlInstEuropeanOptionBlackScholes(C$19&amp;"_"&amp;$A34,$B$9,$A34,$B$3,C$19,$B$4,$D$4,$D$3)</f>
        <v>OPTION@42576_120#21:33:25</v>
      </c>
      <c r="D34" s="38" t="str">
        <f ca="1">_xll.qlInstEuropeanOptionBlackScholes(D$19&amp;"_"&amp;$A34,$B$9,$A34,$B$3,D$19,$B$4,$D$4,$D$3)</f>
        <v>OPTION@42676_120#21:33:25</v>
      </c>
      <c r="E34" s="45">
        <f ca="1">_xll.qlInstGetOptionGreeks(B34,$E$18)</f>
        <v>28.254528290067665</v>
      </c>
      <c r="F34" s="46">
        <f ca="1">_xll.qlInstGetOptionGreeks(C34,$E$18)</f>
        <v>30.946625321413233</v>
      </c>
      <c r="G34" s="47">
        <f ca="1">_xll.qlInstGetOptionGreeks(D34,$E$18)</f>
        <v>33.520763202097228</v>
      </c>
      <c r="H34" s="59">
        <f ca="1">_xll.qlInstGetOptionGreeks(B34,$H$18)</f>
        <v>0.94022851769310178</v>
      </c>
      <c r="I34" s="60">
        <f ca="1">_xll.qlInstGetOptionGreeks(C34,$H$18)</f>
        <v>0.93342296946413472</v>
      </c>
      <c r="J34" s="61">
        <f ca="1">_xll.qlInstGetOptionGreeks(D34,$H$18)</f>
        <v>0.93081414856832378</v>
      </c>
      <c r="K34" s="45">
        <f ca="1">_xll.qlInstGetOptionGreeks(B34,$K$18)</f>
        <v>5.5422503214957626E-3</v>
      </c>
      <c r="L34" s="46">
        <f ca="1">_xll.qlInstGetOptionGreeks(C34,$K$18)</f>
        <v>5.2001473415171362E-3</v>
      </c>
      <c r="M34" s="47">
        <f ca="1">_xll.qlInstGetOptionGreeks(D34,$K$18)</f>
        <v>4.7802958574694457E-3</v>
      </c>
      <c r="N34" s="59">
        <f ca="1">_xll.qlInstGetOptionGreeks(B34,$N$18)</f>
        <v>12.725614108052534</v>
      </c>
      <c r="O34" s="60">
        <f ca="1">_xll.qlInstGetOptionGreeks(C34,$N$18)</f>
        <v>16.043238132426371</v>
      </c>
      <c r="P34" s="61">
        <f ca="1">_xll.qlInstGetOptionGreeks(D34,$N$18)</f>
        <v>18.519782920905186</v>
      </c>
      <c r="Q34" s="45">
        <f ca="1">_xll.qlInstGetOptionGreeks(B34,$Q$18)</f>
        <v>-10.053457475901235</v>
      </c>
      <c r="R34" s="46">
        <f ca="1">_xll.qlInstGetOptionGreeks(C34,$Q$18)</f>
        <v>-9.6040555357852462</v>
      </c>
      <c r="S34" s="47">
        <f ca="1">_xll.qlInstGetOptionGreeks(D34,$Q$18)</f>
        <v>-9.194418669561367</v>
      </c>
      <c r="T34" s="59">
        <f ca="1">_xll.qlInstGetOptionGreeks(B34,$T$18)</f>
        <v>67.426608508036765</v>
      </c>
      <c r="U34" s="60">
        <f ca="1">_xll.qlInstGetOptionGreeks(C34,$T$18)</f>
        <v>86.838562264615433</v>
      </c>
      <c r="V34" s="61">
        <f ca="1">_xll.qlInstGetOptionGreeks(D34,$T$18)</f>
        <v>105.16404082579702</v>
      </c>
    </row>
    <row r="35" spans="1:22" x14ac:dyDescent="0.25">
      <c r="A35" s="31">
        <v>125</v>
      </c>
      <c r="B35" s="36" t="str">
        <f ca="1">_xll.qlInstEuropeanOptionBlackScholes(B$19&amp;"_"&amp;$A35,$B$9,$A35,$B$3,B$19,$B$4,$D$4,$D$3)</f>
        <v>OPTION@42476_125#21:33:25</v>
      </c>
      <c r="C35" s="37" t="str">
        <f ca="1">_xll.qlInstEuropeanOptionBlackScholes(C$19&amp;"_"&amp;$A35,$B$9,$A35,$B$3,C$19,$B$4,$D$4,$D$3)</f>
        <v>OPTION@42576_125#21:33:25</v>
      </c>
      <c r="D35" s="38" t="str">
        <f ca="1">_xll.qlInstEuropeanOptionBlackScholes(D$19&amp;"_"&amp;$A35,$B$9,$A35,$B$3,D$19,$B$4,$D$4,$D$3)</f>
        <v>OPTION@42676_125#21:33:25</v>
      </c>
      <c r="E35" s="45">
        <f ca="1">_xll.qlInstGetOptionGreeks(B35,$E$18)</f>
        <v>33.01630840080626</v>
      </c>
      <c r="F35" s="46">
        <f ca="1">_xll.qlInstGetOptionGreeks(C35,$E$18)</f>
        <v>35.671776440897943</v>
      </c>
      <c r="G35" s="47">
        <f ca="1">_xll.qlInstGetOptionGreeks(D35,$E$18)</f>
        <v>38.228822098505788</v>
      </c>
      <c r="H35" s="59">
        <f ca="1">_xll.qlInstGetOptionGreeks(B35,$H$18)</f>
        <v>0.96289272906768963</v>
      </c>
      <c r="I35" s="60">
        <f ca="1">_xll.qlInstGetOptionGreeks(C35,$H$18)</f>
        <v>0.95533913546114491</v>
      </c>
      <c r="J35" s="61">
        <f ca="1">_xll.qlInstGetOptionGreeks(D35,$H$18)</f>
        <v>0.95132760515063364</v>
      </c>
      <c r="K35" s="45">
        <f ca="1">_xll.qlInstGetOptionGreeks(B35,$K$18)</f>
        <v>3.6313357109737684E-3</v>
      </c>
      <c r="L35" s="46">
        <f ca="1">_xll.qlInstGetOptionGreeks(C35,$K$18)</f>
        <v>3.6409996397621888E-3</v>
      </c>
      <c r="M35" s="47">
        <f ca="1">_xll.qlInstGetOptionGreeks(D35,$K$18)</f>
        <v>3.4813144690450494E-3</v>
      </c>
      <c r="N35" s="59">
        <f ca="1">_xll.qlInstGetOptionGreeks(B35,$N$18)</f>
        <v>9.0472490744295051</v>
      </c>
      <c r="O35" s="60">
        <f ca="1">_xll.qlInstGetOptionGreeks(C35,$N$18)</f>
        <v>12.188620369409385</v>
      </c>
      <c r="P35" s="61">
        <f ca="1">_xll.qlInstGetOptionGreeks(D35,$N$18)</f>
        <v>14.634635310797259</v>
      </c>
      <c r="Q35" s="45">
        <f ca="1">_xll.qlInstGetOptionGreeks(B35,$Q$18)</f>
        <v>-9.8693206829447977</v>
      </c>
      <c r="R35" s="46">
        <f ca="1">_xll.qlInstGetOptionGreeks(C35,$Q$18)</f>
        <v>-9.512373936600218</v>
      </c>
      <c r="S35" s="47">
        <f ca="1">_xll.qlInstGetOptionGreeks(D35,$Q$18)</f>
        <v>-9.1566236261089244</v>
      </c>
      <c r="T35" s="59">
        <f ca="1">_xll.qlInstGetOptionGreeks(B35,$T$18)</f>
        <v>69.636924041650914</v>
      </c>
      <c r="U35" s="60">
        <f ca="1">_xll.qlInstGetOptionGreeks(C35,$T$18)</f>
        <v>89.71105659526674</v>
      </c>
      <c r="V35" s="61">
        <f ca="1">_xll.qlInstGetOptionGreeks(D35,$T$18)</f>
        <v>108.54076744042136</v>
      </c>
    </row>
    <row r="36" spans="1:22" x14ac:dyDescent="0.25">
      <c r="A36" s="31">
        <v>130</v>
      </c>
      <c r="B36" s="36" t="str">
        <f ca="1">_xll.qlInstEuropeanOptionBlackScholes(B$19&amp;"_"&amp;$A36,$B$9,$A36,$B$3,B$19,$B$4,$D$4,$D$3)</f>
        <v>OPTION@42476_130#21:33:25</v>
      </c>
      <c r="C36" s="37" t="str">
        <f ca="1">_xll.qlInstEuropeanOptionBlackScholes(C$19&amp;"_"&amp;$A36,$B$9,$A36,$B$3,C$19,$B$4,$D$4,$D$3)</f>
        <v>OPTION@42576_130#21:33:25</v>
      </c>
      <c r="D36" s="38" t="str">
        <f ca="1">_xll.qlInstEuropeanOptionBlackScholes(D$19&amp;"_"&amp;$A36,$B$9,$A36,$B$3,D$19,$B$4,$D$4,$D$3)</f>
        <v>OPTION@42676_130#21:33:25</v>
      </c>
      <c r="E36" s="45">
        <f ca="1">_xll.qlInstGetOptionGreeks(B36,$E$18)</f>
        <v>37.870087792345089</v>
      </c>
      <c r="F36" s="46">
        <f ca="1">_xll.qlInstGetOptionGreeks(C36,$E$18)</f>
        <v>40.488809025338149</v>
      </c>
      <c r="G36" s="47">
        <f ca="1">_xll.qlInstGetOptionGreeks(D36,$E$18)</f>
        <v>43.024562419438517</v>
      </c>
      <c r="H36" s="59">
        <f ca="1">_xll.qlInstGetOptionGreeks(B36,$H$18)</f>
        <v>0.97751394832769312</v>
      </c>
      <c r="I36" s="60">
        <f ca="1">_xll.qlInstGetOptionGreeks(C36,$H$18)</f>
        <v>0.97051774351828435</v>
      </c>
      <c r="J36" s="61">
        <f ca="1">_xll.qlInstGetOptionGreeks(D36,$H$18)</f>
        <v>0.966145922531496</v>
      </c>
      <c r="K36" s="45">
        <f ca="1">_xll.qlInstGetOptionGreeks(B36,$K$18)</f>
        <v>2.30288936897144E-3</v>
      </c>
      <c r="L36" s="46">
        <f ca="1">_xll.qlInstGetOptionGreeks(C36,$K$18)</f>
        <v>2.492231767849662E-3</v>
      </c>
      <c r="M36" s="47">
        <f ca="1">_xll.qlInstGetOptionGreeks(D36,$K$18)</f>
        <v>2.4932428402185086E-3</v>
      </c>
      <c r="N36" s="59">
        <f ca="1">_xll.qlInstGetOptionGreeks(B36,$N$18)</f>
        <v>6.2056874672134903</v>
      </c>
      <c r="O36" s="60">
        <f ca="1">_xll.qlInstGetOptionGreeks(C36,$N$18)</f>
        <v>9.0237908486431611</v>
      </c>
      <c r="P36" s="61">
        <f ca="1">_xll.qlInstGetOptionGreeks(D36,$N$18)</f>
        <v>11.336262884300904</v>
      </c>
      <c r="Q36" s="45">
        <f ca="1">_xll.qlInstGetOptionGreeks(B36,$Q$18)</f>
        <v>-9.6990491557378498</v>
      </c>
      <c r="R36" s="46">
        <f ca="1">_xll.qlInstGetOptionGreeks(C36,$Q$18)</f>
        <v>-9.4102241007370857</v>
      </c>
      <c r="S36" s="47">
        <f ca="1">_xll.qlInstGetOptionGreeks(D36,$Q$18)</f>
        <v>-9.1001568309594543</v>
      </c>
      <c r="T36" s="59">
        <f ca="1">_xll.qlInstGetOptionGreeks(B36,$T$18)</f>
        <v>71.12097840455948</v>
      </c>
      <c r="U36" s="60">
        <f ca="1">_xll.qlInstGetOptionGreeks(C36,$T$18)</f>
        <v>91.781623490759401</v>
      </c>
      <c r="V36" s="61">
        <f ca="1">_xll.qlInstGetOptionGreeks(D36,$T$18)</f>
        <v>111.07954544449611</v>
      </c>
    </row>
    <row r="37" spans="1:22" x14ac:dyDescent="0.25">
      <c r="A37" s="31">
        <v>135</v>
      </c>
      <c r="B37" s="36" t="str">
        <f ca="1">_xll.qlInstEuropeanOptionBlackScholes(B$19&amp;"_"&amp;$A37,$B$9,$A37,$B$3,B$19,$B$4,$D$4,$D$3)</f>
        <v>OPTION@42476_135#21:33:25</v>
      </c>
      <c r="C37" s="37" t="str">
        <f ca="1">_xll.qlInstEuropeanOptionBlackScholes(C$19&amp;"_"&amp;$A37,$B$9,$A37,$B$3,C$19,$B$4,$D$4,$D$3)</f>
        <v>OPTION@42576_135#21:33:25</v>
      </c>
      <c r="D37" s="38" t="str">
        <f ca="1">_xll.qlInstEuropeanOptionBlackScholes(D$19&amp;"_"&amp;$A37,$B$9,$A37,$B$3,D$19,$B$4,$D$4,$D$3)</f>
        <v>OPTION@42676_135#21:33:25</v>
      </c>
      <c r="E37" s="45">
        <f ca="1">_xll.qlInstGetOptionGreeks(B37,$E$18)</f>
        <v>42.782365568010569</v>
      </c>
      <c r="F37" s="46">
        <f ca="1">_xll.qlInstGetOptionGreeks(C37,$E$18)</f>
        <v>45.368833228079964</v>
      </c>
      <c r="G37" s="47">
        <f ca="1">_xll.qlInstGetOptionGreeks(D37,$E$18)</f>
        <v>47.883164702457883</v>
      </c>
      <c r="H37" s="59">
        <f ca="1">_xll.qlInstGetOptionGreeks(B37,$H$18)</f>
        <v>0.98666288712325489</v>
      </c>
      <c r="I37" s="60">
        <f ca="1">_xll.qlInstGetOptionGreeks(C37,$H$18)</f>
        <v>0.98081020742973202</v>
      </c>
      <c r="J37" s="61">
        <f ca="1">_xll.qlInstGetOptionGreeks(D37,$H$18)</f>
        <v>0.97668480209465447</v>
      </c>
      <c r="K37" s="45">
        <f ca="1">_xll.qlInstGetOptionGreeks(B37,$K$18)</f>
        <v>1.4196065088144035E-3</v>
      </c>
      <c r="L37" s="46">
        <f ca="1">_xll.qlInstGetOptionGreeks(C37,$K$18)</f>
        <v>1.6728267447216273E-3</v>
      </c>
      <c r="M37" s="47">
        <f ca="1">_xll.qlInstGetOptionGreeks(D37,$K$18)</f>
        <v>1.7600971824917628E-3</v>
      </c>
      <c r="N37" s="59">
        <f ca="1">_xll.qlInstGetOptionGreeks(B37,$N$18)</f>
        <v>4.125395961279164</v>
      </c>
      <c r="O37" s="60">
        <f ca="1">_xll.qlInstGetOptionGreeks(C37,$N$18)</f>
        <v>6.5317926368316153</v>
      </c>
      <c r="P37" s="61">
        <f ca="1">_xll.qlInstGetOptionGreeks(D37,$N$18)</f>
        <v>8.6302387041632862</v>
      </c>
      <c r="Q37" s="45">
        <f ca="1">_xll.qlInstGetOptionGreeks(B37,$Q$18)</f>
        <v>-9.5591589918257327</v>
      </c>
      <c r="R37" s="46">
        <f ca="1">_xll.qlInstGetOptionGreeks(C37,$Q$18)</f>
        <v>-9.3137998259444377</v>
      </c>
      <c r="S37" s="47">
        <f ca="1">_xll.qlInstGetOptionGreeks(D37,$Q$18)</f>
        <v>-9.0384837810502976</v>
      </c>
      <c r="T37" s="59">
        <f ca="1">_xll.qlInstGetOptionGreeks(B37,$T$18)</f>
        <v>72.085981206427377</v>
      </c>
      <c r="U37" s="60">
        <f ca="1">_xll.qlInstGetOptionGreeks(C37,$T$18)</f>
        <v>93.240693169860634</v>
      </c>
      <c r="V37" s="61">
        <f ca="1">_xll.qlInstGetOptionGreeks(D37,$T$18)</f>
        <v>112.95594037791058</v>
      </c>
    </row>
    <row r="38" spans="1:22" x14ac:dyDescent="0.25">
      <c r="A38" s="31">
        <v>140</v>
      </c>
      <c r="B38" s="36" t="str">
        <f ca="1">_xll.qlInstEuropeanOptionBlackScholes(B$19&amp;"_"&amp;$A38,$B$9,$A38,$B$3,B$19,$B$4,$D$4,$D$3)</f>
        <v>OPTION@42476_140#21:33:25</v>
      </c>
      <c r="C38" s="37" t="str">
        <f ca="1">_xll.qlInstEuropeanOptionBlackScholes(C$19&amp;"_"&amp;$A38,$B$9,$A38,$B$3,C$19,$B$4,$D$4,$D$3)</f>
        <v>OPTION@42576_140#21:33:25</v>
      </c>
      <c r="D38" s="38" t="str">
        <f ca="1">_xll.qlInstEuropeanOptionBlackScholes(D$19&amp;"_"&amp;$A38,$B$9,$A38,$B$3,D$19,$B$4,$D$4,$D$3)</f>
        <v>OPTION@42676_140#21:33:25</v>
      </c>
      <c r="E38" s="45">
        <f ca="1">_xll.qlInstGetOptionGreeks(B38,$E$18)</f>
        <v>47.730792156776083</v>
      </c>
      <c r="F38" s="46">
        <f ca="1">_xll.qlInstGetOptionGreeks(C38,$E$18)</f>
        <v>50.291198814608457</v>
      </c>
      <c r="G38" s="47">
        <f ca="1">_xll.qlInstGetOptionGreeks(D38,$E$18)</f>
        <v>52.786185974404418</v>
      </c>
      <c r="H38" s="59">
        <f ca="1">_xll.qlInstGetOptionGreeks(B38,$H$18)</f>
        <v>0.99223766884104692</v>
      </c>
      <c r="I38" s="60">
        <f ca="1">_xll.qlInstGetOptionGreeks(C38,$H$18)</f>
        <v>0.98766291408924511</v>
      </c>
      <c r="J38" s="61">
        <f ca="1">_xll.qlInstGetOptionGreeks(D38,$H$18)</f>
        <v>0.98408033650858917</v>
      </c>
      <c r="K38" s="45">
        <f ca="1">_xll.qlInstGetOptionGreeks(B38,$K$18)</f>
        <v>8.5379414992207427E-4</v>
      </c>
      <c r="L38" s="46">
        <f ca="1">_xll.qlInstGetOptionGreeks(C38,$K$18)</f>
        <v>1.1039584124136338E-3</v>
      </c>
      <c r="M38" s="47">
        <f ca="1">_xll.qlInstGetOptionGreeks(D38,$K$18)</f>
        <v>1.2272491274535702E-3</v>
      </c>
      <c r="N38" s="59">
        <f ca="1">_xll.qlInstGetOptionGreeks(B38,$N$18)</f>
        <v>2.6683289389016775</v>
      </c>
      <c r="O38" s="60">
        <f ca="1">_xll.qlInstGetOptionGreeks(C38,$N$18)</f>
        <v>4.6357784599304974</v>
      </c>
      <c r="P38" s="61">
        <f ca="1">_xll.qlInstGetOptionGreeks(D38,$N$18)</f>
        <v>6.4715368235409283</v>
      </c>
      <c r="Q38" s="45">
        <f ca="1">_xll.qlInstGetOptionGreeks(B38,$Q$18)</f>
        <v>-9.4529354548665019</v>
      </c>
      <c r="R38" s="46">
        <f ca="1">_xll.qlInstGetOptionGreeks(C38,$Q$18)</f>
        <v>-9.2309126134547466</v>
      </c>
      <c r="S38" s="47">
        <f ca="1">_xll.qlInstGetOptionGreeks(D38,$Q$18)</f>
        <v>-8.9795877716416097</v>
      </c>
      <c r="T38" s="59">
        <f ca="1">_xll.qlInstGetOptionGreeks(B38,$T$18)</f>
        <v>72.696170167020327</v>
      </c>
      <c r="U38" s="60">
        <f ca="1">_xll.qlInstGetOptionGreeks(C38,$T$18)</f>
        <v>94.248792275981856</v>
      </c>
      <c r="V38" s="61">
        <f ca="1">_xll.qlInstGetOptionGreeks(D38,$T$18)</f>
        <v>114.32236991278863</v>
      </c>
    </row>
    <row r="39" spans="1:22" x14ac:dyDescent="0.25">
      <c r="A39" s="31">
        <v>145</v>
      </c>
      <c r="B39" s="36" t="str">
        <f ca="1">_xll.qlInstEuropeanOptionBlackScholes(B$19&amp;"_"&amp;$A39,$B$9,$A39,$B$3,B$19,$B$4,$D$4,$D$3)</f>
        <v>OPTION@42476_145#21:33:25</v>
      </c>
      <c r="C39" s="37" t="str">
        <f ca="1">_xll.qlInstEuropeanOptionBlackScholes(C$19&amp;"_"&amp;$A39,$B$9,$A39,$B$3,C$19,$B$4,$D$4,$D$3)</f>
        <v>OPTION@42576_145#21:33:25</v>
      </c>
      <c r="D39" s="38" t="str">
        <f ca="1">_xll.qlInstEuropeanOptionBlackScholes(D$19&amp;"_"&amp;$A39,$B$9,$A39,$B$3,D$19,$B$4,$D$4,$D$3)</f>
        <v>OPTION@42676_145#21:33:25</v>
      </c>
      <c r="E39" s="45">
        <f ca="1">_xll.qlInstGetOptionGreeks(B39,$E$18)</f>
        <v>52.701007787927878</v>
      </c>
      <c r="F39" s="46">
        <f ca="1">_xll.qlInstGetOptionGreeks(C39,$E$18)</f>
        <v>55.2415427803206</v>
      </c>
      <c r="G39" s="47">
        <f ca="1">_xll.qlInstGetOptionGreeks(D39,$E$18)</f>
        <v>57.720204755134326</v>
      </c>
      <c r="H39" s="59">
        <f ca="1">_xll.qlInstGetOptionGreeks(B39,$H$18)</f>
        <v>0.99555695686242296</v>
      </c>
      <c r="I39" s="60">
        <f ca="1">_xll.qlInstGetOptionGreeks(C39,$H$18)</f>
        <v>0.99215372604692953</v>
      </c>
      <c r="J39" s="61">
        <f ca="1">_xll.qlInstGetOptionGreeks(D39,$H$18)</f>
        <v>0.98921056096645577</v>
      </c>
      <c r="K39" s="45">
        <f ca="1">_xll.qlInstGetOptionGreeks(B39,$K$18)</f>
        <v>5.0258933849897203E-4</v>
      </c>
      <c r="L39" s="46">
        <f ca="1">_xll.qlInstGetOptionGreeks(C39,$K$18)</f>
        <v>7.1792877712416141E-4</v>
      </c>
      <c r="M39" s="47">
        <f ca="1">_xll.qlInstGetOptionGreeks(D39,$K$18)</f>
        <v>8.466526411661494E-4</v>
      </c>
      <c r="N39" s="59">
        <f ca="1">_xll.qlInstGetOptionGreeks(B39,$N$18)</f>
        <v>1.6849204301396241</v>
      </c>
      <c r="O39" s="60">
        <f ca="1">_xll.qlInstGetOptionGreeks(C39,$N$18)</f>
        <v>3.2339347631577438</v>
      </c>
      <c r="P39" s="61">
        <f ca="1">_xll.qlInstGetOptionGreeks(D39,$N$18)</f>
        <v>4.7891660516353216</v>
      </c>
      <c r="Q39" s="45">
        <f ca="1">_xll.qlInstGetOptionGreeks(B39,$Q$18)</f>
        <v>-9.3768139125511656</v>
      </c>
      <c r="R39" s="46">
        <f ca="1">_xll.qlInstGetOptionGreeks(C39,$Q$18)</f>
        <v>-9.1639638004291211</v>
      </c>
      <c r="S39" s="47">
        <f ca="1">_xll.qlInstGetOptionGreeks(D39,$Q$18)</f>
        <v>-8.9275500941105435</v>
      </c>
      <c r="T39" s="59">
        <f ca="1">_xll.qlInstGetOptionGreeks(B39,$T$18)</f>
        <v>73.072691858966905</v>
      </c>
      <c r="U39" s="60">
        <f ca="1">_xll.qlInstGetOptionGreeks(C39,$T$18)</f>
        <v>94.933458277055635</v>
      </c>
      <c r="V39" s="61">
        <f ca="1">_xll.qlInstGetOptionGreeks(D39,$T$18)</f>
        <v>115.30472699516676</v>
      </c>
    </row>
    <row r="40" spans="1:22" ht="15.75" thickBot="1" x14ac:dyDescent="0.3">
      <c r="A40" s="32">
        <v>150</v>
      </c>
      <c r="B40" s="39" t="str">
        <f ca="1">_xll.qlInstEuropeanOptionBlackScholes(B$19&amp;"_"&amp;$A40,$B$9,$A40,$B$3,B$19,$B$4,$D$4,$D$3)</f>
        <v>OPTION@42476_150#21:33:25</v>
      </c>
      <c r="C40" s="40" t="str">
        <f ca="1">_xll.qlInstEuropeanOptionBlackScholes(C$19&amp;"_"&amp;$A40,$B$9,$A40,$B$3,C$19,$B$4,$D$4,$D$3)</f>
        <v>OPTION@42576_150#21:33:25</v>
      </c>
      <c r="D40" s="41" t="str">
        <f ca="1">_xll.qlInstEuropeanOptionBlackScholes(D$19&amp;"_"&amp;$A40,$B$9,$A40,$B$3,D$19,$B$4,$D$4,$D$3)</f>
        <v>OPTION@42676_150#21:33:25</v>
      </c>
      <c r="E40" s="48">
        <f ca="1">_xll.qlInstGetOptionGreeks(B40,$E$18)</f>
        <v>57.684075231012905</v>
      </c>
      <c r="F40" s="49">
        <f ca="1">_xll.qlInstGetOptionGreeks(C40,$E$18)</f>
        <v>60.21010249644435</v>
      </c>
      <c r="G40" s="50">
        <f ca="1">_xll.qlInstGetOptionGreeks(D40,$E$18)</f>
        <v>62.675623773544849</v>
      </c>
      <c r="H40" s="62">
        <f ca="1">_xll.qlInstGetOptionGreeks(B40,$H$18)</f>
        <v>0.99749388449835974</v>
      </c>
      <c r="I40" s="63">
        <f ca="1">_xll.qlInstGetOptionGreeks(C40,$H$18)</f>
        <v>0.99505660319975064</v>
      </c>
      <c r="J40" s="64">
        <f ca="1">_xll.qlInstGetOptionGreeks(D40,$H$18)</f>
        <v>0.99273423948031436</v>
      </c>
      <c r="K40" s="48">
        <f ca="1">_xll.qlInstGetOptionGreeks(B40,$K$18)</f>
        <v>2.9036871852838224E-4</v>
      </c>
      <c r="L40" s="49">
        <f ca="1">_xll.qlInstGetOptionGreeks(C40,$K$18)</f>
        <v>4.6099127406729859E-4</v>
      </c>
      <c r="M40" s="50">
        <f ca="1">_xll.qlInstGetOptionGreeks(D40,$K$18)</f>
        <v>5.7876882475140217E-4</v>
      </c>
      <c r="N40" s="62">
        <f ca="1">_xll.qlInstGetOptionGreeks(B40,$N$18)</f>
        <v>1.0417474983915529</v>
      </c>
      <c r="O40" s="63">
        <f ca="1">_xll.qlInstGetOptionGreeks(C40,$N$18)</f>
        <v>2.2222305389627701</v>
      </c>
      <c r="P40" s="64">
        <f ca="1">_xll.qlInstGetOptionGreeks(D40,$N$18)</f>
        <v>3.5035334747622513</v>
      </c>
      <c r="Q40" s="48">
        <f ca="1">_xll.qlInstGetOptionGreeks(B40,$Q$18)</f>
        <v>-9.3246666677118792</v>
      </c>
      <c r="R40" s="49">
        <f ca="1">_xll.qlInstGetOptionGreeks(C40,$Q$18)</f>
        <v>-9.1122848716821032</v>
      </c>
      <c r="S40" s="50">
        <f ca="1">_xll.qlInstGetOptionGreeks(D40,$Q$18)</f>
        <v>-8.8838971859883653</v>
      </c>
      <c r="T40" s="62">
        <f ca="1">_xll.qlInstGetOptionGreeks(B40,$T$18)</f>
        <v>73.300115523640116</v>
      </c>
      <c r="U40" s="63">
        <f ca="1">_xll.qlInstGetOptionGreeks(C40,$T$18)</f>
        <v>95.391560826179841</v>
      </c>
      <c r="V40" s="64">
        <f ca="1">_xll.qlInstGetOptionGreeks(D40,$T$18)</f>
        <v>116.00313826004013</v>
      </c>
    </row>
  </sheetData>
  <mergeCells count="7">
    <mergeCell ref="T18:V18"/>
    <mergeCell ref="B18:D18"/>
    <mergeCell ref="E18:G18"/>
    <mergeCell ref="H18:J18"/>
    <mergeCell ref="K18:M18"/>
    <mergeCell ref="N18:P18"/>
    <mergeCell ref="Q18:S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AJ36" sqref="AJ36"/>
    </sheetView>
  </sheetViews>
  <sheetFormatPr defaultRowHeight="15" x14ac:dyDescent="0.25"/>
  <cols>
    <col min="1" max="1" width="12.7109375" customWidth="1"/>
    <col min="2" max="2" width="10.140625" bestFit="1" customWidth="1"/>
    <col min="3" max="3" width="10.7109375" customWidth="1"/>
    <col min="4" max="5" width="12" bestFit="1" customWidth="1"/>
    <col min="6" max="6" width="9.28515625" customWidth="1"/>
    <col min="7" max="7" width="11.7109375" customWidth="1"/>
    <col min="8" max="8" width="10.140625" customWidth="1"/>
    <col min="10" max="10" width="9.7109375" bestFit="1" customWidth="1"/>
    <col min="11" max="11" width="8.42578125" bestFit="1" customWidth="1"/>
    <col min="13" max="13" width="10.7109375" bestFit="1" customWidth="1"/>
    <col min="14" max="14" width="12.85546875" customWidth="1"/>
    <col min="25" max="26" width="9.7109375" bestFit="1" customWidth="1"/>
    <col min="36" max="36" width="30.85546875" customWidth="1"/>
    <col min="37" max="37" width="9.5703125" bestFit="1" customWidth="1"/>
    <col min="38" max="38" width="8.42578125" customWidth="1"/>
    <col min="39" max="39" width="9.5703125" bestFit="1" customWidth="1"/>
    <col min="40" max="40" width="8.42578125" customWidth="1"/>
    <col min="41" max="41" width="9.5703125" bestFit="1" customWidth="1"/>
    <col min="42" max="42" width="8.42578125" customWidth="1"/>
    <col min="43" max="43" width="9.5703125" bestFit="1" customWidth="1"/>
    <col min="44" max="44" width="8.42578125" customWidth="1"/>
    <col min="250" max="250" width="11.28515625" customWidth="1"/>
    <col min="251" max="251" width="10.140625" bestFit="1" customWidth="1"/>
    <col min="252" max="252" width="10.7109375" customWidth="1"/>
    <col min="253" max="253" width="9.28515625" customWidth="1"/>
    <col min="255" max="255" width="9.28515625" customWidth="1"/>
    <col min="256" max="256" width="11.140625" bestFit="1" customWidth="1"/>
    <col min="258" max="258" width="9.5703125" bestFit="1" customWidth="1"/>
    <col min="261" max="261" width="11.7109375" customWidth="1"/>
    <col min="506" max="506" width="11.28515625" customWidth="1"/>
    <col min="507" max="507" width="10.140625" bestFit="1" customWidth="1"/>
    <col min="508" max="508" width="10.7109375" customWidth="1"/>
    <col min="509" max="509" width="9.28515625" customWidth="1"/>
    <col min="511" max="511" width="9.28515625" customWidth="1"/>
    <col min="512" max="512" width="11.140625" bestFit="1" customWidth="1"/>
    <col min="514" max="514" width="9.5703125" bestFit="1" customWidth="1"/>
    <col min="517" max="517" width="11.7109375" customWidth="1"/>
    <col min="762" max="762" width="11.28515625" customWidth="1"/>
    <col min="763" max="763" width="10.140625" bestFit="1" customWidth="1"/>
    <col min="764" max="764" width="10.7109375" customWidth="1"/>
    <col min="765" max="765" width="9.28515625" customWidth="1"/>
    <col min="767" max="767" width="9.28515625" customWidth="1"/>
    <col min="768" max="768" width="11.140625" bestFit="1" customWidth="1"/>
    <col min="770" max="770" width="9.5703125" bestFit="1" customWidth="1"/>
    <col min="773" max="773" width="11.7109375" customWidth="1"/>
    <col min="1018" max="1018" width="11.28515625" customWidth="1"/>
    <col min="1019" max="1019" width="10.140625" bestFit="1" customWidth="1"/>
    <col min="1020" max="1020" width="10.7109375" customWidth="1"/>
    <col min="1021" max="1021" width="9.28515625" customWidth="1"/>
    <col min="1023" max="1023" width="9.28515625" customWidth="1"/>
    <col min="1024" max="1024" width="11.140625" bestFit="1" customWidth="1"/>
    <col min="1026" max="1026" width="9.5703125" bestFit="1" customWidth="1"/>
    <col min="1029" max="1029" width="11.7109375" customWidth="1"/>
    <col min="1274" max="1274" width="11.28515625" customWidth="1"/>
    <col min="1275" max="1275" width="10.140625" bestFit="1" customWidth="1"/>
    <col min="1276" max="1276" width="10.7109375" customWidth="1"/>
    <col min="1277" max="1277" width="9.28515625" customWidth="1"/>
    <col min="1279" max="1279" width="9.28515625" customWidth="1"/>
    <col min="1280" max="1280" width="11.140625" bestFit="1" customWidth="1"/>
    <col min="1282" max="1282" width="9.5703125" bestFit="1" customWidth="1"/>
    <col min="1285" max="1285" width="11.7109375" customWidth="1"/>
    <col min="1530" max="1530" width="11.28515625" customWidth="1"/>
    <col min="1531" max="1531" width="10.140625" bestFit="1" customWidth="1"/>
    <col min="1532" max="1532" width="10.7109375" customWidth="1"/>
    <col min="1533" max="1533" width="9.28515625" customWidth="1"/>
    <col min="1535" max="1535" width="9.28515625" customWidth="1"/>
    <col min="1536" max="1536" width="11.140625" bestFit="1" customWidth="1"/>
    <col min="1538" max="1538" width="9.5703125" bestFit="1" customWidth="1"/>
    <col min="1541" max="1541" width="11.7109375" customWidth="1"/>
    <col min="1786" max="1786" width="11.28515625" customWidth="1"/>
    <col min="1787" max="1787" width="10.140625" bestFit="1" customWidth="1"/>
    <col min="1788" max="1788" width="10.7109375" customWidth="1"/>
    <col min="1789" max="1789" width="9.28515625" customWidth="1"/>
    <col min="1791" max="1791" width="9.28515625" customWidth="1"/>
    <col min="1792" max="1792" width="11.140625" bestFit="1" customWidth="1"/>
    <col min="1794" max="1794" width="9.5703125" bestFit="1" customWidth="1"/>
    <col min="1797" max="1797" width="11.7109375" customWidth="1"/>
    <col min="2042" max="2042" width="11.28515625" customWidth="1"/>
    <col min="2043" max="2043" width="10.140625" bestFit="1" customWidth="1"/>
    <col min="2044" max="2044" width="10.7109375" customWidth="1"/>
    <col min="2045" max="2045" width="9.28515625" customWidth="1"/>
    <col min="2047" max="2047" width="9.28515625" customWidth="1"/>
    <col min="2048" max="2048" width="11.140625" bestFit="1" customWidth="1"/>
    <col min="2050" max="2050" width="9.5703125" bestFit="1" customWidth="1"/>
    <col min="2053" max="2053" width="11.7109375" customWidth="1"/>
    <col min="2298" max="2298" width="11.28515625" customWidth="1"/>
    <col min="2299" max="2299" width="10.140625" bestFit="1" customWidth="1"/>
    <col min="2300" max="2300" width="10.7109375" customWidth="1"/>
    <col min="2301" max="2301" width="9.28515625" customWidth="1"/>
    <col min="2303" max="2303" width="9.28515625" customWidth="1"/>
    <col min="2304" max="2304" width="11.140625" bestFit="1" customWidth="1"/>
    <col min="2306" max="2306" width="9.5703125" bestFit="1" customWidth="1"/>
    <col min="2309" max="2309" width="11.7109375" customWidth="1"/>
    <col min="2554" max="2554" width="11.28515625" customWidth="1"/>
    <col min="2555" max="2555" width="10.140625" bestFit="1" customWidth="1"/>
    <col min="2556" max="2556" width="10.7109375" customWidth="1"/>
    <col min="2557" max="2557" width="9.28515625" customWidth="1"/>
    <col min="2559" max="2559" width="9.28515625" customWidth="1"/>
    <col min="2560" max="2560" width="11.140625" bestFit="1" customWidth="1"/>
    <col min="2562" max="2562" width="9.5703125" bestFit="1" customWidth="1"/>
    <col min="2565" max="2565" width="11.7109375" customWidth="1"/>
    <col min="2810" max="2810" width="11.28515625" customWidth="1"/>
    <col min="2811" max="2811" width="10.140625" bestFit="1" customWidth="1"/>
    <col min="2812" max="2812" width="10.7109375" customWidth="1"/>
    <col min="2813" max="2813" width="9.28515625" customWidth="1"/>
    <col min="2815" max="2815" width="9.28515625" customWidth="1"/>
    <col min="2816" max="2816" width="11.140625" bestFit="1" customWidth="1"/>
    <col min="2818" max="2818" width="9.5703125" bestFit="1" customWidth="1"/>
    <col min="2821" max="2821" width="11.7109375" customWidth="1"/>
    <col min="3066" max="3066" width="11.28515625" customWidth="1"/>
    <col min="3067" max="3067" width="10.140625" bestFit="1" customWidth="1"/>
    <col min="3068" max="3068" width="10.7109375" customWidth="1"/>
    <col min="3069" max="3069" width="9.28515625" customWidth="1"/>
    <col min="3071" max="3071" width="9.28515625" customWidth="1"/>
    <col min="3072" max="3072" width="11.140625" bestFit="1" customWidth="1"/>
    <col min="3074" max="3074" width="9.5703125" bestFit="1" customWidth="1"/>
    <col min="3077" max="3077" width="11.7109375" customWidth="1"/>
    <col min="3322" max="3322" width="11.28515625" customWidth="1"/>
    <col min="3323" max="3323" width="10.140625" bestFit="1" customWidth="1"/>
    <col min="3324" max="3324" width="10.7109375" customWidth="1"/>
    <col min="3325" max="3325" width="9.28515625" customWidth="1"/>
    <col min="3327" max="3327" width="9.28515625" customWidth="1"/>
    <col min="3328" max="3328" width="11.140625" bestFit="1" customWidth="1"/>
    <col min="3330" max="3330" width="9.5703125" bestFit="1" customWidth="1"/>
    <col min="3333" max="3333" width="11.7109375" customWidth="1"/>
    <col min="3578" max="3578" width="11.28515625" customWidth="1"/>
    <col min="3579" max="3579" width="10.140625" bestFit="1" customWidth="1"/>
    <col min="3580" max="3580" width="10.7109375" customWidth="1"/>
    <col min="3581" max="3581" width="9.28515625" customWidth="1"/>
    <col min="3583" max="3583" width="9.28515625" customWidth="1"/>
    <col min="3584" max="3584" width="11.140625" bestFit="1" customWidth="1"/>
    <col min="3586" max="3586" width="9.5703125" bestFit="1" customWidth="1"/>
    <col min="3589" max="3589" width="11.7109375" customWidth="1"/>
    <col min="3834" max="3834" width="11.28515625" customWidth="1"/>
    <col min="3835" max="3835" width="10.140625" bestFit="1" customWidth="1"/>
    <col min="3836" max="3836" width="10.7109375" customWidth="1"/>
    <col min="3837" max="3837" width="9.28515625" customWidth="1"/>
    <col min="3839" max="3839" width="9.28515625" customWidth="1"/>
    <col min="3840" max="3840" width="11.140625" bestFit="1" customWidth="1"/>
    <col min="3842" max="3842" width="9.5703125" bestFit="1" customWidth="1"/>
    <col min="3845" max="3845" width="11.7109375" customWidth="1"/>
    <col min="4090" max="4090" width="11.28515625" customWidth="1"/>
    <col min="4091" max="4091" width="10.140625" bestFit="1" customWidth="1"/>
    <col min="4092" max="4092" width="10.7109375" customWidth="1"/>
    <col min="4093" max="4093" width="9.28515625" customWidth="1"/>
    <col min="4095" max="4095" width="9.28515625" customWidth="1"/>
    <col min="4096" max="4096" width="11.140625" bestFit="1" customWidth="1"/>
    <col min="4098" max="4098" width="9.5703125" bestFit="1" customWidth="1"/>
    <col min="4101" max="4101" width="11.7109375" customWidth="1"/>
    <col min="4346" max="4346" width="11.28515625" customWidth="1"/>
    <col min="4347" max="4347" width="10.140625" bestFit="1" customWidth="1"/>
    <col min="4348" max="4348" width="10.7109375" customWidth="1"/>
    <col min="4349" max="4349" width="9.28515625" customWidth="1"/>
    <col min="4351" max="4351" width="9.28515625" customWidth="1"/>
    <col min="4352" max="4352" width="11.140625" bestFit="1" customWidth="1"/>
    <col min="4354" max="4354" width="9.5703125" bestFit="1" customWidth="1"/>
    <col min="4357" max="4357" width="11.7109375" customWidth="1"/>
    <col min="4602" max="4602" width="11.28515625" customWidth="1"/>
    <col min="4603" max="4603" width="10.140625" bestFit="1" customWidth="1"/>
    <col min="4604" max="4604" width="10.7109375" customWidth="1"/>
    <col min="4605" max="4605" width="9.28515625" customWidth="1"/>
    <col min="4607" max="4607" width="9.28515625" customWidth="1"/>
    <col min="4608" max="4608" width="11.140625" bestFit="1" customWidth="1"/>
    <col min="4610" max="4610" width="9.5703125" bestFit="1" customWidth="1"/>
    <col min="4613" max="4613" width="11.7109375" customWidth="1"/>
    <col min="4858" max="4858" width="11.28515625" customWidth="1"/>
    <col min="4859" max="4859" width="10.140625" bestFit="1" customWidth="1"/>
    <col min="4860" max="4860" width="10.7109375" customWidth="1"/>
    <col min="4861" max="4861" width="9.28515625" customWidth="1"/>
    <col min="4863" max="4863" width="9.28515625" customWidth="1"/>
    <col min="4864" max="4864" width="11.140625" bestFit="1" customWidth="1"/>
    <col min="4866" max="4866" width="9.5703125" bestFit="1" customWidth="1"/>
    <col min="4869" max="4869" width="11.7109375" customWidth="1"/>
    <col min="5114" max="5114" width="11.28515625" customWidth="1"/>
    <col min="5115" max="5115" width="10.140625" bestFit="1" customWidth="1"/>
    <col min="5116" max="5116" width="10.7109375" customWidth="1"/>
    <col min="5117" max="5117" width="9.28515625" customWidth="1"/>
    <col min="5119" max="5119" width="9.28515625" customWidth="1"/>
    <col min="5120" max="5120" width="11.140625" bestFit="1" customWidth="1"/>
    <col min="5122" max="5122" width="9.5703125" bestFit="1" customWidth="1"/>
    <col min="5125" max="5125" width="11.7109375" customWidth="1"/>
    <col min="5370" max="5370" width="11.28515625" customWidth="1"/>
    <col min="5371" max="5371" width="10.140625" bestFit="1" customWidth="1"/>
    <col min="5372" max="5372" width="10.7109375" customWidth="1"/>
    <col min="5373" max="5373" width="9.28515625" customWidth="1"/>
    <col min="5375" max="5375" width="9.28515625" customWidth="1"/>
    <col min="5376" max="5376" width="11.140625" bestFit="1" customWidth="1"/>
    <col min="5378" max="5378" width="9.5703125" bestFit="1" customWidth="1"/>
    <col min="5381" max="5381" width="11.7109375" customWidth="1"/>
    <col min="5626" max="5626" width="11.28515625" customWidth="1"/>
    <col min="5627" max="5627" width="10.140625" bestFit="1" customWidth="1"/>
    <col min="5628" max="5628" width="10.7109375" customWidth="1"/>
    <col min="5629" max="5629" width="9.28515625" customWidth="1"/>
    <col min="5631" max="5631" width="9.28515625" customWidth="1"/>
    <col min="5632" max="5632" width="11.140625" bestFit="1" customWidth="1"/>
    <col min="5634" max="5634" width="9.5703125" bestFit="1" customWidth="1"/>
    <col min="5637" max="5637" width="11.7109375" customWidth="1"/>
    <col min="5882" max="5882" width="11.28515625" customWidth="1"/>
    <col min="5883" max="5883" width="10.140625" bestFit="1" customWidth="1"/>
    <col min="5884" max="5884" width="10.7109375" customWidth="1"/>
    <col min="5885" max="5885" width="9.28515625" customWidth="1"/>
    <col min="5887" max="5887" width="9.28515625" customWidth="1"/>
    <col min="5888" max="5888" width="11.140625" bestFit="1" customWidth="1"/>
    <col min="5890" max="5890" width="9.5703125" bestFit="1" customWidth="1"/>
    <col min="5893" max="5893" width="11.7109375" customWidth="1"/>
    <col min="6138" max="6138" width="11.28515625" customWidth="1"/>
    <col min="6139" max="6139" width="10.140625" bestFit="1" customWidth="1"/>
    <col min="6140" max="6140" width="10.7109375" customWidth="1"/>
    <col min="6141" max="6141" width="9.28515625" customWidth="1"/>
    <col min="6143" max="6143" width="9.28515625" customWidth="1"/>
    <col min="6144" max="6144" width="11.140625" bestFit="1" customWidth="1"/>
    <col min="6146" max="6146" width="9.5703125" bestFit="1" customWidth="1"/>
    <col min="6149" max="6149" width="11.7109375" customWidth="1"/>
    <col min="6394" max="6394" width="11.28515625" customWidth="1"/>
    <col min="6395" max="6395" width="10.140625" bestFit="1" customWidth="1"/>
    <col min="6396" max="6396" width="10.7109375" customWidth="1"/>
    <col min="6397" max="6397" width="9.28515625" customWidth="1"/>
    <col min="6399" max="6399" width="9.28515625" customWidth="1"/>
    <col min="6400" max="6400" width="11.140625" bestFit="1" customWidth="1"/>
    <col min="6402" max="6402" width="9.5703125" bestFit="1" customWidth="1"/>
    <col min="6405" max="6405" width="11.7109375" customWidth="1"/>
    <col min="6650" max="6650" width="11.28515625" customWidth="1"/>
    <col min="6651" max="6651" width="10.140625" bestFit="1" customWidth="1"/>
    <col min="6652" max="6652" width="10.7109375" customWidth="1"/>
    <col min="6653" max="6653" width="9.28515625" customWidth="1"/>
    <col min="6655" max="6655" width="9.28515625" customWidth="1"/>
    <col min="6656" max="6656" width="11.140625" bestFit="1" customWidth="1"/>
    <col min="6658" max="6658" width="9.5703125" bestFit="1" customWidth="1"/>
    <col min="6661" max="6661" width="11.7109375" customWidth="1"/>
    <col min="6906" max="6906" width="11.28515625" customWidth="1"/>
    <col min="6907" max="6907" width="10.140625" bestFit="1" customWidth="1"/>
    <col min="6908" max="6908" width="10.7109375" customWidth="1"/>
    <col min="6909" max="6909" width="9.28515625" customWidth="1"/>
    <col min="6911" max="6911" width="9.28515625" customWidth="1"/>
    <col min="6912" max="6912" width="11.140625" bestFit="1" customWidth="1"/>
    <col min="6914" max="6914" width="9.5703125" bestFit="1" customWidth="1"/>
    <col min="6917" max="6917" width="11.7109375" customWidth="1"/>
    <col min="7162" max="7162" width="11.28515625" customWidth="1"/>
    <col min="7163" max="7163" width="10.140625" bestFit="1" customWidth="1"/>
    <col min="7164" max="7164" width="10.7109375" customWidth="1"/>
    <col min="7165" max="7165" width="9.28515625" customWidth="1"/>
    <col min="7167" max="7167" width="9.28515625" customWidth="1"/>
    <col min="7168" max="7168" width="11.140625" bestFit="1" customWidth="1"/>
    <col min="7170" max="7170" width="9.5703125" bestFit="1" customWidth="1"/>
    <col min="7173" max="7173" width="11.7109375" customWidth="1"/>
    <col min="7418" max="7418" width="11.28515625" customWidth="1"/>
    <col min="7419" max="7419" width="10.140625" bestFit="1" customWidth="1"/>
    <col min="7420" max="7420" width="10.7109375" customWidth="1"/>
    <col min="7421" max="7421" width="9.28515625" customWidth="1"/>
    <col min="7423" max="7423" width="9.28515625" customWidth="1"/>
    <col min="7424" max="7424" width="11.140625" bestFit="1" customWidth="1"/>
    <col min="7426" max="7426" width="9.5703125" bestFit="1" customWidth="1"/>
    <col min="7429" max="7429" width="11.7109375" customWidth="1"/>
    <col min="7674" max="7674" width="11.28515625" customWidth="1"/>
    <col min="7675" max="7675" width="10.140625" bestFit="1" customWidth="1"/>
    <col min="7676" max="7676" width="10.7109375" customWidth="1"/>
    <col min="7677" max="7677" width="9.28515625" customWidth="1"/>
    <col min="7679" max="7679" width="9.28515625" customWidth="1"/>
    <col min="7680" max="7680" width="11.140625" bestFit="1" customWidth="1"/>
    <col min="7682" max="7682" width="9.5703125" bestFit="1" customWidth="1"/>
    <col min="7685" max="7685" width="11.7109375" customWidth="1"/>
    <col min="7930" max="7930" width="11.28515625" customWidth="1"/>
    <col min="7931" max="7931" width="10.140625" bestFit="1" customWidth="1"/>
    <col min="7932" max="7932" width="10.7109375" customWidth="1"/>
    <col min="7933" max="7933" width="9.28515625" customWidth="1"/>
    <col min="7935" max="7935" width="9.28515625" customWidth="1"/>
    <col min="7936" max="7936" width="11.140625" bestFit="1" customWidth="1"/>
    <col min="7938" max="7938" width="9.5703125" bestFit="1" customWidth="1"/>
    <col min="7941" max="7941" width="11.7109375" customWidth="1"/>
    <col min="8186" max="8186" width="11.28515625" customWidth="1"/>
    <col min="8187" max="8187" width="10.140625" bestFit="1" customWidth="1"/>
    <col min="8188" max="8188" width="10.7109375" customWidth="1"/>
    <col min="8189" max="8189" width="9.28515625" customWidth="1"/>
    <col min="8191" max="8191" width="9.28515625" customWidth="1"/>
    <col min="8192" max="8192" width="11.140625" bestFit="1" customWidth="1"/>
    <col min="8194" max="8194" width="9.5703125" bestFit="1" customWidth="1"/>
    <col min="8197" max="8197" width="11.7109375" customWidth="1"/>
    <col min="8442" max="8442" width="11.28515625" customWidth="1"/>
    <col min="8443" max="8443" width="10.140625" bestFit="1" customWidth="1"/>
    <col min="8444" max="8444" width="10.7109375" customWidth="1"/>
    <col min="8445" max="8445" width="9.28515625" customWidth="1"/>
    <col min="8447" max="8447" width="9.28515625" customWidth="1"/>
    <col min="8448" max="8448" width="11.140625" bestFit="1" customWidth="1"/>
    <col min="8450" max="8450" width="9.5703125" bestFit="1" customWidth="1"/>
    <col min="8453" max="8453" width="11.7109375" customWidth="1"/>
    <col min="8698" max="8698" width="11.28515625" customWidth="1"/>
    <col min="8699" max="8699" width="10.140625" bestFit="1" customWidth="1"/>
    <col min="8700" max="8700" width="10.7109375" customWidth="1"/>
    <col min="8701" max="8701" width="9.28515625" customWidth="1"/>
    <col min="8703" max="8703" width="9.28515625" customWidth="1"/>
    <col min="8704" max="8704" width="11.140625" bestFit="1" customWidth="1"/>
    <col min="8706" max="8706" width="9.5703125" bestFit="1" customWidth="1"/>
    <col min="8709" max="8709" width="11.7109375" customWidth="1"/>
    <col min="8954" max="8954" width="11.28515625" customWidth="1"/>
    <col min="8955" max="8955" width="10.140625" bestFit="1" customWidth="1"/>
    <col min="8956" max="8956" width="10.7109375" customWidth="1"/>
    <col min="8957" max="8957" width="9.28515625" customWidth="1"/>
    <col min="8959" max="8959" width="9.28515625" customWidth="1"/>
    <col min="8960" max="8960" width="11.140625" bestFit="1" customWidth="1"/>
    <col min="8962" max="8962" width="9.5703125" bestFit="1" customWidth="1"/>
    <col min="8965" max="8965" width="11.7109375" customWidth="1"/>
    <col min="9210" max="9210" width="11.28515625" customWidth="1"/>
    <col min="9211" max="9211" width="10.140625" bestFit="1" customWidth="1"/>
    <col min="9212" max="9212" width="10.7109375" customWidth="1"/>
    <col min="9213" max="9213" width="9.28515625" customWidth="1"/>
    <col min="9215" max="9215" width="9.28515625" customWidth="1"/>
    <col min="9216" max="9216" width="11.140625" bestFit="1" customWidth="1"/>
    <col min="9218" max="9218" width="9.5703125" bestFit="1" customWidth="1"/>
    <col min="9221" max="9221" width="11.7109375" customWidth="1"/>
    <col min="9466" max="9466" width="11.28515625" customWidth="1"/>
    <col min="9467" max="9467" width="10.140625" bestFit="1" customWidth="1"/>
    <col min="9468" max="9468" width="10.7109375" customWidth="1"/>
    <col min="9469" max="9469" width="9.28515625" customWidth="1"/>
    <col min="9471" max="9471" width="9.28515625" customWidth="1"/>
    <col min="9472" max="9472" width="11.140625" bestFit="1" customWidth="1"/>
    <col min="9474" max="9474" width="9.5703125" bestFit="1" customWidth="1"/>
    <col min="9477" max="9477" width="11.7109375" customWidth="1"/>
    <col min="9722" max="9722" width="11.28515625" customWidth="1"/>
    <col min="9723" max="9723" width="10.140625" bestFit="1" customWidth="1"/>
    <col min="9724" max="9724" width="10.7109375" customWidth="1"/>
    <col min="9725" max="9725" width="9.28515625" customWidth="1"/>
    <col min="9727" max="9727" width="9.28515625" customWidth="1"/>
    <col min="9728" max="9728" width="11.140625" bestFit="1" customWidth="1"/>
    <col min="9730" max="9730" width="9.5703125" bestFit="1" customWidth="1"/>
    <col min="9733" max="9733" width="11.7109375" customWidth="1"/>
    <col min="9978" max="9978" width="11.28515625" customWidth="1"/>
    <col min="9979" max="9979" width="10.140625" bestFit="1" customWidth="1"/>
    <col min="9980" max="9980" width="10.7109375" customWidth="1"/>
    <col min="9981" max="9981" width="9.28515625" customWidth="1"/>
    <col min="9983" max="9983" width="9.28515625" customWidth="1"/>
    <col min="9984" max="9984" width="11.140625" bestFit="1" customWidth="1"/>
    <col min="9986" max="9986" width="9.5703125" bestFit="1" customWidth="1"/>
    <col min="9989" max="9989" width="11.7109375" customWidth="1"/>
    <col min="10234" max="10234" width="11.28515625" customWidth="1"/>
    <col min="10235" max="10235" width="10.140625" bestFit="1" customWidth="1"/>
    <col min="10236" max="10236" width="10.7109375" customWidth="1"/>
    <col min="10237" max="10237" width="9.28515625" customWidth="1"/>
    <col min="10239" max="10239" width="9.28515625" customWidth="1"/>
    <col min="10240" max="10240" width="11.140625" bestFit="1" customWidth="1"/>
    <col min="10242" max="10242" width="9.5703125" bestFit="1" customWidth="1"/>
    <col min="10245" max="10245" width="11.7109375" customWidth="1"/>
    <col min="10490" max="10490" width="11.28515625" customWidth="1"/>
    <col min="10491" max="10491" width="10.140625" bestFit="1" customWidth="1"/>
    <col min="10492" max="10492" width="10.7109375" customWidth="1"/>
    <col min="10493" max="10493" width="9.28515625" customWidth="1"/>
    <col min="10495" max="10495" width="9.28515625" customWidth="1"/>
    <col min="10496" max="10496" width="11.140625" bestFit="1" customWidth="1"/>
    <col min="10498" max="10498" width="9.5703125" bestFit="1" customWidth="1"/>
    <col min="10501" max="10501" width="11.7109375" customWidth="1"/>
    <col min="10746" max="10746" width="11.28515625" customWidth="1"/>
    <col min="10747" max="10747" width="10.140625" bestFit="1" customWidth="1"/>
    <col min="10748" max="10748" width="10.7109375" customWidth="1"/>
    <col min="10749" max="10749" width="9.28515625" customWidth="1"/>
    <col min="10751" max="10751" width="9.28515625" customWidth="1"/>
    <col min="10752" max="10752" width="11.140625" bestFit="1" customWidth="1"/>
    <col min="10754" max="10754" width="9.5703125" bestFit="1" customWidth="1"/>
    <col min="10757" max="10757" width="11.7109375" customWidth="1"/>
    <col min="11002" max="11002" width="11.28515625" customWidth="1"/>
    <col min="11003" max="11003" width="10.140625" bestFit="1" customWidth="1"/>
    <col min="11004" max="11004" width="10.7109375" customWidth="1"/>
    <col min="11005" max="11005" width="9.28515625" customWidth="1"/>
    <col min="11007" max="11007" width="9.28515625" customWidth="1"/>
    <col min="11008" max="11008" width="11.140625" bestFit="1" customWidth="1"/>
    <col min="11010" max="11010" width="9.5703125" bestFit="1" customWidth="1"/>
    <col min="11013" max="11013" width="11.7109375" customWidth="1"/>
    <col min="11258" max="11258" width="11.28515625" customWidth="1"/>
    <col min="11259" max="11259" width="10.140625" bestFit="1" customWidth="1"/>
    <col min="11260" max="11260" width="10.7109375" customWidth="1"/>
    <col min="11261" max="11261" width="9.28515625" customWidth="1"/>
    <col min="11263" max="11263" width="9.28515625" customWidth="1"/>
    <col min="11264" max="11264" width="11.140625" bestFit="1" customWidth="1"/>
    <col min="11266" max="11266" width="9.5703125" bestFit="1" customWidth="1"/>
    <col min="11269" max="11269" width="11.7109375" customWidth="1"/>
    <col min="11514" max="11514" width="11.28515625" customWidth="1"/>
    <col min="11515" max="11515" width="10.140625" bestFit="1" customWidth="1"/>
    <col min="11516" max="11516" width="10.7109375" customWidth="1"/>
    <col min="11517" max="11517" width="9.28515625" customWidth="1"/>
    <col min="11519" max="11519" width="9.28515625" customWidth="1"/>
    <col min="11520" max="11520" width="11.140625" bestFit="1" customWidth="1"/>
    <col min="11522" max="11522" width="9.5703125" bestFit="1" customWidth="1"/>
    <col min="11525" max="11525" width="11.7109375" customWidth="1"/>
    <col min="11770" max="11770" width="11.28515625" customWidth="1"/>
    <col min="11771" max="11771" width="10.140625" bestFit="1" customWidth="1"/>
    <col min="11772" max="11772" width="10.7109375" customWidth="1"/>
    <col min="11773" max="11773" width="9.28515625" customWidth="1"/>
    <col min="11775" max="11775" width="9.28515625" customWidth="1"/>
    <col min="11776" max="11776" width="11.140625" bestFit="1" customWidth="1"/>
    <col min="11778" max="11778" width="9.5703125" bestFit="1" customWidth="1"/>
    <col min="11781" max="11781" width="11.7109375" customWidth="1"/>
    <col min="12026" max="12026" width="11.28515625" customWidth="1"/>
    <col min="12027" max="12027" width="10.140625" bestFit="1" customWidth="1"/>
    <col min="12028" max="12028" width="10.7109375" customWidth="1"/>
    <col min="12029" max="12029" width="9.28515625" customWidth="1"/>
    <col min="12031" max="12031" width="9.28515625" customWidth="1"/>
    <col min="12032" max="12032" width="11.140625" bestFit="1" customWidth="1"/>
    <col min="12034" max="12034" width="9.5703125" bestFit="1" customWidth="1"/>
    <col min="12037" max="12037" width="11.7109375" customWidth="1"/>
    <col min="12282" max="12282" width="11.28515625" customWidth="1"/>
    <col min="12283" max="12283" width="10.140625" bestFit="1" customWidth="1"/>
    <col min="12284" max="12284" width="10.7109375" customWidth="1"/>
    <col min="12285" max="12285" width="9.28515625" customWidth="1"/>
    <col min="12287" max="12287" width="9.28515625" customWidth="1"/>
    <col min="12288" max="12288" width="11.140625" bestFit="1" customWidth="1"/>
    <col min="12290" max="12290" width="9.5703125" bestFit="1" customWidth="1"/>
    <col min="12293" max="12293" width="11.7109375" customWidth="1"/>
    <col min="12538" max="12538" width="11.28515625" customWidth="1"/>
    <col min="12539" max="12539" width="10.140625" bestFit="1" customWidth="1"/>
    <col min="12540" max="12540" width="10.7109375" customWidth="1"/>
    <col min="12541" max="12541" width="9.28515625" customWidth="1"/>
    <col min="12543" max="12543" width="9.28515625" customWidth="1"/>
    <col min="12544" max="12544" width="11.140625" bestFit="1" customWidth="1"/>
    <col min="12546" max="12546" width="9.5703125" bestFit="1" customWidth="1"/>
    <col min="12549" max="12549" width="11.7109375" customWidth="1"/>
    <col min="12794" max="12794" width="11.28515625" customWidth="1"/>
    <col min="12795" max="12795" width="10.140625" bestFit="1" customWidth="1"/>
    <col min="12796" max="12796" width="10.7109375" customWidth="1"/>
    <col min="12797" max="12797" width="9.28515625" customWidth="1"/>
    <col min="12799" max="12799" width="9.28515625" customWidth="1"/>
    <col min="12800" max="12800" width="11.140625" bestFit="1" customWidth="1"/>
    <col min="12802" max="12802" width="9.5703125" bestFit="1" customWidth="1"/>
    <col min="12805" max="12805" width="11.7109375" customWidth="1"/>
    <col min="13050" max="13050" width="11.28515625" customWidth="1"/>
    <col min="13051" max="13051" width="10.140625" bestFit="1" customWidth="1"/>
    <col min="13052" max="13052" width="10.7109375" customWidth="1"/>
    <col min="13053" max="13053" width="9.28515625" customWidth="1"/>
    <col min="13055" max="13055" width="9.28515625" customWidth="1"/>
    <col min="13056" max="13056" width="11.140625" bestFit="1" customWidth="1"/>
    <col min="13058" max="13058" width="9.5703125" bestFit="1" customWidth="1"/>
    <col min="13061" max="13061" width="11.7109375" customWidth="1"/>
    <col min="13306" max="13306" width="11.28515625" customWidth="1"/>
    <col min="13307" max="13307" width="10.140625" bestFit="1" customWidth="1"/>
    <col min="13308" max="13308" width="10.7109375" customWidth="1"/>
    <col min="13309" max="13309" width="9.28515625" customWidth="1"/>
    <col min="13311" max="13311" width="9.28515625" customWidth="1"/>
    <col min="13312" max="13312" width="11.140625" bestFit="1" customWidth="1"/>
    <col min="13314" max="13314" width="9.5703125" bestFit="1" customWidth="1"/>
    <col min="13317" max="13317" width="11.7109375" customWidth="1"/>
    <col min="13562" max="13562" width="11.28515625" customWidth="1"/>
    <col min="13563" max="13563" width="10.140625" bestFit="1" customWidth="1"/>
    <col min="13564" max="13564" width="10.7109375" customWidth="1"/>
    <col min="13565" max="13565" width="9.28515625" customWidth="1"/>
    <col min="13567" max="13567" width="9.28515625" customWidth="1"/>
    <col min="13568" max="13568" width="11.140625" bestFit="1" customWidth="1"/>
    <col min="13570" max="13570" width="9.5703125" bestFit="1" customWidth="1"/>
    <col min="13573" max="13573" width="11.7109375" customWidth="1"/>
    <col min="13818" max="13818" width="11.28515625" customWidth="1"/>
    <col min="13819" max="13819" width="10.140625" bestFit="1" customWidth="1"/>
    <col min="13820" max="13820" width="10.7109375" customWidth="1"/>
    <col min="13821" max="13821" width="9.28515625" customWidth="1"/>
    <col min="13823" max="13823" width="9.28515625" customWidth="1"/>
    <col min="13824" max="13824" width="11.140625" bestFit="1" customWidth="1"/>
    <col min="13826" max="13826" width="9.5703125" bestFit="1" customWidth="1"/>
    <col min="13829" max="13829" width="11.7109375" customWidth="1"/>
    <col min="14074" max="14074" width="11.28515625" customWidth="1"/>
    <col min="14075" max="14075" width="10.140625" bestFit="1" customWidth="1"/>
    <col min="14076" max="14076" width="10.7109375" customWidth="1"/>
    <col min="14077" max="14077" width="9.28515625" customWidth="1"/>
    <col min="14079" max="14079" width="9.28515625" customWidth="1"/>
    <col min="14080" max="14080" width="11.140625" bestFit="1" customWidth="1"/>
    <col min="14082" max="14082" width="9.5703125" bestFit="1" customWidth="1"/>
    <col min="14085" max="14085" width="11.7109375" customWidth="1"/>
    <col min="14330" max="14330" width="11.28515625" customWidth="1"/>
    <col min="14331" max="14331" width="10.140625" bestFit="1" customWidth="1"/>
    <col min="14332" max="14332" width="10.7109375" customWidth="1"/>
    <col min="14333" max="14333" width="9.28515625" customWidth="1"/>
    <col min="14335" max="14335" width="9.28515625" customWidth="1"/>
    <col min="14336" max="14336" width="11.140625" bestFit="1" customWidth="1"/>
    <col min="14338" max="14338" width="9.5703125" bestFit="1" customWidth="1"/>
    <col min="14341" max="14341" width="11.7109375" customWidth="1"/>
    <col min="14586" max="14586" width="11.28515625" customWidth="1"/>
    <col min="14587" max="14587" width="10.140625" bestFit="1" customWidth="1"/>
    <col min="14588" max="14588" width="10.7109375" customWidth="1"/>
    <col min="14589" max="14589" width="9.28515625" customWidth="1"/>
    <col min="14591" max="14591" width="9.28515625" customWidth="1"/>
    <col min="14592" max="14592" width="11.140625" bestFit="1" customWidth="1"/>
    <col min="14594" max="14594" width="9.5703125" bestFit="1" customWidth="1"/>
    <col min="14597" max="14597" width="11.7109375" customWidth="1"/>
    <col min="14842" max="14842" width="11.28515625" customWidth="1"/>
    <col min="14843" max="14843" width="10.140625" bestFit="1" customWidth="1"/>
    <col min="14844" max="14844" width="10.7109375" customWidth="1"/>
    <col min="14845" max="14845" width="9.28515625" customWidth="1"/>
    <col min="14847" max="14847" width="9.28515625" customWidth="1"/>
    <col min="14848" max="14848" width="11.140625" bestFit="1" customWidth="1"/>
    <col min="14850" max="14850" width="9.5703125" bestFit="1" customWidth="1"/>
    <col min="14853" max="14853" width="11.7109375" customWidth="1"/>
    <col min="15098" max="15098" width="11.28515625" customWidth="1"/>
    <col min="15099" max="15099" width="10.140625" bestFit="1" customWidth="1"/>
    <col min="15100" max="15100" width="10.7109375" customWidth="1"/>
    <col min="15101" max="15101" width="9.28515625" customWidth="1"/>
    <col min="15103" max="15103" width="9.28515625" customWidth="1"/>
    <col min="15104" max="15104" width="11.140625" bestFit="1" customWidth="1"/>
    <col min="15106" max="15106" width="9.5703125" bestFit="1" customWidth="1"/>
    <col min="15109" max="15109" width="11.7109375" customWidth="1"/>
    <col min="15354" max="15354" width="11.28515625" customWidth="1"/>
    <col min="15355" max="15355" width="10.140625" bestFit="1" customWidth="1"/>
    <col min="15356" max="15356" width="10.7109375" customWidth="1"/>
    <col min="15357" max="15357" width="9.28515625" customWidth="1"/>
    <col min="15359" max="15359" width="9.28515625" customWidth="1"/>
    <col min="15360" max="15360" width="11.140625" bestFit="1" customWidth="1"/>
    <col min="15362" max="15362" width="9.5703125" bestFit="1" customWidth="1"/>
    <col min="15365" max="15365" width="11.7109375" customWidth="1"/>
    <col min="15610" max="15610" width="11.28515625" customWidth="1"/>
    <col min="15611" max="15611" width="10.140625" bestFit="1" customWidth="1"/>
    <col min="15612" max="15612" width="10.7109375" customWidth="1"/>
    <col min="15613" max="15613" width="9.28515625" customWidth="1"/>
    <col min="15615" max="15615" width="9.28515625" customWidth="1"/>
    <col min="15616" max="15616" width="11.140625" bestFit="1" customWidth="1"/>
    <col min="15618" max="15618" width="9.5703125" bestFit="1" customWidth="1"/>
    <col min="15621" max="15621" width="11.7109375" customWidth="1"/>
    <col min="15866" max="15866" width="11.28515625" customWidth="1"/>
    <col min="15867" max="15867" width="10.140625" bestFit="1" customWidth="1"/>
    <col min="15868" max="15868" width="10.7109375" customWidth="1"/>
    <col min="15869" max="15869" width="9.28515625" customWidth="1"/>
    <col min="15871" max="15871" width="9.28515625" customWidth="1"/>
    <col min="15872" max="15872" width="11.140625" bestFit="1" customWidth="1"/>
    <col min="15874" max="15874" width="9.5703125" bestFit="1" customWidth="1"/>
    <col min="15877" max="15877" width="11.7109375" customWidth="1"/>
    <col min="16122" max="16122" width="11.28515625" customWidth="1"/>
    <col min="16123" max="16123" width="10.140625" bestFit="1" customWidth="1"/>
    <col min="16124" max="16124" width="10.7109375" customWidth="1"/>
    <col min="16125" max="16125" width="9.28515625" customWidth="1"/>
    <col min="16127" max="16127" width="9.28515625" customWidth="1"/>
    <col min="16128" max="16128" width="11.140625" bestFit="1" customWidth="1"/>
    <col min="16130" max="16130" width="9.5703125" bestFit="1" customWidth="1"/>
    <col min="16133" max="16133" width="11.7109375" customWidth="1"/>
  </cols>
  <sheetData>
    <row r="1" spans="1:44" ht="15.75" thickBot="1" x14ac:dyDescent="0.3">
      <c r="A1" s="90" t="s">
        <v>41</v>
      </c>
      <c r="B1" s="90" t="s">
        <v>42</v>
      </c>
      <c r="C1" s="91"/>
      <c r="D1" s="91"/>
      <c r="E1" s="91"/>
      <c r="F1" s="91"/>
      <c r="G1" s="91"/>
      <c r="H1" s="91"/>
      <c r="M1" s="90" t="s">
        <v>41</v>
      </c>
      <c r="N1" s="90" t="s">
        <v>47</v>
      </c>
      <c r="O1" s="90"/>
      <c r="P1" s="90"/>
      <c r="Q1" s="90"/>
      <c r="R1" s="90"/>
      <c r="S1" s="90"/>
      <c r="T1" s="90"/>
      <c r="U1" s="90"/>
      <c r="V1" s="90"/>
      <c r="X1" t="s">
        <v>40</v>
      </c>
      <c r="Y1" s="65">
        <v>41437</v>
      </c>
    </row>
    <row r="2" spans="1:44" ht="15.75" thickBot="1" x14ac:dyDescent="0.3">
      <c r="G2" s="66" t="str">
        <f>_xll.qlModelSABR("First",J4,K3,B3:H3,B4:H4,B8:B11,C8:C11)</f>
        <v>MODEL@First#21:32:55</v>
      </c>
      <c r="H2" s="66"/>
      <c r="I2" s="73" t="s">
        <v>40</v>
      </c>
      <c r="J2" s="84">
        <v>41437</v>
      </c>
      <c r="K2" s="85"/>
      <c r="Y2" s="65"/>
      <c r="AF2" s="139" t="s">
        <v>63</v>
      </c>
      <c r="AG2" s="139"/>
      <c r="AH2" s="139"/>
      <c r="AI2" s="139"/>
    </row>
    <row r="3" spans="1:44" ht="15.75" thickBot="1" x14ac:dyDescent="0.3">
      <c r="A3" s="73" t="s">
        <v>14</v>
      </c>
      <c r="B3" s="74">
        <v>0.02</v>
      </c>
      <c r="C3" s="74">
        <v>2.5000000000000001E-2</v>
      </c>
      <c r="D3" s="74">
        <v>0.03</v>
      </c>
      <c r="E3" s="74">
        <v>3.5000000000000003E-2</v>
      </c>
      <c r="F3" s="74">
        <v>0.04</v>
      </c>
      <c r="G3" s="74">
        <v>4.4999999999999998E-2</v>
      </c>
      <c r="H3" s="74">
        <v>0.05</v>
      </c>
      <c r="I3" s="71" t="s">
        <v>29</v>
      </c>
      <c r="J3" s="86">
        <v>42533</v>
      </c>
      <c r="K3" s="87">
        <f>_xll.qlTimeYearFraction(J2,J3,"ACTUAL365")</f>
        <v>3.0027397260273974</v>
      </c>
      <c r="M3" s="95" t="s">
        <v>51</v>
      </c>
      <c r="N3" s="96" t="s">
        <v>48</v>
      </c>
      <c r="O3" s="97" t="s">
        <v>49</v>
      </c>
      <c r="P3" s="97" t="s">
        <v>35</v>
      </c>
      <c r="Q3" s="98" t="s">
        <v>50</v>
      </c>
      <c r="R3" s="140" t="s">
        <v>60</v>
      </c>
      <c r="S3" s="141"/>
      <c r="T3" s="141"/>
      <c r="U3" s="141"/>
      <c r="V3" s="141"/>
      <c r="W3" s="141"/>
      <c r="X3" s="142"/>
      <c r="Y3" s="140" t="s">
        <v>61</v>
      </c>
      <c r="Z3" s="141"/>
      <c r="AA3" s="141"/>
      <c r="AB3" s="141"/>
      <c r="AC3" s="141"/>
      <c r="AD3" s="141"/>
      <c r="AE3" s="142"/>
      <c r="AF3" s="114" t="s">
        <v>30</v>
      </c>
      <c r="AG3" s="115" t="s">
        <v>31</v>
      </c>
      <c r="AH3" s="115" t="s">
        <v>62</v>
      </c>
      <c r="AI3" s="116" t="s">
        <v>20</v>
      </c>
      <c r="AJ3" s="143" t="s">
        <v>41</v>
      </c>
      <c r="AK3" s="144"/>
      <c r="AL3" s="144"/>
      <c r="AM3" s="144"/>
      <c r="AN3" s="144"/>
      <c r="AO3" s="144"/>
      <c r="AP3" s="144"/>
      <c r="AQ3" s="144"/>
      <c r="AR3" s="145"/>
    </row>
    <row r="4" spans="1:44" x14ac:dyDescent="0.25">
      <c r="A4" s="79" t="s">
        <v>43</v>
      </c>
      <c r="B4" s="80">
        <v>0.45600000000000002</v>
      </c>
      <c r="C4" s="80">
        <v>0.41600000000000004</v>
      </c>
      <c r="D4" s="80">
        <v>0.379</v>
      </c>
      <c r="E4" s="80">
        <v>0.36599999999999999</v>
      </c>
      <c r="F4" s="80">
        <v>0.37799999999999995</v>
      </c>
      <c r="G4" s="80">
        <v>0.39200000000000002</v>
      </c>
      <c r="H4" s="80">
        <v>0.4</v>
      </c>
      <c r="I4" s="71" t="s">
        <v>35</v>
      </c>
      <c r="J4" s="72">
        <v>3.5000000000000003E-2</v>
      </c>
      <c r="K4" s="88"/>
      <c r="L4" s="117"/>
      <c r="M4" s="1" t="s">
        <v>52</v>
      </c>
      <c r="N4" s="99">
        <v>41529</v>
      </c>
      <c r="O4" s="100">
        <f t="shared" ref="O4:O11" si="0">_xll.qlTimeYearFraction($Y$1,N4,"ACTUAL365")</f>
        <v>0.25205479452054796</v>
      </c>
      <c r="P4" s="101">
        <v>2.5000000000000001E-2</v>
      </c>
      <c r="Q4" s="17">
        <v>0.34100000000000003</v>
      </c>
      <c r="R4" s="16">
        <v>0.01</v>
      </c>
      <c r="S4" s="101">
        <v>1.4999999999999999E-2</v>
      </c>
      <c r="T4" s="101">
        <v>0.02</v>
      </c>
      <c r="U4" s="101">
        <v>2.5000000000000001E-2</v>
      </c>
      <c r="V4" s="101">
        <v>0.03</v>
      </c>
      <c r="W4" s="101">
        <v>3.5000000000000003E-2</v>
      </c>
      <c r="X4" s="17">
        <v>0.04</v>
      </c>
      <c r="Y4" s="16">
        <v>0.57600000000000007</v>
      </c>
      <c r="Z4" s="101">
        <v>0.46600000000000003</v>
      </c>
      <c r="AA4" s="101">
        <v>0.35899999999999999</v>
      </c>
      <c r="AB4" s="101">
        <v>0.34100000000000003</v>
      </c>
      <c r="AC4" s="101">
        <v>0.41</v>
      </c>
      <c r="AD4" s="101">
        <v>0.45799999999999996</v>
      </c>
      <c r="AE4" s="17">
        <v>0.503</v>
      </c>
      <c r="AF4" s="109">
        <v>1</v>
      </c>
      <c r="AG4" s="108">
        <v>0.5</v>
      </c>
      <c r="AH4" s="108">
        <v>0.2</v>
      </c>
      <c r="AI4" s="110">
        <v>0</v>
      </c>
      <c r="AJ4" s="132" t="str">
        <f t="shared" ref="AJ4:AJ11" si="1">_xll.qlModelSABR("SWPT"&amp;M4,P4,O4,R4:X4,Y4:AE4,AF4:AI4,$AF$12:$AI$12)</f>
        <v>MODEL@SWPT3Mx10Y#21:32:56</v>
      </c>
      <c r="AK4" s="14" t="str">
        <f t="array" ref="AK4:AL9">_xll.qlModelGetSABRCalibratedParameters(AJ4)</f>
        <v>alpha:</v>
      </c>
      <c r="AL4" s="119">
        <v>5.2377567362807728E-2</v>
      </c>
      <c r="AM4" s="14" t="str">
        <f t="array" ref="AM4:AN9">_xll.qlModelGetSABRCalibratedParameters(AJ5)</f>
        <v>alpha:</v>
      </c>
      <c r="AN4" s="119">
        <v>5.7193070300741319E-2</v>
      </c>
      <c r="AO4" s="14" t="str">
        <f t="array" ref="AO4:AP9">_xll.qlModelGetSABRCalibratedParameters(AJ6)</f>
        <v>alpha:</v>
      </c>
      <c r="AP4" s="119">
        <v>6.0065636722622981E-2</v>
      </c>
      <c r="AQ4" s="14" t="str">
        <f t="array" ref="AQ4:AR9">_xll.qlModelGetSABRCalibratedParameters(AJ7)</f>
        <v>alpha:</v>
      </c>
      <c r="AR4" s="119">
        <v>6.0050488724988818E-2</v>
      </c>
    </row>
    <row r="5" spans="1:44" ht="15.75" thickBot="1" x14ac:dyDescent="0.3">
      <c r="A5" s="67" t="s">
        <v>44</v>
      </c>
      <c r="B5" s="68">
        <f>_xll.qlModelGetSABRInterpolatedValue($G$2,B3)</f>
        <v>0.46067172934403411</v>
      </c>
      <c r="C5" s="68">
        <f>_xll.qlModelGetSABRInterpolatedValue($G$2,C3)</f>
        <v>0.40859674328283779</v>
      </c>
      <c r="D5" s="68">
        <f>_xll.qlModelGetSABRInterpolatedValue($G$2,D3)</f>
        <v>0.37990144380903468</v>
      </c>
      <c r="E5" s="68">
        <f>_xll.qlModelGetSABRInterpolatedValue($G$2,E3)</f>
        <v>0.37133820546658619</v>
      </c>
      <c r="F5" s="68">
        <f>_xll.qlModelGetSABRInterpolatedValue($G$2,F3)</f>
        <v>0.37636137253848395</v>
      </c>
      <c r="G5" s="68">
        <f>_xll.qlModelGetSABRInterpolatedValue($G$2,G3)</f>
        <v>0.38811436571231578</v>
      </c>
      <c r="H5" s="68">
        <f>_xll.qlModelGetSABRInterpolatedValue($G$2,H3)</f>
        <v>0.40231575985477047</v>
      </c>
      <c r="I5" s="69" t="s">
        <v>36</v>
      </c>
      <c r="J5" s="70">
        <v>0.36599999999999999</v>
      </c>
      <c r="K5" s="89"/>
      <c r="L5" s="118"/>
      <c r="M5" s="1" t="s">
        <v>53</v>
      </c>
      <c r="N5" s="99">
        <v>41802</v>
      </c>
      <c r="O5" s="100">
        <f t="shared" si="0"/>
        <v>1</v>
      </c>
      <c r="P5" s="101">
        <v>2.75E-2</v>
      </c>
      <c r="Q5" s="17">
        <v>0.36499999999999999</v>
      </c>
      <c r="R5" s="16">
        <v>1.2500000000000001E-2</v>
      </c>
      <c r="S5" s="101">
        <v>1.7500000000000002E-2</v>
      </c>
      <c r="T5" s="101">
        <v>2.2499999999999999E-2</v>
      </c>
      <c r="U5" s="101">
        <v>2.75E-2</v>
      </c>
      <c r="V5" s="101">
        <v>3.2500000000000001E-2</v>
      </c>
      <c r="W5" s="101">
        <v>3.7499999999999999E-2</v>
      </c>
      <c r="X5" s="17">
        <v>4.2500000000000003E-2</v>
      </c>
      <c r="Y5" s="16">
        <v>0.53700000000000003</v>
      </c>
      <c r="Z5" s="101">
        <v>0.46899999999999997</v>
      </c>
      <c r="AA5" s="101">
        <v>0.39299999999999996</v>
      </c>
      <c r="AB5" s="101">
        <v>0.36499999999999999</v>
      </c>
      <c r="AC5" s="101">
        <v>0.41299999999999998</v>
      </c>
      <c r="AD5" s="101">
        <v>0.434</v>
      </c>
      <c r="AE5" s="17">
        <v>0.46899999999999997</v>
      </c>
      <c r="AF5" s="109">
        <v>1</v>
      </c>
      <c r="AG5" s="108">
        <v>0.5</v>
      </c>
      <c r="AH5" s="108">
        <v>0.2</v>
      </c>
      <c r="AI5" s="110">
        <v>0</v>
      </c>
      <c r="AJ5" s="133" t="str">
        <f t="shared" si="1"/>
        <v>MODEL@SWPT1Yx10Y#21:32:56</v>
      </c>
      <c r="AK5" s="16" t="str">
        <v>beta:</v>
      </c>
      <c r="AL5" s="120">
        <v>0.50000000000000011</v>
      </c>
      <c r="AM5" s="16" t="str">
        <v>beta:</v>
      </c>
      <c r="AN5" s="120">
        <v>0.50000000000000011</v>
      </c>
      <c r="AO5" s="16" t="str">
        <v>beta:</v>
      </c>
      <c r="AP5" s="120">
        <v>0.50000000000000011</v>
      </c>
      <c r="AQ5" s="16" t="str">
        <v>beta:</v>
      </c>
      <c r="AR5" s="120">
        <v>0.50000000000000011</v>
      </c>
    </row>
    <row r="6" spans="1:44" ht="15.75" thickBot="1" x14ac:dyDescent="0.3">
      <c r="L6" s="118"/>
      <c r="M6" s="1" t="s">
        <v>54</v>
      </c>
      <c r="N6" s="99">
        <v>42167</v>
      </c>
      <c r="O6" s="100">
        <f t="shared" si="0"/>
        <v>2</v>
      </c>
      <c r="P6" s="101">
        <v>3.1800000000000002E-2</v>
      </c>
      <c r="Q6" s="17">
        <v>0.378</v>
      </c>
      <c r="R6" s="16">
        <v>1.6799999999999999E-2</v>
      </c>
      <c r="S6" s="101">
        <v>2.18E-2</v>
      </c>
      <c r="T6" s="101">
        <v>2.6800000000000001E-2</v>
      </c>
      <c r="U6" s="101">
        <v>3.1800000000000002E-2</v>
      </c>
      <c r="V6" s="101">
        <v>3.6799999999999999E-2</v>
      </c>
      <c r="W6" s="101">
        <v>4.1799999999999997E-2</v>
      </c>
      <c r="X6" s="17">
        <v>4.6799999999999994E-2</v>
      </c>
      <c r="Y6" s="16">
        <v>0.49399999999999999</v>
      </c>
      <c r="Z6" s="101">
        <v>0.44799999999999995</v>
      </c>
      <c r="AA6" s="101">
        <v>0.39600000000000002</v>
      </c>
      <c r="AB6" s="101">
        <v>0.37799999999999995</v>
      </c>
      <c r="AC6" s="101">
        <v>0.39500000000000002</v>
      </c>
      <c r="AD6" s="101">
        <v>0.41899999999999998</v>
      </c>
      <c r="AE6" s="17">
        <v>0.44</v>
      </c>
      <c r="AF6" s="109">
        <v>1</v>
      </c>
      <c r="AG6" s="108">
        <v>0.5</v>
      </c>
      <c r="AH6" s="108">
        <v>0.2</v>
      </c>
      <c r="AI6" s="110">
        <v>0</v>
      </c>
      <c r="AJ6" s="133" t="str">
        <f t="shared" si="1"/>
        <v>MODEL@SWPT2Yx10Y#21:32:56</v>
      </c>
      <c r="AK6" s="16" t="str">
        <v>nu:</v>
      </c>
      <c r="AL6" s="120">
        <v>1.4835101569805691</v>
      </c>
      <c r="AM6" s="16" t="str">
        <v>nu:</v>
      </c>
      <c r="AN6" s="120">
        <v>1.074097419985844</v>
      </c>
      <c r="AO6" s="16" t="str">
        <v>nu:</v>
      </c>
      <c r="AP6" s="120">
        <v>0.89846027737587764</v>
      </c>
      <c r="AQ6" s="16" t="str">
        <v>nu:</v>
      </c>
      <c r="AR6" s="120">
        <v>0.75856980659593132</v>
      </c>
    </row>
    <row r="7" spans="1:44" ht="15.75" thickBot="1" x14ac:dyDescent="0.3">
      <c r="A7" s="75" t="s">
        <v>45</v>
      </c>
      <c r="B7" s="82" t="s">
        <v>38</v>
      </c>
      <c r="C7" s="83" t="s">
        <v>39</v>
      </c>
      <c r="D7" s="146" t="s">
        <v>46</v>
      </c>
      <c r="E7" s="147"/>
      <c r="L7" s="118"/>
      <c r="M7" s="1" t="s">
        <v>55</v>
      </c>
      <c r="N7" s="99">
        <v>42533</v>
      </c>
      <c r="O7" s="100">
        <f t="shared" si="0"/>
        <v>3.0027397260273974</v>
      </c>
      <c r="P7" s="101">
        <v>3.5000000000000003E-2</v>
      </c>
      <c r="Q7" s="17">
        <v>0.36599999999999999</v>
      </c>
      <c r="R7" s="16">
        <v>0.02</v>
      </c>
      <c r="S7" s="101">
        <v>2.5000000000000001E-2</v>
      </c>
      <c r="T7" s="101">
        <v>0.03</v>
      </c>
      <c r="U7" s="101">
        <v>3.5000000000000003E-2</v>
      </c>
      <c r="V7" s="101">
        <v>0.04</v>
      </c>
      <c r="W7" s="101">
        <v>4.4999999999999998E-2</v>
      </c>
      <c r="X7" s="17">
        <v>0.05</v>
      </c>
      <c r="Y7" s="16">
        <v>0.45600000000000002</v>
      </c>
      <c r="Z7" s="101">
        <v>0.41600000000000004</v>
      </c>
      <c r="AA7" s="101">
        <v>0.379</v>
      </c>
      <c r="AB7" s="101">
        <v>0.36599999999999999</v>
      </c>
      <c r="AC7" s="101">
        <v>0.37799999999999995</v>
      </c>
      <c r="AD7" s="101">
        <v>0.39200000000000002</v>
      </c>
      <c r="AE7" s="17">
        <v>0.4</v>
      </c>
      <c r="AF7" s="109">
        <v>1</v>
      </c>
      <c r="AG7" s="108">
        <v>0.5</v>
      </c>
      <c r="AH7" s="108">
        <v>0.2</v>
      </c>
      <c r="AI7" s="110">
        <v>0</v>
      </c>
      <c r="AJ7" s="133" t="str">
        <f t="shared" si="1"/>
        <v>MODEL@SWPT3Yx10Y#21:32:56</v>
      </c>
      <c r="AK7" s="16" t="str">
        <v>rho:</v>
      </c>
      <c r="AL7" s="120">
        <v>0.35957009153392611</v>
      </c>
      <c r="AM7" s="16" t="str">
        <v>rho:</v>
      </c>
      <c r="AN7" s="120">
        <v>0.28193432179517253</v>
      </c>
      <c r="AO7" s="16" t="str">
        <v>rho:</v>
      </c>
      <c r="AP7" s="120">
        <v>0.23953024598966088</v>
      </c>
      <c r="AQ7" s="16" t="str">
        <v>rho:</v>
      </c>
      <c r="AR7" s="120">
        <v>0.20840173363401907</v>
      </c>
    </row>
    <row r="8" spans="1:44" x14ac:dyDescent="0.25">
      <c r="A8" s="71" t="s">
        <v>32</v>
      </c>
      <c r="B8" s="80">
        <v>1</v>
      </c>
      <c r="C8" s="80" t="b">
        <v>0</v>
      </c>
      <c r="D8" s="76" t="str">
        <f t="array" ref="D8:E13">_xll.qlModelGetSABRCalibratedParameters(G2)</f>
        <v>alpha:</v>
      </c>
      <c r="E8" s="92">
        <v>6.0050488724988818E-2</v>
      </c>
      <c r="L8" s="118"/>
      <c r="M8" s="1" t="s">
        <v>56</v>
      </c>
      <c r="N8" s="99">
        <v>42898</v>
      </c>
      <c r="O8" s="100">
        <f t="shared" si="0"/>
        <v>4.0027397260273974</v>
      </c>
      <c r="P8" s="101">
        <v>3.7600000000000001E-2</v>
      </c>
      <c r="Q8" s="17">
        <v>0.35</v>
      </c>
      <c r="R8" s="16">
        <v>2.2599999999999999E-2</v>
      </c>
      <c r="S8" s="101">
        <v>2.76E-2</v>
      </c>
      <c r="T8" s="101">
        <v>3.2599999999999997E-2</v>
      </c>
      <c r="U8" s="101">
        <v>3.7599999999999995E-2</v>
      </c>
      <c r="V8" s="101">
        <v>4.2599999999999999E-2</v>
      </c>
      <c r="W8" s="101">
        <v>4.7599999999999996E-2</v>
      </c>
      <c r="X8" s="17">
        <v>5.2600000000000001E-2</v>
      </c>
      <c r="Y8" s="16">
        <v>0.441</v>
      </c>
      <c r="Z8" s="101">
        <v>0.39799999999999996</v>
      </c>
      <c r="AA8" s="101">
        <v>0.37200000000000005</v>
      </c>
      <c r="AB8" s="101">
        <v>0.35</v>
      </c>
      <c r="AC8" s="101">
        <v>0.36</v>
      </c>
      <c r="AD8" s="101">
        <v>0.36899999999999999</v>
      </c>
      <c r="AE8" s="17">
        <v>0.375</v>
      </c>
      <c r="AF8" s="109">
        <v>1</v>
      </c>
      <c r="AG8" s="108">
        <v>0.5</v>
      </c>
      <c r="AH8" s="108">
        <v>0.2</v>
      </c>
      <c r="AI8" s="110">
        <v>0</v>
      </c>
      <c r="AJ8" s="133" t="str">
        <f t="shared" si="1"/>
        <v>MODEL@SWPT4Yx10Y#21:32:56</v>
      </c>
      <c r="AK8" s="16" t="str">
        <v>rmsError:</v>
      </c>
      <c r="AL8" s="120">
        <v>6.8395107045510859E-3</v>
      </c>
      <c r="AM8" s="16" t="str">
        <v>rmsError:</v>
      </c>
      <c r="AN8" s="120">
        <v>1.1984015607775751E-2</v>
      </c>
      <c r="AO8" s="16" t="str">
        <v>rmsError:</v>
      </c>
      <c r="AP8" s="120">
        <v>7.4874356405665076E-3</v>
      </c>
      <c r="AQ8" s="16" t="str">
        <v>rmsError:</v>
      </c>
      <c r="AR8" s="120">
        <v>4.4320684409756674E-3</v>
      </c>
    </row>
    <row r="9" spans="1:44" ht="15.75" thickBot="1" x14ac:dyDescent="0.3">
      <c r="A9" s="71" t="s">
        <v>33</v>
      </c>
      <c r="B9" s="80">
        <v>0.5</v>
      </c>
      <c r="C9" s="80" t="b">
        <v>1</v>
      </c>
      <c r="D9" s="77" t="str">
        <v>beta:</v>
      </c>
      <c r="E9" s="93">
        <v>0.50000000000000011</v>
      </c>
      <c r="L9" s="118"/>
      <c r="M9" s="1" t="s">
        <v>57</v>
      </c>
      <c r="N9" s="99">
        <v>43263</v>
      </c>
      <c r="O9" s="100">
        <f t="shared" si="0"/>
        <v>5.0027397260273974</v>
      </c>
      <c r="P9" s="101">
        <v>3.9100000000000003E-2</v>
      </c>
      <c r="Q9" s="17">
        <v>0.31900000000000001</v>
      </c>
      <c r="R9" s="16">
        <v>2.41E-2</v>
      </c>
      <c r="S9" s="101">
        <v>2.9100000000000001E-2</v>
      </c>
      <c r="T9" s="101">
        <v>3.4099999999999998E-2</v>
      </c>
      <c r="U9" s="101">
        <v>3.9100000000000003E-2</v>
      </c>
      <c r="V9" s="101">
        <v>4.41E-2</v>
      </c>
      <c r="W9" s="101">
        <v>4.9100000000000005E-2</v>
      </c>
      <c r="X9" s="17">
        <v>5.4100000000000002E-2</v>
      </c>
      <c r="Y9" s="16">
        <v>0.41100000000000003</v>
      </c>
      <c r="Z9" s="101">
        <v>0.374</v>
      </c>
      <c r="AA9" s="101">
        <v>0.34700000000000003</v>
      </c>
      <c r="AB9" s="101">
        <v>0.31900000000000001</v>
      </c>
      <c r="AC9" s="101">
        <v>0.32600000000000001</v>
      </c>
      <c r="AD9" s="101">
        <v>0.33200000000000002</v>
      </c>
      <c r="AE9" s="17">
        <v>0.33799999999999997</v>
      </c>
      <c r="AF9" s="109">
        <v>1</v>
      </c>
      <c r="AG9" s="108">
        <v>0.5</v>
      </c>
      <c r="AH9" s="108">
        <v>0.2</v>
      </c>
      <c r="AI9" s="110">
        <v>0</v>
      </c>
      <c r="AJ9" s="133" t="str">
        <f t="shared" si="1"/>
        <v>MODEL@SWPT5Yx10Y#21:32:55</v>
      </c>
      <c r="AK9" s="107" t="str">
        <v>maxError:</v>
      </c>
      <c r="AL9" s="121">
        <v>5.5386820423579342E-2</v>
      </c>
      <c r="AM9" s="107" t="str">
        <v>maxError:</v>
      </c>
      <c r="AN9" s="121">
        <v>2.7258658930000013E-2</v>
      </c>
      <c r="AO9" s="107" t="str">
        <v>maxError:</v>
      </c>
      <c r="AP9" s="121">
        <v>1.4200452647236461E-2</v>
      </c>
      <c r="AQ9" s="107" t="str">
        <v>maxError:</v>
      </c>
      <c r="AR9" s="121">
        <v>7.4032567171622432E-3</v>
      </c>
    </row>
    <row r="10" spans="1:44" x14ac:dyDescent="0.25">
      <c r="A10" s="71" t="s">
        <v>37</v>
      </c>
      <c r="B10" s="80">
        <v>0.2</v>
      </c>
      <c r="C10" s="80" t="b">
        <v>0</v>
      </c>
      <c r="D10" s="77" t="str">
        <v>nu:</v>
      </c>
      <c r="E10" s="93">
        <v>0.75856980659593132</v>
      </c>
      <c r="L10" s="118"/>
      <c r="M10" s="1" t="s">
        <v>58</v>
      </c>
      <c r="N10" s="99">
        <v>43994</v>
      </c>
      <c r="O10" s="100">
        <f t="shared" si="0"/>
        <v>7.0054794520547947</v>
      </c>
      <c r="P10" s="101">
        <v>4.0800000000000003E-2</v>
      </c>
      <c r="Q10" s="17">
        <v>0.28100000000000003</v>
      </c>
      <c r="R10" s="16">
        <v>2.58E-2</v>
      </c>
      <c r="S10" s="101">
        <v>3.0800000000000001E-2</v>
      </c>
      <c r="T10" s="101">
        <v>3.5799999999999998E-2</v>
      </c>
      <c r="U10" s="101">
        <v>4.0800000000000003E-2</v>
      </c>
      <c r="V10" s="101">
        <v>4.58E-2</v>
      </c>
      <c r="W10" s="101">
        <v>5.0799999999999998E-2</v>
      </c>
      <c r="X10" s="17">
        <v>5.5800000000000002E-2</v>
      </c>
      <c r="Y10" s="16">
        <v>0.35200000000000004</v>
      </c>
      <c r="Z10" s="101">
        <v>0.33399999999999996</v>
      </c>
      <c r="AA10" s="101">
        <v>0.30499999999999999</v>
      </c>
      <c r="AB10" s="101">
        <v>0.28100000000000003</v>
      </c>
      <c r="AC10" s="101">
        <v>0.28999999999999998</v>
      </c>
      <c r="AD10" s="101">
        <v>0.29600000000000004</v>
      </c>
      <c r="AE10" s="17">
        <v>0.30199999999999999</v>
      </c>
      <c r="AF10" s="109">
        <v>1</v>
      </c>
      <c r="AG10" s="108">
        <v>0.5</v>
      </c>
      <c r="AH10" s="108">
        <v>0.2</v>
      </c>
      <c r="AI10" s="110">
        <v>0</v>
      </c>
      <c r="AJ10" s="133" t="str">
        <f t="shared" si="1"/>
        <v>MODEL@SWPT7Yx10Y#21:32:56</v>
      </c>
      <c r="AK10" s="14" t="str">
        <f t="array" ref="AK10:AL15">_xll.qlModelGetSABRCalibratedParameters(AJ8)</f>
        <v>alpha:</v>
      </c>
      <c r="AL10" s="119">
        <v>5.8457578726126433E-2</v>
      </c>
      <c r="AM10" s="14" t="str">
        <f t="array" ref="AM10:AN15">_xll.qlModelGetSABRCalibratedParameters(AJ9)</f>
        <v>alpha:</v>
      </c>
      <c r="AN10" s="119">
        <v>5.4056346152366028E-2</v>
      </c>
      <c r="AO10" s="14" t="str">
        <f t="array" ref="AO10:AP15">_xll.qlModelGetSABRCalibratedParameters(AJ10)</f>
        <v>alpha:</v>
      </c>
      <c r="AP10" s="119">
        <v>4.8301275126720236E-2</v>
      </c>
      <c r="AQ10" s="14" t="str">
        <f t="array" ref="AQ10:AR15">_xll.qlModelGetSABRCalibratedParameters(AJ11)</f>
        <v>alpha:</v>
      </c>
      <c r="AR10" s="119">
        <v>4.6607123974568697E-2</v>
      </c>
    </row>
    <row r="11" spans="1:44" ht="15.75" thickBot="1" x14ac:dyDescent="0.3">
      <c r="A11" s="69" t="s">
        <v>34</v>
      </c>
      <c r="B11" s="81">
        <v>0</v>
      </c>
      <c r="C11" s="81" t="b">
        <v>0</v>
      </c>
      <c r="D11" s="77" t="str">
        <v>rho:</v>
      </c>
      <c r="E11" s="93">
        <v>0.20840173363401907</v>
      </c>
      <c r="L11" s="118"/>
      <c r="M11" s="102" t="s">
        <v>59</v>
      </c>
      <c r="N11" s="103">
        <v>45089</v>
      </c>
      <c r="O11" s="104">
        <f t="shared" si="0"/>
        <v>10.005479452054795</v>
      </c>
      <c r="P11" s="105">
        <v>4.1200000000000001E-2</v>
      </c>
      <c r="Q11" s="106">
        <v>0.26600000000000001</v>
      </c>
      <c r="R11" s="107">
        <v>2.6200000000000001E-2</v>
      </c>
      <c r="S11" s="105">
        <v>3.1200000000000002E-2</v>
      </c>
      <c r="T11" s="105">
        <v>3.6200000000000003E-2</v>
      </c>
      <c r="U11" s="105">
        <v>4.1200000000000001E-2</v>
      </c>
      <c r="V11" s="105">
        <v>4.6199999999999998E-2</v>
      </c>
      <c r="W11" s="105">
        <v>5.1200000000000002E-2</v>
      </c>
      <c r="X11" s="106">
        <v>5.62E-2</v>
      </c>
      <c r="Y11" s="107">
        <v>0.32</v>
      </c>
      <c r="Z11" s="105">
        <v>0.31</v>
      </c>
      <c r="AA11" s="105">
        <v>0.28899999999999998</v>
      </c>
      <c r="AB11" s="105">
        <v>0.26600000000000001</v>
      </c>
      <c r="AC11" s="105">
        <v>0.26</v>
      </c>
      <c r="AD11" s="105">
        <v>0.26300000000000001</v>
      </c>
      <c r="AE11" s="106">
        <v>0.27300000000000002</v>
      </c>
      <c r="AF11" s="111">
        <v>1</v>
      </c>
      <c r="AG11" s="112">
        <v>0.5</v>
      </c>
      <c r="AH11" s="112">
        <v>0.2</v>
      </c>
      <c r="AI11" s="113">
        <v>0</v>
      </c>
      <c r="AJ11" s="134" t="str">
        <f t="shared" si="1"/>
        <v>MODEL@SWPT10Yx10Y#21:32:55</v>
      </c>
      <c r="AK11" s="16" t="str">
        <v>beta:</v>
      </c>
      <c r="AL11" s="120">
        <v>0.50000000000000011</v>
      </c>
      <c r="AM11" s="16" t="str">
        <v>beta:</v>
      </c>
      <c r="AN11" s="120">
        <v>0.50000000000000011</v>
      </c>
      <c r="AO11" s="16" t="str">
        <v>beta:</v>
      </c>
      <c r="AP11" s="120">
        <v>0.50000000000000011</v>
      </c>
      <c r="AQ11" s="16" t="str">
        <v>beta:</v>
      </c>
      <c r="AR11" s="120">
        <v>0.50000000000000011</v>
      </c>
    </row>
    <row r="12" spans="1:44" ht="15.75" thickBot="1" x14ac:dyDescent="0.3">
      <c r="D12" s="77" t="str">
        <v>rmsError:</v>
      </c>
      <c r="E12" s="93">
        <v>4.4320684409756674E-3</v>
      </c>
      <c r="AF12" t="b">
        <v>0</v>
      </c>
      <c r="AG12" t="b">
        <v>1</v>
      </c>
      <c r="AH12" t="b">
        <v>0</v>
      </c>
      <c r="AI12" t="b">
        <v>0</v>
      </c>
      <c r="AK12" s="16" t="str">
        <v>nu:</v>
      </c>
      <c r="AL12" s="120">
        <v>0.71454716771070492</v>
      </c>
      <c r="AM12" s="16" t="str">
        <v>nu:</v>
      </c>
      <c r="AN12" s="120">
        <v>0.67096298290035938</v>
      </c>
      <c r="AO12" s="16" t="str">
        <v>nu:</v>
      </c>
      <c r="AP12" s="120">
        <v>0.58900944218324502</v>
      </c>
      <c r="AQ12" s="16" t="str">
        <v>nu:</v>
      </c>
      <c r="AR12" s="120">
        <v>0.4533730059536098</v>
      </c>
    </row>
    <row r="13" spans="1:44" ht="15.75" thickBot="1" x14ac:dyDescent="0.3">
      <c r="D13" s="78" t="str">
        <v>maxError:</v>
      </c>
      <c r="E13" s="94">
        <v>7.4032567171622432E-3</v>
      </c>
      <c r="M13" s="95" t="s">
        <v>46</v>
      </c>
      <c r="N13" s="96" t="s">
        <v>48</v>
      </c>
      <c r="O13" s="97" t="s">
        <v>49</v>
      </c>
      <c r="P13" s="97" t="s">
        <v>35</v>
      </c>
      <c r="Q13" s="98" t="s">
        <v>50</v>
      </c>
      <c r="R13" s="140" t="s">
        <v>60</v>
      </c>
      <c r="S13" s="141"/>
      <c r="T13" s="141"/>
      <c r="U13" s="141"/>
      <c r="V13" s="141"/>
      <c r="W13" s="141"/>
      <c r="X13" s="142"/>
      <c r="Y13" s="140" t="s">
        <v>61</v>
      </c>
      <c r="Z13" s="141"/>
      <c r="AA13" s="141"/>
      <c r="AB13" s="141"/>
      <c r="AC13" s="141"/>
      <c r="AD13" s="141"/>
      <c r="AE13" s="142"/>
      <c r="AF13" s="114" t="s">
        <v>30</v>
      </c>
      <c r="AG13" s="115" t="s">
        <v>31</v>
      </c>
      <c r="AH13" s="115" t="s">
        <v>62</v>
      </c>
      <c r="AI13" s="116" t="s">
        <v>20</v>
      </c>
      <c r="AK13" s="16" t="str">
        <v>rho:</v>
      </c>
      <c r="AL13" s="120">
        <v>0.13868274334396327</v>
      </c>
      <c r="AM13" s="16" t="str">
        <v>rho:</v>
      </c>
      <c r="AN13" s="120">
        <v>5.6130829806780566E-2</v>
      </c>
      <c r="AO13" s="16" t="str">
        <v>rho:</v>
      </c>
      <c r="AP13" s="120">
        <v>8.1169889255870348E-2</v>
      </c>
      <c r="AQ13" s="16" t="str">
        <v>rho:</v>
      </c>
      <c r="AR13" s="120">
        <v>1.6364426396549923E-2</v>
      </c>
    </row>
    <row r="14" spans="1:44" x14ac:dyDescent="0.25">
      <c r="M14" s="1" t="s">
        <v>52</v>
      </c>
      <c r="N14" s="99">
        <v>41529</v>
      </c>
      <c r="O14" s="100">
        <f t="shared" ref="O14:O21" si="2">_xll.qlTimeYearFraction($Y$1,N14,"ACTUAL365")</f>
        <v>0.25205479452054796</v>
      </c>
      <c r="P14" s="101">
        <v>2.5000000000000001E-2</v>
      </c>
      <c r="Q14" s="17">
        <v>0.34100000000000003</v>
      </c>
      <c r="R14" s="16">
        <v>0.01</v>
      </c>
      <c r="S14" s="101">
        <v>1.4999999999999999E-2</v>
      </c>
      <c r="T14" s="101">
        <v>0.02</v>
      </c>
      <c r="U14" s="101">
        <v>2.5000000000000001E-2</v>
      </c>
      <c r="V14" s="101">
        <v>0.03</v>
      </c>
      <c r="W14" s="101">
        <v>3.5000000000000003E-2</v>
      </c>
      <c r="X14" s="17">
        <v>0.04</v>
      </c>
      <c r="Y14" s="128">
        <f t="shared" ref="Y14:AE21" si="3">_xll.qlModelGetSABRInterpolatedValue($AJ4,R14)</f>
        <v>0.63138682042357941</v>
      </c>
      <c r="Z14" s="129">
        <f t="shared" si="3"/>
        <v>0.46049772386968679</v>
      </c>
      <c r="AA14" s="129">
        <f t="shared" si="3"/>
        <v>0.35642385127827692</v>
      </c>
      <c r="AB14" s="129">
        <f t="shared" si="3"/>
        <v>0.34554809563325062</v>
      </c>
      <c r="AC14" s="129">
        <f t="shared" si="3"/>
        <v>0.40122172480906093</v>
      </c>
      <c r="AD14" s="129">
        <f t="shared" si="3"/>
        <v>0.46044569006281555</v>
      </c>
      <c r="AE14" s="120">
        <f t="shared" si="3"/>
        <v>0.51170169438391067</v>
      </c>
      <c r="AF14" s="122">
        <f>AL4</f>
        <v>5.2377567362807728E-2</v>
      </c>
      <c r="AG14" s="123">
        <f>AL5</f>
        <v>0.50000000000000011</v>
      </c>
      <c r="AH14" s="123">
        <f>AL6</f>
        <v>1.4835101569805691</v>
      </c>
      <c r="AI14" s="124">
        <f>AL7</f>
        <v>0.35957009153392611</v>
      </c>
      <c r="AK14" s="16" t="str">
        <v>rmsError:</v>
      </c>
      <c r="AL14" s="120">
        <v>3.9066954511094171E-3</v>
      </c>
      <c r="AM14" s="16" t="str">
        <v>rmsError:</v>
      </c>
      <c r="AN14" s="120">
        <v>4.6902770366104643E-3</v>
      </c>
      <c r="AO14" s="16" t="str">
        <v>rmsError:</v>
      </c>
      <c r="AP14" s="120">
        <v>6.3638792919510079E-3</v>
      </c>
      <c r="AQ14" s="16" t="str">
        <v>rmsError:</v>
      </c>
      <c r="AR14" s="120">
        <v>6.8030373733753554E-3</v>
      </c>
    </row>
    <row r="15" spans="1:44" ht="15.75" thickBot="1" x14ac:dyDescent="0.3">
      <c r="M15" s="1" t="s">
        <v>53</v>
      </c>
      <c r="N15" s="99">
        <v>41802</v>
      </c>
      <c r="O15" s="100">
        <f t="shared" si="2"/>
        <v>1</v>
      </c>
      <c r="P15" s="101">
        <v>2.75E-2</v>
      </c>
      <c r="Q15" s="17">
        <v>0.36499999999999999</v>
      </c>
      <c r="R15" s="16">
        <v>1.2500000000000001E-2</v>
      </c>
      <c r="S15" s="101">
        <v>1.7500000000000002E-2</v>
      </c>
      <c r="T15" s="101">
        <v>2.2499999999999999E-2</v>
      </c>
      <c r="U15" s="101">
        <v>2.75E-2</v>
      </c>
      <c r="V15" s="101">
        <v>3.2500000000000001E-2</v>
      </c>
      <c r="W15" s="101">
        <v>3.7499999999999999E-2</v>
      </c>
      <c r="X15" s="17">
        <v>4.2500000000000003E-2</v>
      </c>
      <c r="Y15" s="128">
        <f t="shared" si="3"/>
        <v>0.56425865893000005</v>
      </c>
      <c r="Z15" s="129">
        <f t="shared" si="3"/>
        <v>0.45087777478253427</v>
      </c>
      <c r="AA15" s="129">
        <f t="shared" si="3"/>
        <v>0.3884742848404325</v>
      </c>
      <c r="AB15" s="129">
        <f t="shared" si="3"/>
        <v>0.37902124821136651</v>
      </c>
      <c r="AC15" s="129">
        <f t="shared" si="3"/>
        <v>0.40333183654574534</v>
      </c>
      <c r="AD15" s="129">
        <f t="shared" si="3"/>
        <v>0.43621015544180691</v>
      </c>
      <c r="AE15" s="120">
        <f t="shared" si="3"/>
        <v>0.46815557505970012</v>
      </c>
      <c r="AF15" s="122">
        <f>AN4</f>
        <v>5.7193070300741319E-2</v>
      </c>
      <c r="AG15" s="123">
        <f>AN5</f>
        <v>0.50000000000000011</v>
      </c>
      <c r="AH15" s="123">
        <f>AN6</f>
        <v>1.074097419985844</v>
      </c>
      <c r="AI15" s="124">
        <f>AN7</f>
        <v>0.28193432179517253</v>
      </c>
      <c r="AK15" s="107" t="str">
        <v>maxError:</v>
      </c>
      <c r="AL15" s="121">
        <v>6.9828053731075812E-3</v>
      </c>
      <c r="AM15" s="107" t="str">
        <v>maxError:</v>
      </c>
      <c r="AN15" s="121">
        <v>8.2646094389757785E-3</v>
      </c>
      <c r="AO15" s="107" t="str">
        <v>maxError:</v>
      </c>
      <c r="AP15" s="121">
        <v>9.9698223582193601E-3</v>
      </c>
      <c r="AQ15" s="107" t="str">
        <v>maxError:</v>
      </c>
      <c r="AR15" s="121">
        <v>9.0633132189429921E-3</v>
      </c>
    </row>
    <row r="16" spans="1:44" x14ac:dyDescent="0.25">
      <c r="M16" s="1" t="s">
        <v>54</v>
      </c>
      <c r="N16" s="99">
        <v>42167</v>
      </c>
      <c r="O16" s="100">
        <f t="shared" si="2"/>
        <v>2</v>
      </c>
      <c r="P16" s="101">
        <v>3.1800000000000002E-2</v>
      </c>
      <c r="Q16" s="17">
        <v>0.378</v>
      </c>
      <c r="R16" s="16">
        <v>1.6799999999999999E-2</v>
      </c>
      <c r="S16" s="101">
        <v>2.18E-2</v>
      </c>
      <c r="T16" s="101">
        <v>2.6800000000000001E-2</v>
      </c>
      <c r="U16" s="101">
        <v>3.1800000000000002E-2</v>
      </c>
      <c r="V16" s="101">
        <v>3.6799999999999999E-2</v>
      </c>
      <c r="W16" s="101">
        <v>4.1799999999999997E-2</v>
      </c>
      <c r="X16" s="17">
        <v>4.6799999999999994E-2</v>
      </c>
      <c r="Y16" s="128">
        <f t="shared" si="3"/>
        <v>0.50758691642804565</v>
      </c>
      <c r="Z16" s="129">
        <f t="shared" si="3"/>
        <v>0.43379954735276349</v>
      </c>
      <c r="AA16" s="129">
        <f t="shared" si="3"/>
        <v>0.39383696064146545</v>
      </c>
      <c r="AB16" s="129">
        <f t="shared" si="3"/>
        <v>0.38514837668428586</v>
      </c>
      <c r="AC16" s="129">
        <f t="shared" si="3"/>
        <v>0.39685773971223609</v>
      </c>
      <c r="AD16" s="129">
        <f t="shared" si="3"/>
        <v>0.41667380612507421</v>
      </c>
      <c r="AE16" s="120">
        <f t="shared" si="3"/>
        <v>0.43815167482992146</v>
      </c>
      <c r="AF16" s="122">
        <f>AP4</f>
        <v>6.0065636722622981E-2</v>
      </c>
      <c r="AG16" s="123">
        <f>AP5</f>
        <v>0.50000000000000011</v>
      </c>
      <c r="AH16" s="123">
        <f>AP6</f>
        <v>0.89846027737587764</v>
      </c>
      <c r="AI16" s="124">
        <f>AP7</f>
        <v>0.23953024598966088</v>
      </c>
    </row>
    <row r="17" spans="13:35" x14ac:dyDescent="0.25">
      <c r="M17" s="1" t="s">
        <v>55</v>
      </c>
      <c r="N17" s="99">
        <v>42533</v>
      </c>
      <c r="O17" s="100">
        <f t="shared" si="2"/>
        <v>3.0027397260273974</v>
      </c>
      <c r="P17" s="101">
        <v>3.5000000000000003E-2</v>
      </c>
      <c r="Q17" s="17">
        <v>0.36599999999999999</v>
      </c>
      <c r="R17" s="16">
        <v>0.02</v>
      </c>
      <c r="S17" s="101">
        <v>2.5000000000000001E-2</v>
      </c>
      <c r="T17" s="101">
        <v>0.03</v>
      </c>
      <c r="U17" s="101">
        <v>3.5000000000000003E-2</v>
      </c>
      <c r="V17" s="101">
        <v>0.04</v>
      </c>
      <c r="W17" s="101">
        <v>4.4999999999999998E-2</v>
      </c>
      <c r="X17" s="17">
        <v>0.05</v>
      </c>
      <c r="Y17" s="128">
        <f t="shared" si="3"/>
        <v>0.46067172934403411</v>
      </c>
      <c r="Z17" s="129">
        <f t="shared" si="3"/>
        <v>0.40859674328283779</v>
      </c>
      <c r="AA17" s="129">
        <f t="shared" si="3"/>
        <v>0.37990144380903468</v>
      </c>
      <c r="AB17" s="129">
        <f t="shared" si="3"/>
        <v>0.37133820546658619</v>
      </c>
      <c r="AC17" s="129">
        <f t="shared" si="3"/>
        <v>0.37636137253848395</v>
      </c>
      <c r="AD17" s="129">
        <f t="shared" si="3"/>
        <v>0.38811436571231578</v>
      </c>
      <c r="AE17" s="120">
        <f t="shared" si="3"/>
        <v>0.40231575985477047</v>
      </c>
      <c r="AF17" s="122">
        <f>AR4</f>
        <v>6.0050488724988818E-2</v>
      </c>
      <c r="AG17" s="123">
        <f>AR5</f>
        <v>0.50000000000000011</v>
      </c>
      <c r="AH17" s="123">
        <f>AR6</f>
        <v>0.75856980659593132</v>
      </c>
      <c r="AI17" s="124">
        <f>AR7</f>
        <v>0.20840173363401907</v>
      </c>
    </row>
    <row r="18" spans="13:35" x14ac:dyDescent="0.25">
      <c r="M18" s="1" t="s">
        <v>56</v>
      </c>
      <c r="N18" s="99">
        <v>42898</v>
      </c>
      <c r="O18" s="100">
        <f t="shared" si="2"/>
        <v>4.0027397260273974</v>
      </c>
      <c r="P18" s="101">
        <v>3.7600000000000001E-2</v>
      </c>
      <c r="Q18" s="17">
        <v>0.35</v>
      </c>
      <c r="R18" s="16">
        <v>2.2599999999999999E-2</v>
      </c>
      <c r="S18" s="101">
        <v>2.76E-2</v>
      </c>
      <c r="T18" s="101">
        <v>3.2599999999999997E-2</v>
      </c>
      <c r="U18" s="101">
        <v>3.7599999999999995E-2</v>
      </c>
      <c r="V18" s="101">
        <v>4.2599999999999999E-2</v>
      </c>
      <c r="W18" s="101">
        <v>4.7599999999999996E-2</v>
      </c>
      <c r="X18" s="17">
        <v>5.2600000000000001E-2</v>
      </c>
      <c r="Y18" s="128">
        <f t="shared" si="3"/>
        <v>0.4428447354894367</v>
      </c>
      <c r="Z18" s="129">
        <f t="shared" si="3"/>
        <v>0.39624047768651571</v>
      </c>
      <c r="AA18" s="129">
        <f t="shared" si="3"/>
        <v>0.36830401701326676</v>
      </c>
      <c r="AB18" s="129">
        <f t="shared" si="3"/>
        <v>0.35698280537310756</v>
      </c>
      <c r="AC18" s="129">
        <f t="shared" si="3"/>
        <v>0.35791201356686297</v>
      </c>
      <c r="AD18" s="129">
        <f t="shared" si="3"/>
        <v>0.36584101764312149</v>
      </c>
      <c r="AE18" s="120">
        <f t="shared" si="3"/>
        <v>0.37694220482485086</v>
      </c>
      <c r="AF18" s="122">
        <f>AL10</f>
        <v>5.8457578726126433E-2</v>
      </c>
      <c r="AG18" s="123">
        <f>AL11</f>
        <v>0.50000000000000011</v>
      </c>
      <c r="AH18" s="123">
        <f>AL12</f>
        <v>0.71454716771070492</v>
      </c>
      <c r="AI18" s="124">
        <f>AL13</f>
        <v>0.13868274334396327</v>
      </c>
    </row>
    <row r="19" spans="13:35" x14ac:dyDescent="0.25">
      <c r="M19" s="1" t="s">
        <v>57</v>
      </c>
      <c r="N19" s="99">
        <v>43263</v>
      </c>
      <c r="O19" s="100">
        <f t="shared" si="2"/>
        <v>5.0027397260273974</v>
      </c>
      <c r="P19" s="101">
        <v>3.9100000000000003E-2</v>
      </c>
      <c r="Q19" s="17">
        <v>0.31900000000000001</v>
      </c>
      <c r="R19" s="16">
        <v>2.41E-2</v>
      </c>
      <c r="S19" s="101">
        <v>2.9100000000000001E-2</v>
      </c>
      <c r="T19" s="101">
        <v>3.4099999999999998E-2</v>
      </c>
      <c r="U19" s="101">
        <v>3.9100000000000003E-2</v>
      </c>
      <c r="V19" s="101">
        <v>4.41E-2</v>
      </c>
      <c r="W19" s="101">
        <v>4.9100000000000005E-2</v>
      </c>
      <c r="X19" s="17">
        <v>5.4100000000000002E-2</v>
      </c>
      <c r="Y19" s="128">
        <f t="shared" si="3"/>
        <v>0.41490764137412295</v>
      </c>
      <c r="Z19" s="129">
        <f t="shared" si="3"/>
        <v>0.37039609693954034</v>
      </c>
      <c r="AA19" s="129">
        <f t="shared" si="3"/>
        <v>0.34152089202476937</v>
      </c>
      <c r="AB19" s="129">
        <f t="shared" si="3"/>
        <v>0.32726460943897578</v>
      </c>
      <c r="AC19" s="129">
        <f t="shared" si="3"/>
        <v>0.32477806193013609</v>
      </c>
      <c r="AD19" s="129">
        <f t="shared" si="3"/>
        <v>0.32975475505182028</v>
      </c>
      <c r="AE19" s="120">
        <f t="shared" si="3"/>
        <v>0.33853058306795969</v>
      </c>
      <c r="AF19" s="122">
        <f>AN10</f>
        <v>5.4056346152366028E-2</v>
      </c>
      <c r="AG19" s="123">
        <f>AN11</f>
        <v>0.50000000000000011</v>
      </c>
      <c r="AH19" s="123">
        <f>AN12</f>
        <v>0.67096298290035938</v>
      </c>
      <c r="AI19" s="124">
        <f>AN13</f>
        <v>5.6130829806780566E-2</v>
      </c>
    </row>
    <row r="20" spans="13:35" x14ac:dyDescent="0.25">
      <c r="M20" s="1" t="s">
        <v>58</v>
      </c>
      <c r="N20" s="99">
        <v>43994</v>
      </c>
      <c r="O20" s="100">
        <f t="shared" si="2"/>
        <v>7.0054794520547947</v>
      </c>
      <c r="P20" s="101">
        <v>4.0800000000000003E-2</v>
      </c>
      <c r="Q20" s="17">
        <v>0.28100000000000003</v>
      </c>
      <c r="R20" s="16">
        <v>2.58E-2</v>
      </c>
      <c r="S20" s="101">
        <v>3.0800000000000001E-2</v>
      </c>
      <c r="T20" s="101">
        <v>3.5799999999999998E-2</v>
      </c>
      <c r="U20" s="101">
        <v>4.0800000000000003E-2</v>
      </c>
      <c r="V20" s="101">
        <v>4.58E-2</v>
      </c>
      <c r="W20" s="101">
        <v>5.0799999999999998E-2</v>
      </c>
      <c r="X20" s="17">
        <v>5.5800000000000002E-2</v>
      </c>
      <c r="Y20" s="128">
        <f t="shared" si="3"/>
        <v>0.35971624360184862</v>
      </c>
      <c r="Z20" s="129">
        <f t="shared" si="3"/>
        <v>0.3240301776417806</v>
      </c>
      <c r="AA20" s="129">
        <f t="shared" si="3"/>
        <v>0.30125605494708207</v>
      </c>
      <c r="AB20" s="129">
        <f t="shared" si="3"/>
        <v>0.29047180362071395</v>
      </c>
      <c r="AC20" s="129">
        <f t="shared" si="3"/>
        <v>0.28918808567986465</v>
      </c>
      <c r="AD20" s="129">
        <f t="shared" si="3"/>
        <v>0.29389513647158388</v>
      </c>
      <c r="AE20" s="120">
        <f t="shared" si="3"/>
        <v>0.3016732190232343</v>
      </c>
      <c r="AF20" s="122">
        <f>AP10</f>
        <v>4.8301275126720236E-2</v>
      </c>
      <c r="AG20" s="123">
        <f>AP11</f>
        <v>0.50000000000000011</v>
      </c>
      <c r="AH20" s="123">
        <f>AP12</f>
        <v>0.58900944218324502</v>
      </c>
      <c r="AI20" s="124">
        <f>AP13</f>
        <v>8.1169889255870348E-2</v>
      </c>
    </row>
    <row r="21" spans="13:35" ht="15.75" thickBot="1" x14ac:dyDescent="0.3">
      <c r="M21" s="102" t="s">
        <v>59</v>
      </c>
      <c r="N21" s="103">
        <v>45089</v>
      </c>
      <c r="O21" s="104">
        <f t="shared" si="2"/>
        <v>10.005479452054795</v>
      </c>
      <c r="P21" s="105">
        <v>4.1200000000000001E-2</v>
      </c>
      <c r="Q21" s="106">
        <v>0.26600000000000001</v>
      </c>
      <c r="R21" s="107">
        <v>2.6200000000000001E-2</v>
      </c>
      <c r="S21" s="105">
        <v>3.1200000000000002E-2</v>
      </c>
      <c r="T21" s="105">
        <v>3.6200000000000003E-2</v>
      </c>
      <c r="U21" s="105">
        <v>4.1200000000000001E-2</v>
      </c>
      <c r="V21" s="105">
        <v>4.6199999999999998E-2</v>
      </c>
      <c r="W21" s="105">
        <v>5.1200000000000002E-2</v>
      </c>
      <c r="X21" s="106">
        <v>5.62E-2</v>
      </c>
      <c r="Y21" s="130">
        <f t="shared" si="3"/>
        <v>0.32902147000523951</v>
      </c>
      <c r="Z21" s="131">
        <f t="shared" si="3"/>
        <v>0.30093668678105701</v>
      </c>
      <c r="AA21" s="131">
        <f t="shared" si="3"/>
        <v>0.28190840303813702</v>
      </c>
      <c r="AB21" s="131">
        <f t="shared" si="3"/>
        <v>0.27070444355836443</v>
      </c>
      <c r="AC21" s="131">
        <f t="shared" si="3"/>
        <v>0.2657722055609853</v>
      </c>
      <c r="AD21" s="131">
        <f t="shared" si="3"/>
        <v>0.26529133486369588</v>
      </c>
      <c r="AE21" s="121">
        <f t="shared" si="3"/>
        <v>0.26761680878740057</v>
      </c>
      <c r="AF21" s="125">
        <f>AR10</f>
        <v>4.6607123974568697E-2</v>
      </c>
      <c r="AG21" s="126">
        <f>AR11</f>
        <v>0.50000000000000011</v>
      </c>
      <c r="AH21" s="126">
        <f>AR12</f>
        <v>0.4533730059536098</v>
      </c>
      <c r="AI21" s="127">
        <f>AR13</f>
        <v>1.6364426396549923E-2</v>
      </c>
    </row>
  </sheetData>
  <mergeCells count="7">
    <mergeCell ref="AF2:AI2"/>
    <mergeCell ref="R13:X13"/>
    <mergeCell ref="Y13:AE13"/>
    <mergeCell ref="AJ3:AR3"/>
    <mergeCell ref="D7:E7"/>
    <mergeCell ref="R3:X3"/>
    <mergeCell ref="Y3:AE3"/>
  </mergeCells>
  <hyperlinks>
    <hyperlink ref="N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I27" sqref="I27"/>
    </sheetView>
  </sheetViews>
  <sheetFormatPr defaultRowHeight="15" x14ac:dyDescent="0.25"/>
  <sheetData>
    <row r="1" spans="1:23" x14ac:dyDescent="0.25">
      <c r="B1" t="s">
        <v>64</v>
      </c>
      <c r="C1">
        <v>80</v>
      </c>
      <c r="D1">
        <v>82</v>
      </c>
      <c r="E1">
        <v>84</v>
      </c>
      <c r="F1">
        <v>86</v>
      </c>
      <c r="G1">
        <v>88</v>
      </c>
      <c r="H1">
        <v>90</v>
      </c>
      <c r="I1">
        <v>92</v>
      </c>
      <c r="J1">
        <v>94</v>
      </c>
      <c r="K1">
        <v>96</v>
      </c>
      <c r="L1">
        <v>98</v>
      </c>
      <c r="M1">
        <v>100</v>
      </c>
      <c r="N1">
        <v>102</v>
      </c>
      <c r="O1">
        <v>104</v>
      </c>
      <c r="P1">
        <v>106</v>
      </c>
      <c r="Q1">
        <v>108</v>
      </c>
      <c r="R1">
        <v>110</v>
      </c>
      <c r="S1">
        <v>112</v>
      </c>
      <c r="T1">
        <v>114</v>
      </c>
      <c r="U1">
        <v>116</v>
      </c>
      <c r="V1">
        <v>118</v>
      </c>
      <c r="W1">
        <v>120</v>
      </c>
    </row>
    <row r="2" spans="1:23" x14ac:dyDescent="0.25">
      <c r="A2">
        <v>40</v>
      </c>
      <c r="B2">
        <f>A2/365</f>
        <v>0.1095890410958904</v>
      </c>
      <c r="C2">
        <v>20.372</v>
      </c>
      <c r="D2">
        <v>18.382999999999999</v>
      </c>
      <c r="E2">
        <v>16.396000000000001</v>
      </c>
      <c r="F2">
        <v>14.414</v>
      </c>
      <c r="G2">
        <v>12.445</v>
      </c>
      <c r="H2">
        <v>10.500999999999999</v>
      </c>
      <c r="I2">
        <v>8.6050000000000004</v>
      </c>
      <c r="J2">
        <v>6.7939999999999996</v>
      </c>
      <c r="K2">
        <v>5.1280000000000001</v>
      </c>
      <c r="L2">
        <v>3.6659999999999999</v>
      </c>
      <c r="M2">
        <v>2.4729999999999999</v>
      </c>
      <c r="N2">
        <v>1.577</v>
      </c>
      <c r="O2">
        <v>0.96</v>
      </c>
      <c r="P2">
        <v>0.56000000000000005</v>
      </c>
      <c r="Q2">
        <v>0.32400000000000001</v>
      </c>
      <c r="R2">
        <v>0.185</v>
      </c>
      <c r="S2">
        <v>0.10299999999999999</v>
      </c>
      <c r="T2">
        <v>5.7000000000000002E-2</v>
      </c>
      <c r="U2">
        <v>3.2000000000000001E-2</v>
      </c>
      <c r="V2">
        <v>1.7999999999999999E-2</v>
      </c>
      <c r="W2">
        <v>0.01</v>
      </c>
    </row>
    <row r="3" spans="1:23" x14ac:dyDescent="0.25">
      <c r="A3">
        <v>50</v>
      </c>
      <c r="B3">
        <f t="shared" ref="B3:B13" si="0">A3/365</f>
        <v>0.13698630136986301</v>
      </c>
      <c r="C3">
        <v>20.495000000000001</v>
      </c>
      <c r="D3">
        <v>18.510000000000002</v>
      </c>
      <c r="E3">
        <v>16.527999999999999</v>
      </c>
      <c r="F3">
        <v>14.557</v>
      </c>
      <c r="G3">
        <v>12.602</v>
      </c>
      <c r="H3">
        <v>10.680999999999999</v>
      </c>
      <c r="I3">
        <v>8.8179999999999996</v>
      </c>
      <c r="J3">
        <v>7.0510000000000002</v>
      </c>
      <c r="K3">
        <v>5.4260000000000002</v>
      </c>
      <c r="L3">
        <v>4.0010000000000003</v>
      </c>
      <c r="M3">
        <v>2.82</v>
      </c>
      <c r="N3">
        <v>1.8979999999999999</v>
      </c>
      <c r="O3">
        <v>1.228</v>
      </c>
      <c r="P3">
        <v>0.76800000000000002</v>
      </c>
      <c r="Q3">
        <v>0.46899999999999997</v>
      </c>
      <c r="R3">
        <v>0.28499999999999998</v>
      </c>
      <c r="S3">
        <v>0.17100000000000001</v>
      </c>
      <c r="T3">
        <v>0.10199999999999999</v>
      </c>
      <c r="U3">
        <v>6.0999999999999999E-2</v>
      </c>
      <c r="V3">
        <v>3.9E-2</v>
      </c>
      <c r="W3">
        <v>2.4E-2</v>
      </c>
    </row>
    <row r="4" spans="1:23" x14ac:dyDescent="0.25">
      <c r="A4">
        <v>60</v>
      </c>
      <c r="B4">
        <f t="shared" si="0"/>
        <v>0.16438356164383561</v>
      </c>
      <c r="C4">
        <v>20.611000000000001</v>
      </c>
      <c r="D4">
        <v>18.632000000000001</v>
      </c>
      <c r="E4">
        <v>16.66</v>
      </c>
      <c r="F4">
        <v>14.7</v>
      </c>
      <c r="G4">
        <v>12.76</v>
      </c>
      <c r="H4">
        <v>10.86</v>
      </c>
      <c r="I4">
        <v>9.0299999999999994</v>
      </c>
      <c r="J4">
        <v>7.3029999999999999</v>
      </c>
      <c r="K4">
        <v>5.72</v>
      </c>
      <c r="L4">
        <v>4.3280000000000003</v>
      </c>
      <c r="M4">
        <v>3.1509999999999998</v>
      </c>
      <c r="N4">
        <v>2.2149999999999999</v>
      </c>
      <c r="O4">
        <v>1.502</v>
      </c>
      <c r="P4">
        <v>0.99299999999999999</v>
      </c>
      <c r="Q4">
        <v>0.64500000000000002</v>
      </c>
      <c r="R4">
        <v>0.41</v>
      </c>
      <c r="S4">
        <v>0.26</v>
      </c>
      <c r="T4">
        <v>0.16600000000000001</v>
      </c>
      <c r="U4">
        <v>0.108</v>
      </c>
      <c r="V4">
        <v>7.0999999999999994E-2</v>
      </c>
      <c r="W4">
        <v>4.7E-2</v>
      </c>
    </row>
    <row r="5" spans="1:23" x14ac:dyDescent="0.25">
      <c r="A5">
        <v>70</v>
      </c>
      <c r="B5">
        <f t="shared" si="0"/>
        <v>0.19178082191780821</v>
      </c>
      <c r="C5">
        <v>20.69</v>
      </c>
      <c r="D5">
        <v>18.716000000000001</v>
      </c>
      <c r="E5">
        <v>16.751000000000001</v>
      </c>
      <c r="F5">
        <v>14.803000000000001</v>
      </c>
      <c r="G5">
        <v>12.882</v>
      </c>
      <c r="H5">
        <v>11.01</v>
      </c>
      <c r="I5">
        <v>9.2059999999999995</v>
      </c>
      <c r="J5">
        <v>7.508</v>
      </c>
      <c r="K5">
        <v>5.95</v>
      </c>
      <c r="L5">
        <v>4.5759999999999996</v>
      </c>
      <c r="M5">
        <v>3.415</v>
      </c>
      <c r="N5">
        <v>2.4790000000000001</v>
      </c>
      <c r="O5">
        <v>1.7430000000000001</v>
      </c>
      <c r="P5">
        <v>1.194</v>
      </c>
      <c r="Q5">
        <v>0.80600000000000005</v>
      </c>
      <c r="R5">
        <v>0.53500000000000003</v>
      </c>
      <c r="S5">
        <v>0.35099999999999998</v>
      </c>
      <c r="T5">
        <v>0.23200000000000001</v>
      </c>
      <c r="U5">
        <v>0.153</v>
      </c>
      <c r="V5">
        <v>0.1</v>
      </c>
      <c r="W5">
        <v>6.4000000000000001E-2</v>
      </c>
    </row>
    <row r="6" spans="1:23" x14ac:dyDescent="0.25">
      <c r="A6">
        <v>80</v>
      </c>
      <c r="B6">
        <f t="shared" si="0"/>
        <v>0.21917808219178081</v>
      </c>
      <c r="C6">
        <v>20.8</v>
      </c>
      <c r="D6">
        <v>18.832000000000001</v>
      </c>
      <c r="E6">
        <v>16.876000000000001</v>
      </c>
      <c r="F6">
        <v>14.936999999999999</v>
      </c>
      <c r="G6">
        <v>13.029</v>
      </c>
      <c r="H6">
        <v>11.178000000000001</v>
      </c>
      <c r="I6">
        <v>9.4039999999999999</v>
      </c>
      <c r="J6">
        <v>7.7290000000000001</v>
      </c>
      <c r="K6">
        <v>6.194</v>
      </c>
      <c r="L6">
        <v>4.8360000000000003</v>
      </c>
      <c r="M6">
        <v>3.6760000000000002</v>
      </c>
      <c r="N6">
        <v>2.7210000000000001</v>
      </c>
      <c r="O6">
        <v>1.9690000000000001</v>
      </c>
      <c r="P6">
        <v>1.3959999999999999</v>
      </c>
      <c r="Q6">
        <v>0.96899999999999997</v>
      </c>
      <c r="R6">
        <v>0.66200000000000003</v>
      </c>
      <c r="S6">
        <v>0.44900000000000001</v>
      </c>
      <c r="T6">
        <v>0.30599999999999999</v>
      </c>
      <c r="U6">
        <v>0.20799999999999999</v>
      </c>
      <c r="V6">
        <v>0.14199999999999999</v>
      </c>
      <c r="W6">
        <v>9.7000000000000003E-2</v>
      </c>
    </row>
    <row r="7" spans="1:23" x14ac:dyDescent="0.25">
      <c r="A7">
        <v>90</v>
      </c>
      <c r="B7">
        <f t="shared" si="0"/>
        <v>0.24657534246575341</v>
      </c>
      <c r="C7">
        <v>20.916</v>
      </c>
      <c r="D7">
        <v>18.956</v>
      </c>
      <c r="E7">
        <v>17.010000000000002</v>
      </c>
      <c r="F7">
        <v>15.085000000000001</v>
      </c>
      <c r="G7">
        <v>13.195</v>
      </c>
      <c r="H7">
        <v>11.362</v>
      </c>
      <c r="I7">
        <v>9.6050000000000004</v>
      </c>
      <c r="J7">
        <v>7.9530000000000003</v>
      </c>
      <c r="K7">
        <v>6.4409999999999998</v>
      </c>
      <c r="L7">
        <v>5.0999999999999996</v>
      </c>
      <c r="M7">
        <v>3.9449999999999998</v>
      </c>
      <c r="N7">
        <v>2.9809999999999999</v>
      </c>
      <c r="O7">
        <v>2.2080000000000002</v>
      </c>
      <c r="P7">
        <v>1.6120000000000001</v>
      </c>
      <c r="Q7">
        <v>1.157</v>
      </c>
      <c r="R7">
        <v>0.82299999999999995</v>
      </c>
      <c r="S7">
        <v>0.57999999999999996</v>
      </c>
      <c r="T7">
        <v>0.40799999999999997</v>
      </c>
      <c r="U7">
        <v>0.28899999999999998</v>
      </c>
      <c r="V7">
        <v>0.20399999999999999</v>
      </c>
      <c r="W7">
        <v>0.14499999999999999</v>
      </c>
    </row>
    <row r="8" spans="1:23" x14ac:dyDescent="0.25">
      <c r="A8">
        <v>100</v>
      </c>
      <c r="B8">
        <f t="shared" si="0"/>
        <v>0.27397260273972601</v>
      </c>
      <c r="C8">
        <v>20.972000000000001</v>
      </c>
      <c r="D8">
        <v>19.018999999999998</v>
      </c>
      <c r="E8">
        <v>17.081</v>
      </c>
      <c r="F8">
        <v>15.17</v>
      </c>
      <c r="G8">
        <v>13.298999999999999</v>
      </c>
      <c r="H8">
        <v>11.49</v>
      </c>
      <c r="I8">
        <v>9.76</v>
      </c>
      <c r="J8">
        <v>8.14</v>
      </c>
      <c r="K8">
        <v>6.6559999999999997</v>
      </c>
      <c r="L8">
        <v>5.3250000000000002</v>
      </c>
      <c r="M8">
        <v>4.1710000000000003</v>
      </c>
      <c r="N8">
        <v>3.202</v>
      </c>
      <c r="O8">
        <v>2.4140000000000001</v>
      </c>
      <c r="P8">
        <v>1.7929999999999999</v>
      </c>
      <c r="Q8">
        <v>1.3169999999999999</v>
      </c>
      <c r="R8">
        <v>0.95799999999999996</v>
      </c>
      <c r="S8">
        <v>0.69699999999999995</v>
      </c>
      <c r="T8">
        <v>0.50600000000000001</v>
      </c>
      <c r="U8">
        <v>0.37</v>
      </c>
      <c r="V8">
        <v>0.27100000000000002</v>
      </c>
      <c r="W8">
        <v>0.20100000000000001</v>
      </c>
    </row>
    <row r="9" spans="1:23" x14ac:dyDescent="0.25">
      <c r="A9">
        <v>110</v>
      </c>
      <c r="B9">
        <f t="shared" si="0"/>
        <v>0.30136986301369861</v>
      </c>
      <c r="C9">
        <v>21.062999999999999</v>
      </c>
      <c r="D9">
        <v>19.117999999999999</v>
      </c>
      <c r="E9">
        <v>17.190999999999999</v>
      </c>
      <c r="F9">
        <v>15.29</v>
      </c>
      <c r="G9">
        <v>13.430999999999999</v>
      </c>
      <c r="H9">
        <v>11.634</v>
      </c>
      <c r="I9">
        <v>9.9239999999999995</v>
      </c>
      <c r="J9">
        <v>8.3190000000000008</v>
      </c>
      <c r="K9">
        <v>6.8470000000000004</v>
      </c>
      <c r="L9">
        <v>5.5289999999999999</v>
      </c>
      <c r="M9">
        <v>4.3840000000000003</v>
      </c>
      <c r="N9">
        <v>3.4129999999999998</v>
      </c>
      <c r="O9">
        <v>2.6150000000000002</v>
      </c>
      <c r="P9">
        <v>1.974</v>
      </c>
      <c r="Q9">
        <v>1.4750000000000001</v>
      </c>
      <c r="R9">
        <v>1.0960000000000001</v>
      </c>
      <c r="S9">
        <v>0.81</v>
      </c>
      <c r="T9">
        <v>0.59799999999999998</v>
      </c>
      <c r="U9">
        <v>0.443</v>
      </c>
      <c r="V9">
        <v>0.33</v>
      </c>
      <c r="W9">
        <v>0.246</v>
      </c>
    </row>
    <row r="10" spans="1:23" x14ac:dyDescent="0.25">
      <c r="A10">
        <v>120</v>
      </c>
      <c r="B10">
        <f t="shared" si="0"/>
        <v>0.32876712328767121</v>
      </c>
      <c r="C10">
        <v>21.166</v>
      </c>
      <c r="D10">
        <v>19.228000000000002</v>
      </c>
      <c r="E10">
        <v>17.311</v>
      </c>
      <c r="F10">
        <v>15.425000000000001</v>
      </c>
      <c r="G10">
        <v>13.58</v>
      </c>
      <c r="H10">
        <v>11.801</v>
      </c>
      <c r="I10">
        <v>10.106999999999999</v>
      </c>
      <c r="J10">
        <v>8.52</v>
      </c>
      <c r="K10">
        <v>7.0590000000000002</v>
      </c>
      <c r="L10">
        <v>5.7389999999999999</v>
      </c>
      <c r="M10">
        <v>4.585</v>
      </c>
      <c r="N10">
        <v>3.609</v>
      </c>
      <c r="O10">
        <v>2.7970000000000002</v>
      </c>
      <c r="P10">
        <v>2.137</v>
      </c>
      <c r="Q10">
        <v>1.62</v>
      </c>
      <c r="R10">
        <v>1.222</v>
      </c>
      <c r="S10">
        <v>0.91900000000000004</v>
      </c>
      <c r="T10">
        <v>0.68799999999999994</v>
      </c>
      <c r="U10">
        <v>0.51100000000000001</v>
      </c>
      <c r="V10">
        <v>0.38100000000000001</v>
      </c>
      <c r="W10">
        <v>0.28699999999999998</v>
      </c>
    </row>
    <row r="11" spans="1:23" x14ac:dyDescent="0.25">
      <c r="A11">
        <v>130</v>
      </c>
      <c r="B11">
        <f t="shared" si="0"/>
        <v>0.35616438356164382</v>
      </c>
      <c r="C11">
        <v>21.22</v>
      </c>
      <c r="D11">
        <v>19.291</v>
      </c>
      <c r="E11">
        <v>17.382999999999999</v>
      </c>
      <c r="F11">
        <v>15.506</v>
      </c>
      <c r="G11">
        <v>13.675000000000001</v>
      </c>
      <c r="H11">
        <v>11.911</v>
      </c>
      <c r="I11">
        <v>10.23</v>
      </c>
      <c r="J11">
        <v>8.6590000000000007</v>
      </c>
      <c r="K11">
        <v>7.2089999999999996</v>
      </c>
      <c r="L11">
        <v>5.9039999999999999</v>
      </c>
      <c r="M11">
        <v>4.758</v>
      </c>
      <c r="N11">
        <v>3.78</v>
      </c>
      <c r="O11">
        <v>2.9630000000000001</v>
      </c>
      <c r="P11">
        <v>2.2919999999999998</v>
      </c>
      <c r="Q11">
        <v>1.7529999999999999</v>
      </c>
      <c r="R11">
        <v>1.337</v>
      </c>
      <c r="S11">
        <v>1.0189999999999999</v>
      </c>
      <c r="T11">
        <v>0.77100000000000002</v>
      </c>
      <c r="U11">
        <v>0.58099999999999996</v>
      </c>
      <c r="V11">
        <v>0.439</v>
      </c>
      <c r="W11">
        <v>0.33400000000000002</v>
      </c>
    </row>
    <row r="12" spans="1:23" x14ac:dyDescent="0.25">
      <c r="A12">
        <v>140</v>
      </c>
      <c r="B12">
        <f t="shared" si="0"/>
        <v>0.38356164383561642</v>
      </c>
      <c r="C12">
        <v>21.329000000000001</v>
      </c>
      <c r="D12">
        <v>19.408999999999999</v>
      </c>
      <c r="E12">
        <v>17.510999999999999</v>
      </c>
      <c r="F12">
        <v>15.645</v>
      </c>
      <c r="G12">
        <v>13.827</v>
      </c>
      <c r="H12">
        <v>12.077</v>
      </c>
      <c r="I12">
        <v>10.413</v>
      </c>
      <c r="J12">
        <v>8.8520000000000003</v>
      </c>
      <c r="K12">
        <v>7.4109999999999996</v>
      </c>
      <c r="L12">
        <v>6.1139999999999999</v>
      </c>
      <c r="M12">
        <v>4.97</v>
      </c>
      <c r="N12">
        <v>3.9849999999999999</v>
      </c>
      <c r="O12">
        <v>3.145</v>
      </c>
      <c r="P12">
        <v>2.456</v>
      </c>
      <c r="Q12">
        <v>1.899</v>
      </c>
      <c r="R12">
        <v>1.4610000000000001</v>
      </c>
      <c r="S12">
        <v>1.119</v>
      </c>
      <c r="T12">
        <v>0.85599999999999998</v>
      </c>
      <c r="U12">
        <v>0.65400000000000003</v>
      </c>
      <c r="V12">
        <v>0.501</v>
      </c>
      <c r="W12">
        <v>0.38300000000000001</v>
      </c>
    </row>
    <row r="13" spans="1:23" x14ac:dyDescent="0.25">
      <c r="A13">
        <v>150</v>
      </c>
      <c r="B13">
        <f t="shared" si="0"/>
        <v>0.41095890410958902</v>
      </c>
      <c r="C13">
        <v>21.408000000000001</v>
      </c>
      <c r="D13">
        <v>19.498000000000001</v>
      </c>
      <c r="E13">
        <v>17.611000000000001</v>
      </c>
      <c r="F13">
        <v>15.757999999999999</v>
      </c>
      <c r="G13">
        <v>13.957000000000001</v>
      </c>
      <c r="H13">
        <v>12.226000000000001</v>
      </c>
      <c r="I13">
        <v>10.58</v>
      </c>
      <c r="J13">
        <v>9.032</v>
      </c>
      <c r="K13">
        <v>7.6040000000000001</v>
      </c>
      <c r="L13">
        <v>6.3090000000000002</v>
      </c>
      <c r="M13">
        <v>5.1710000000000003</v>
      </c>
      <c r="N13">
        <v>4.1859999999999999</v>
      </c>
      <c r="O13">
        <v>3.3450000000000002</v>
      </c>
      <c r="P13">
        <v>2.645</v>
      </c>
      <c r="Q13">
        <v>2.0790000000000002</v>
      </c>
      <c r="R13">
        <v>1.6240000000000001</v>
      </c>
      <c r="S13">
        <v>1.26</v>
      </c>
      <c r="T13">
        <v>0.97599999999999998</v>
      </c>
      <c r="U13">
        <v>0.75600000000000001</v>
      </c>
      <c r="V13">
        <v>0.58399999999999996</v>
      </c>
      <c r="W13">
        <v>0.45100000000000001</v>
      </c>
    </row>
    <row r="16" spans="1:23" x14ac:dyDescent="0.25">
      <c r="B16" t="s">
        <v>65</v>
      </c>
      <c r="C16">
        <f>SQRT(0.2)</f>
        <v>0.44721359549995793</v>
      </c>
      <c r="E16" t="str">
        <f>_xll.qlModelSVI(111,100,B4,C1:W1,C4:W4,C16:C20)</f>
        <v>MODEL@111#21:32:55</v>
      </c>
      <c r="H16" t="str">
        <f t="array" ref="H16:I23">_xll.qlModelGetSVICalibratedParameters(E16)</f>
        <v>a:</v>
      </c>
      <c r="I16">
        <v>0.4606707071762457</v>
      </c>
      <c r="K16">
        <f>_xll.qlModelGetSVIInterpolatedValue(E16,100)</f>
        <v>2.429954336842826</v>
      </c>
    </row>
    <row r="17" spans="2:9" x14ac:dyDescent="0.25">
      <c r="B17" t="s">
        <v>66</v>
      </c>
      <c r="C17">
        <v>0.5</v>
      </c>
      <c r="H17" t="str">
        <v>b:</v>
      </c>
      <c r="I17">
        <v>1.9486591540663243</v>
      </c>
    </row>
    <row r="18" spans="2:9" x14ac:dyDescent="0.25">
      <c r="B18" t="s">
        <v>34</v>
      </c>
      <c r="C18">
        <f>SQRT(0.4)</f>
        <v>0.63245553203367588</v>
      </c>
      <c r="H18" t="str">
        <v>rho:</v>
      </c>
      <c r="I18">
        <v>-0.99726807777216675</v>
      </c>
    </row>
    <row r="19" spans="2:9" x14ac:dyDescent="0.25">
      <c r="B19" t="s">
        <v>67</v>
      </c>
      <c r="C19">
        <v>0.1</v>
      </c>
      <c r="H19" t="str">
        <v>m:</v>
      </c>
      <c r="I19">
        <v>2.1626794483949161E-15</v>
      </c>
    </row>
    <row r="20" spans="2:9" x14ac:dyDescent="0.25">
      <c r="B20" t="s">
        <v>68</v>
      </c>
      <c r="C20">
        <v>0.5</v>
      </c>
      <c r="H20" t="str">
        <v>sigma:</v>
      </c>
      <c r="I20">
        <v>2.2535766573427352</v>
      </c>
    </row>
    <row r="21" spans="2:9" x14ac:dyDescent="0.25">
      <c r="H21" t="str">
        <v>rmsError:</v>
      </c>
      <c r="I21">
        <v>17.266169358880433</v>
      </c>
    </row>
    <row r="22" spans="2:9" x14ac:dyDescent="0.25">
      <c r="H22" t="str">
        <v>maxError:</v>
      </c>
      <c r="I22">
        <v>0</v>
      </c>
    </row>
    <row r="23" spans="2:9" x14ac:dyDescent="0.25">
      <c r="H23" t="e">
        <v>#N/A</v>
      </c>
      <c r="I2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Black-Scholes</vt:lpstr>
      <vt:lpstr>SABR</vt:lpstr>
      <vt:lpstr>SVI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</dc:creator>
  <cp:lastModifiedBy>Letian</cp:lastModifiedBy>
  <dcterms:created xsi:type="dcterms:W3CDTF">2015-02-13T00:26:01Z</dcterms:created>
  <dcterms:modified xsi:type="dcterms:W3CDTF">2016-01-08T02:33:26Z</dcterms:modified>
</cp:coreProperties>
</file>