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kun\OneDrive\Desktop\School\Stats\"/>
    </mc:Choice>
  </mc:AlternateContent>
  <xr:revisionPtr revIDLastSave="14" documentId="11_AC9E470046E1559AFD426C74746D7D196AD409EB" xr6:coauthVersionLast="37" xr6:coauthVersionMax="37" xr10:uidLastSave="{CA0EAF67-BB0F-439D-940A-7A88D9420892}"/>
  <bookViews>
    <workbookView xWindow="120" yWindow="18" windowWidth="17130" windowHeight="10710" activeTab="4" xr2:uid="{00000000-000D-0000-FFFF-FFFF00000000}"/>
  </bookViews>
  <sheets>
    <sheet name="CI &amp; HT for P" sheetId="1" r:id="rId1"/>
    <sheet name="CI &amp; HT for p1-p2" sheetId="7" r:id="rId2"/>
    <sheet name="CI &amp; HT for Mean" sheetId="3" r:id="rId3"/>
    <sheet name="CI &amp; HT for Diff in Means" sheetId="9" r:id="rId4"/>
    <sheet name="CI for Variance" sheetId="5" r:id="rId5"/>
    <sheet name="CI and HT for r" sheetId="10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M14" i="3" l="1"/>
  <c r="M13" i="3"/>
  <c r="C10" i="3"/>
  <c r="C9" i="3"/>
  <c r="D5" i="7"/>
  <c r="D4" i="1"/>
  <c r="C21" i="1"/>
  <c r="C20" i="1"/>
  <c r="C26" i="1" s="1"/>
  <c r="I38" i="3"/>
  <c r="I37" i="3"/>
  <c r="B15" i="3"/>
  <c r="C27" i="1"/>
  <c r="E23" i="1"/>
  <c r="D23" i="1"/>
  <c r="C23" i="1"/>
  <c r="C27" i="3"/>
  <c r="C28" i="3"/>
  <c r="E24" i="3"/>
  <c r="D24" i="3"/>
  <c r="C24" i="3"/>
  <c r="D11" i="10"/>
  <c r="D14" i="10" s="1"/>
  <c r="D16" i="10" s="1"/>
  <c r="D9" i="10"/>
  <c r="D8" i="10"/>
  <c r="I4" i="10"/>
  <c r="I6" i="10"/>
  <c r="I8" i="10"/>
  <c r="F14" i="10"/>
  <c r="F16" i="10" s="1"/>
  <c r="C25" i="3"/>
  <c r="D25" i="3"/>
  <c r="E25" i="3"/>
  <c r="I9" i="3"/>
  <c r="I11" i="3"/>
  <c r="C15" i="9"/>
  <c r="C16" i="9" s="1"/>
  <c r="F10" i="9"/>
  <c r="F6" i="9"/>
  <c r="C16" i="7"/>
  <c r="C17" i="7" s="1"/>
  <c r="C14" i="7"/>
  <c r="C13" i="7"/>
  <c r="H8" i="7"/>
  <c r="C9" i="5"/>
  <c r="C12" i="5" s="1"/>
  <c r="C14" i="5" s="1"/>
  <c r="B14" i="5"/>
  <c r="C10" i="5"/>
  <c r="E12" i="5" s="1"/>
  <c r="E14" i="5" s="1"/>
  <c r="B12" i="5"/>
  <c r="B13" i="1"/>
  <c r="B13" i="3"/>
  <c r="C10" i="1"/>
  <c r="H9" i="1"/>
  <c r="H11" i="1"/>
  <c r="C8" i="1"/>
  <c r="C11" i="3" l="1"/>
  <c r="E13" i="3" s="1"/>
  <c r="D9" i="1"/>
  <c r="D11" i="1" s="1"/>
  <c r="C15" i="1" s="1"/>
  <c r="C14" i="9"/>
  <c r="J6" i="9" s="1"/>
  <c r="D15" i="9"/>
  <c r="D16" i="9" s="1"/>
  <c r="C18" i="7"/>
  <c r="H7" i="7"/>
  <c r="H9" i="7" s="1"/>
  <c r="C15" i="7"/>
  <c r="C28" i="1"/>
  <c r="D24" i="1" s="1"/>
  <c r="E24" i="1" s="1"/>
  <c r="C9" i="1"/>
  <c r="C11" i="1" s="1"/>
  <c r="E13" i="1" s="1"/>
  <c r="E15" i="1"/>
  <c r="C15" i="3" l="1"/>
  <c r="C13" i="3"/>
  <c r="E15" i="3"/>
  <c r="K10" i="9"/>
  <c r="L10" i="9"/>
  <c r="J10" i="9"/>
  <c r="E15" i="9"/>
  <c r="G15" i="9"/>
  <c r="C13" i="1"/>
  <c r="I11" i="7"/>
  <c r="G11" i="7"/>
  <c r="E11" i="7"/>
  <c r="D11" i="7"/>
  <c r="C11" i="7" s="1"/>
  <c r="C24" i="1"/>
</calcChain>
</file>

<file path=xl/sharedStrings.xml><?xml version="1.0" encoding="utf-8"?>
<sst xmlns="http://schemas.openxmlformats.org/spreadsheetml/2006/main" count="126" uniqueCount="95">
  <si>
    <t>X =</t>
  </si>
  <si>
    <t>n =</t>
  </si>
  <si>
    <t>Confidence Level:</t>
  </si>
  <si>
    <t>Sample Proportion:</t>
  </si>
  <si>
    <t>Standard Error:</t>
  </si>
  <si>
    <t>Constant:</t>
  </si>
  <si>
    <t>Margin of Error:</t>
  </si>
  <si>
    <t>to</t>
  </si>
  <si>
    <t>Estimated Sample Size:</t>
  </si>
  <si>
    <t>Estimated p:</t>
  </si>
  <si>
    <t>Estimate n:</t>
  </si>
  <si>
    <t>Sample Average:</t>
  </si>
  <si>
    <t>n:</t>
  </si>
  <si>
    <t>S:</t>
  </si>
  <si>
    <t>Estimate of Sample size</t>
  </si>
  <si>
    <r>
      <t xml:space="preserve">Estimated </t>
    </r>
    <r>
      <rPr>
        <b/>
        <sz val="16"/>
        <color indexed="8"/>
        <rFont val="Symbol"/>
        <family val="1"/>
        <charset val="2"/>
      </rPr>
      <t>s</t>
    </r>
    <r>
      <rPr>
        <b/>
        <sz val="16"/>
        <color indexed="8"/>
        <rFont val="Calibri"/>
        <family val="2"/>
      </rPr>
      <t>:</t>
    </r>
  </si>
  <si>
    <t>Estimated n:</t>
  </si>
  <si>
    <t>Sample Standard Deviation:</t>
  </si>
  <si>
    <r>
      <t xml:space="preserve">&lt; </t>
    </r>
    <r>
      <rPr>
        <b/>
        <sz val="16"/>
        <color theme="1"/>
        <rFont val="Symbol"/>
        <family val="1"/>
        <charset val="2"/>
      </rPr>
      <t>s</t>
    </r>
    <r>
      <rPr>
        <b/>
        <sz val="16"/>
        <color theme="1"/>
        <rFont val="Calibri"/>
        <family val="2"/>
        <scheme val="minor"/>
      </rPr>
      <t xml:space="preserve"> &lt;</t>
    </r>
  </si>
  <si>
    <t>Wilson Version</t>
  </si>
  <si>
    <t>(Wilson)</t>
  </si>
  <si>
    <t>(uses Chi-square distribution)</t>
  </si>
  <si>
    <t>X:</t>
  </si>
  <si>
    <t>Alternative proportion:</t>
  </si>
  <si>
    <t>Sample p:</t>
  </si>
  <si>
    <t>z:</t>
  </si>
  <si>
    <t>n1:</t>
  </si>
  <si>
    <t>n2:</t>
  </si>
  <si>
    <t>Sample Difference:</t>
  </si>
  <si>
    <t>Pooled p:</t>
  </si>
  <si>
    <t>z-score:</t>
  </si>
  <si>
    <t>Sample Mean:</t>
  </si>
  <si>
    <t>Sample Std. Dev.:</t>
  </si>
  <si>
    <r>
      <t xml:space="preserve">Alternative: </t>
    </r>
    <r>
      <rPr>
        <b/>
        <sz val="14"/>
        <color indexed="8"/>
        <rFont val="Symbol"/>
        <family val="1"/>
        <charset val="2"/>
      </rPr>
      <t>m</t>
    </r>
    <r>
      <rPr>
        <b/>
        <sz val="14"/>
        <color indexed="8"/>
        <rFont val="Calibri"/>
        <family val="2"/>
      </rPr>
      <t>:</t>
    </r>
  </si>
  <si>
    <t>t:</t>
  </si>
  <si>
    <t>CI for Difference of Means</t>
  </si>
  <si>
    <t>Hypothesis Test</t>
  </si>
  <si>
    <t>Sample</t>
  </si>
  <si>
    <t>Mean 1:</t>
  </si>
  <si>
    <t>Difference, Null H:</t>
  </si>
  <si>
    <t>Std Dev 1:</t>
  </si>
  <si>
    <t>SE1:</t>
  </si>
  <si>
    <t>t-value:</t>
  </si>
  <si>
    <t>Mean 2:</t>
  </si>
  <si>
    <t>Std Dev 2:</t>
  </si>
  <si>
    <t>SE2:</t>
  </si>
  <si>
    <t>C Level:</t>
  </si>
  <si>
    <t xml:space="preserve">to </t>
  </si>
  <si>
    <t>SE for difference:</t>
  </si>
  <si>
    <t>df:</t>
  </si>
  <si>
    <t>constant:</t>
  </si>
  <si>
    <t>p-value:</t>
  </si>
  <si>
    <r>
      <t xml:space="preserve">&lt; </t>
    </r>
    <r>
      <rPr>
        <b/>
        <sz val="16"/>
        <color theme="1"/>
        <rFont val="Symbol"/>
        <family val="1"/>
        <charset val="2"/>
      </rPr>
      <t>s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&lt;</t>
    </r>
  </si>
  <si>
    <r>
      <t xml:space="preserve">Upper </t>
    </r>
    <r>
      <rPr>
        <b/>
        <sz val="16"/>
        <color theme="1"/>
        <rFont val="Symbol"/>
        <family val="1"/>
        <charset val="2"/>
      </rPr>
      <t>c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:</t>
    </r>
  </si>
  <si>
    <r>
      <t xml:space="preserve">Lower </t>
    </r>
    <r>
      <rPr>
        <b/>
        <sz val="16"/>
        <color theme="1"/>
        <rFont val="Symbol"/>
        <family val="1"/>
        <charset val="2"/>
      </rPr>
      <t>c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:</t>
    </r>
  </si>
  <si>
    <r>
      <t>Ho: p</t>
    </r>
    <r>
      <rPr>
        <b/>
        <vertAlign val="subscript"/>
        <sz val="16"/>
        <color rgb="FFFF0000"/>
        <rFont val="Calibri"/>
        <family val="2"/>
        <scheme val="minor"/>
      </rPr>
      <t>1</t>
    </r>
    <r>
      <rPr>
        <b/>
        <sz val="16"/>
        <color rgb="FFFF0000"/>
        <rFont val="Calibri"/>
        <family val="2"/>
        <scheme val="minor"/>
      </rPr>
      <t>-p</t>
    </r>
    <r>
      <rPr>
        <b/>
        <vertAlign val="subscript"/>
        <sz val="16"/>
        <color rgb="FFFF0000"/>
        <rFont val="Calibri"/>
        <family val="2"/>
        <scheme val="minor"/>
      </rPr>
      <t>2</t>
    </r>
    <r>
      <rPr>
        <b/>
        <sz val="16"/>
        <color rgb="FFFF0000"/>
        <rFont val="Calibri"/>
        <family val="2"/>
        <scheme val="minor"/>
      </rPr>
      <t>:</t>
    </r>
  </si>
  <si>
    <r>
      <t>Confidence Interval for p</t>
    </r>
    <r>
      <rPr>
        <b/>
        <u/>
        <vertAlign val="subscript"/>
        <sz val="16"/>
        <color theme="1"/>
        <rFont val="Calibri"/>
        <family val="2"/>
        <scheme val="minor"/>
      </rPr>
      <t>1</t>
    </r>
    <r>
      <rPr>
        <b/>
        <u/>
        <sz val="16"/>
        <color theme="1"/>
        <rFont val="Calibri"/>
        <family val="2"/>
        <scheme val="minor"/>
      </rPr>
      <t>-p</t>
    </r>
    <r>
      <rPr>
        <b/>
        <u/>
        <vertAlign val="subscript"/>
        <sz val="16"/>
        <color theme="1"/>
        <rFont val="Calibri"/>
        <family val="2"/>
        <scheme val="minor"/>
      </rPr>
      <t>2</t>
    </r>
    <r>
      <rPr>
        <b/>
        <u/>
        <sz val="16"/>
        <color theme="1"/>
        <rFont val="Calibri"/>
        <family val="2"/>
        <scheme val="minor"/>
      </rPr>
      <t>: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</si>
  <si>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Calibri"/>
        <family val="2"/>
        <scheme val="minor"/>
      </rPr>
      <t>:</t>
    </r>
  </si>
  <si>
    <r>
      <t>n</t>
    </r>
    <r>
      <rPr>
        <b/>
        <vertAlign val="subscript"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Calibri"/>
        <family val="2"/>
        <scheme val="minor"/>
      </rPr>
      <t>: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</si>
  <si>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:</t>
    </r>
  </si>
  <si>
    <r>
      <t>n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:</t>
    </r>
  </si>
  <si>
    <r>
      <t>p</t>
    </r>
    <r>
      <rPr>
        <b/>
        <vertAlign val="subscript"/>
        <sz val="16"/>
        <color theme="1"/>
        <rFont val="Calibri"/>
        <family val="2"/>
        <scheme val="minor"/>
      </rPr>
      <t>1</t>
    </r>
  </si>
  <si>
    <r>
      <rPr>
        <b/>
        <sz val="16"/>
        <color theme="1"/>
        <rFont val="Calibri"/>
        <family val="2"/>
      </rPr>
      <t xml:space="preserve">≠ </t>
    </r>
    <r>
      <rPr>
        <b/>
        <sz val="16"/>
        <color theme="1"/>
        <rFont val="Calibri"/>
        <family val="2"/>
        <scheme val="minor"/>
      </rPr>
      <t>p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</si>
  <si>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&lt;p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</si>
  <si>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&gt;p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</si>
  <si>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Sample, p</t>
    </r>
    <r>
      <rPr>
        <b/>
        <vertAlign val="subscript"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Calibri"/>
        <family val="2"/>
        <scheme val="minor"/>
      </rPr>
      <t>:</t>
    </r>
  </si>
  <si>
    <r>
      <t>Sample, p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:</t>
    </r>
  </si>
  <si>
    <r>
      <t xml:space="preserve">Assumed Pop. Mean: </t>
    </r>
    <r>
      <rPr>
        <b/>
        <sz val="14"/>
        <color indexed="8"/>
        <rFont val="Symbol"/>
        <family val="1"/>
        <charset val="2"/>
      </rPr>
      <t>m</t>
    </r>
    <r>
      <rPr>
        <b/>
        <vertAlign val="subscript"/>
        <sz val="14"/>
        <color indexed="8"/>
        <rFont val="Calibri"/>
        <family val="2"/>
      </rPr>
      <t>o</t>
    </r>
    <r>
      <rPr>
        <b/>
        <sz val="14"/>
        <color indexed="8"/>
        <rFont val="Calibri"/>
        <family val="2"/>
      </rPr>
      <t>:</t>
    </r>
  </si>
  <si>
    <r>
      <t>Assumed value of p from Ho: p</t>
    </r>
    <r>
      <rPr>
        <b/>
        <vertAlign val="sub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:</t>
    </r>
  </si>
  <si>
    <r>
      <rPr>
        <b/>
        <sz val="16"/>
        <color theme="1"/>
        <rFont val="Symbol"/>
        <family val="1"/>
        <charset val="2"/>
      </rPr>
      <t>m</t>
    </r>
    <r>
      <rPr>
        <b/>
        <vertAlign val="subscript"/>
        <sz val="16"/>
        <color theme="1"/>
        <rFont val="Calibri"/>
        <family val="2"/>
        <scheme val="minor"/>
      </rPr>
      <t>1</t>
    </r>
  </si>
  <si>
    <r>
      <rPr>
        <b/>
        <sz val="16"/>
        <color theme="1"/>
        <rFont val="Calibri"/>
        <family val="2"/>
      </rPr>
      <t>≠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Symbol"/>
        <family val="1"/>
        <charset val="2"/>
      </rPr>
      <t>m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</si>
  <si>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 xml:space="preserve">&lt; </t>
    </r>
    <r>
      <rPr>
        <b/>
        <sz val="16"/>
        <color theme="1"/>
        <rFont val="Symbol"/>
        <family val="1"/>
        <charset val="2"/>
      </rPr>
      <t>m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</si>
  <si>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 xml:space="preserve">&gt; </t>
    </r>
    <r>
      <rPr>
        <b/>
        <sz val="16"/>
        <color theme="1"/>
        <rFont val="Symbol"/>
        <family val="1"/>
        <charset val="2"/>
      </rPr>
      <t>m</t>
    </r>
    <r>
      <rPr>
        <b/>
        <vertAlign val="subscript"/>
        <sz val="16"/>
        <color theme="1"/>
        <rFont val="Calibri"/>
        <family val="2"/>
        <scheme val="minor"/>
      </rPr>
      <t>2</t>
    </r>
  </si>
  <si>
    <t>Confidence Interval and Hypothesis Test for the Linear Correlation Coefficient</t>
  </si>
  <si>
    <t>r =</t>
  </si>
  <si>
    <t>df = n-2 =</t>
  </si>
  <si>
    <t>C-level</t>
  </si>
  <si>
    <t>t =</t>
  </si>
  <si>
    <t>SE</t>
  </si>
  <si>
    <t>p-value</t>
  </si>
  <si>
    <t>Constant</t>
  </si>
  <si>
    <t>Fisher transform</t>
  </si>
  <si>
    <t>CI for F-transform</t>
  </si>
  <si>
    <r>
      <t xml:space="preserve">CI for </t>
    </r>
    <r>
      <rPr>
        <b/>
        <sz val="14"/>
        <color theme="1"/>
        <rFont val="Symbol"/>
        <family val="1"/>
        <charset val="2"/>
      </rPr>
      <t>r</t>
    </r>
  </si>
  <si>
    <r>
      <t xml:space="preserve">Confidence Interval for Population Variance, </t>
    </r>
    <r>
      <rPr>
        <b/>
        <u/>
        <sz val="16"/>
        <color theme="1"/>
        <rFont val="Symbol"/>
        <family val="1"/>
        <charset val="2"/>
      </rPr>
      <t>s</t>
    </r>
    <r>
      <rPr>
        <b/>
        <u/>
        <vertAlign val="superscript"/>
        <sz val="16"/>
        <color theme="1"/>
        <rFont val="Calibri"/>
        <family val="2"/>
        <scheme val="minor"/>
      </rPr>
      <t>2</t>
    </r>
  </si>
  <si>
    <t>Uses the more accurate formula for df:</t>
  </si>
  <si>
    <r>
      <t xml:space="preserve">Confidence Interval for Population Mean, </t>
    </r>
    <r>
      <rPr>
        <b/>
        <u/>
        <sz val="16"/>
        <color indexed="8"/>
        <rFont val="Symbol"/>
        <family val="1"/>
        <charset val="2"/>
      </rPr>
      <t>m</t>
    </r>
    <r>
      <rPr>
        <b/>
        <u/>
        <sz val="16"/>
        <color indexed="8"/>
        <rFont val="Calibri"/>
        <family val="2"/>
      </rPr>
      <t xml:space="preserve">, when </t>
    </r>
    <r>
      <rPr>
        <b/>
        <u/>
        <sz val="16"/>
        <color indexed="8"/>
        <rFont val="Symbol"/>
        <family val="1"/>
        <charset val="2"/>
      </rPr>
      <t>s</t>
    </r>
    <r>
      <rPr>
        <b/>
        <u/>
        <sz val="16"/>
        <color indexed="8"/>
        <rFont val="Calibri"/>
        <family val="2"/>
      </rPr>
      <t xml:space="preserve"> is unknown</t>
    </r>
  </si>
  <si>
    <r>
      <t xml:space="preserve">Hypothesis Testing for Population Mean, </t>
    </r>
    <r>
      <rPr>
        <b/>
        <u/>
        <sz val="14"/>
        <color indexed="8"/>
        <rFont val="Symbol"/>
        <family val="1"/>
        <charset val="2"/>
      </rPr>
      <t>m</t>
    </r>
  </si>
  <si>
    <t>Difference of Proportions</t>
  </si>
  <si>
    <t>Margin of Error</t>
  </si>
  <si>
    <t>Confidence Interval for Population Proportion</t>
  </si>
  <si>
    <t>Hypothesis Testing for Population Proportion</t>
  </si>
  <si>
    <t>Assumes data comes from a Normal Distribution</t>
  </si>
  <si>
    <r>
      <t xml:space="preserve">&lt; </t>
    </r>
    <r>
      <rPr>
        <b/>
        <sz val="16"/>
        <color theme="1"/>
        <rFont val="Symbol"/>
        <family val="1"/>
        <charset val="2"/>
      </rPr>
      <t>m</t>
    </r>
    <r>
      <rPr>
        <b/>
        <sz val="16"/>
        <color theme="1"/>
        <rFont val="Calibri"/>
        <family val="2"/>
        <scheme val="minor"/>
      </rPr>
      <t xml:space="preserve"> &lt;</t>
    </r>
  </si>
  <si>
    <t>&lt; X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</si>
</sst>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0000"/>
    <numFmt numFmtId="166" formatCode="0.0000"/>
    <numFmt numFmtId="167" formatCode="_(* #,##0.000000_);_(* \(#,##0.000000\);_(* &quot;-&quot;??_);_(@_)"/>
    <numFmt numFmtId="168" formatCode="_(* #,##0.00000_);_(* \(#,##0.00000\);_(* &quot;-&quot;??_);_(@_)"/>
    <numFmt numFmtId="169" formatCode="_(* #,##0.0000_);_(* \(#,##0.0000\);_(* &quot;-&quot;??_);_(@_)"/>
  </numFmts>
  <fonts count="28" x14ac:knownFonts="1">
    <font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u/>
      <sz val="16"/>
      <color indexed="8"/>
      <name val="Calibri"/>
      <family val="2"/>
    </font>
    <font>
      <b/>
      <u/>
      <sz val="16"/>
      <color indexed="8"/>
      <name val="Symbol"/>
      <family val="1"/>
      <charset val="2"/>
    </font>
    <font>
      <b/>
      <sz val="16"/>
      <color indexed="8"/>
      <name val="Symbol"/>
      <family val="1"/>
      <charset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theme="1"/>
      <name val="Symbol"/>
      <family val="1"/>
      <charset val="2"/>
    </font>
    <font>
      <b/>
      <sz val="16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indexed="8"/>
      <name val="Symbol"/>
      <family val="1"/>
      <charset val="2"/>
    </font>
    <font>
      <b/>
      <sz val="14"/>
      <color indexed="8"/>
      <name val="Symbol"/>
      <family val="1"/>
      <charset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  <scheme val="minor"/>
    </font>
    <font>
      <b/>
      <u/>
      <vertAlign val="superscript"/>
      <sz val="16"/>
      <color theme="1"/>
      <name val="Calibri"/>
      <family val="2"/>
      <scheme val="minor"/>
    </font>
    <font>
      <b/>
      <vertAlign val="subscript"/>
      <sz val="16"/>
      <color rgb="FFFF0000"/>
      <name val="Calibri"/>
      <family val="2"/>
      <scheme val="minor"/>
    </font>
    <font>
      <b/>
      <u/>
      <vertAlign val="subscript"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vertAlign val="subscript"/>
      <sz val="14"/>
      <color indexed="8"/>
      <name val="Calibri"/>
      <family val="2"/>
    </font>
    <font>
      <b/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/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/>
    <xf numFmtId="0" fontId="6" fillId="2" borderId="1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6" fillId="2" borderId="10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164" fontId="6" fillId="2" borderId="4" xfId="0" applyNumberFormat="1" applyFont="1" applyFill="1" applyBorder="1"/>
    <xf numFmtId="0" fontId="7" fillId="0" borderId="0" xfId="0" applyFont="1" applyAlignment="1">
      <alignment horizontal="left"/>
    </xf>
    <xf numFmtId="0" fontId="6" fillId="2" borderId="11" xfId="0" applyFont="1" applyFill="1" applyBorder="1"/>
    <xf numFmtId="0" fontId="6" fillId="4" borderId="11" xfId="0" applyFont="1" applyFill="1" applyBorder="1"/>
    <xf numFmtId="0" fontId="9" fillId="0" borderId="0" xfId="0" applyFont="1"/>
    <xf numFmtId="165" fontId="6" fillId="4" borderId="12" xfId="0" applyNumberFormat="1" applyFont="1" applyFill="1" applyBorder="1"/>
    <xf numFmtId="165" fontId="6" fillId="4" borderId="11" xfId="0" applyNumberFormat="1" applyFont="1" applyFill="1" applyBorder="1"/>
    <xf numFmtId="2" fontId="6" fillId="2" borderId="2" xfId="0" applyNumberFormat="1" applyFont="1" applyFill="1" applyBorder="1"/>
    <xf numFmtId="2" fontId="6" fillId="2" borderId="6" xfId="0" applyNumberFormat="1" applyFont="1" applyFill="1" applyBorder="1"/>
    <xf numFmtId="164" fontId="6" fillId="2" borderId="2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3" borderId="1" xfId="0" applyFont="1" applyFill="1" applyBorder="1" applyAlignment="1">
      <alignment horizontal="right"/>
    </xf>
    <xf numFmtId="0" fontId="12" fillId="3" borderId="2" xfId="0" applyFont="1" applyFill="1" applyBorder="1"/>
    <xf numFmtId="0" fontId="12" fillId="3" borderId="3" xfId="0" applyFont="1" applyFill="1" applyBorder="1" applyAlignment="1">
      <alignment horizontal="right"/>
    </xf>
    <xf numFmtId="0" fontId="12" fillId="3" borderId="4" xfId="0" applyFont="1" applyFill="1" applyBorder="1"/>
    <xf numFmtId="0" fontId="12" fillId="3" borderId="5" xfId="0" applyFont="1" applyFill="1" applyBorder="1" applyAlignment="1">
      <alignment horizontal="right"/>
    </xf>
    <xf numFmtId="0" fontId="12" fillId="3" borderId="6" xfId="0" applyFont="1" applyFill="1" applyBorder="1"/>
    <xf numFmtId="0" fontId="12" fillId="0" borderId="0" xfId="0" applyFont="1" applyAlignment="1">
      <alignment horizontal="right"/>
    </xf>
    <xf numFmtId="0" fontId="12" fillId="4" borderId="1" xfId="0" applyFont="1" applyFill="1" applyBorder="1" applyAlignment="1">
      <alignment horizontal="right"/>
    </xf>
    <xf numFmtId="0" fontId="12" fillId="4" borderId="13" xfId="0" applyFont="1" applyFill="1" applyBorder="1"/>
    <xf numFmtId="0" fontId="12" fillId="4" borderId="2" xfId="0" applyFont="1" applyFill="1" applyBorder="1"/>
    <xf numFmtId="0" fontId="12" fillId="4" borderId="5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13" fillId="0" borderId="11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6" fillId="0" borderId="0" xfId="0" applyFont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6" borderId="13" xfId="0" applyFont="1" applyFill="1" applyBorder="1"/>
    <xf numFmtId="0" fontId="6" fillId="6" borderId="2" xfId="0" applyFont="1" applyFill="1" applyBorder="1"/>
    <xf numFmtId="0" fontId="6" fillId="2" borderId="12" xfId="0" applyFont="1" applyFill="1" applyBorder="1" applyAlignment="1">
      <alignment horizontal="center"/>
    </xf>
    <xf numFmtId="166" fontId="6" fillId="6" borderId="14" xfId="0" applyNumberFormat="1" applyFont="1" applyFill="1" applyBorder="1"/>
    <xf numFmtId="166" fontId="6" fillId="6" borderId="6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5" borderId="4" xfId="0" applyFont="1" applyFill="1" applyBorder="1"/>
    <xf numFmtId="0" fontId="6" fillId="5" borderId="5" xfId="0" applyFont="1" applyFill="1" applyBorder="1" applyAlignment="1">
      <alignment horizontal="right"/>
    </xf>
    <xf numFmtId="164" fontId="12" fillId="2" borderId="2" xfId="0" applyNumberFormat="1" applyFont="1" applyFill="1" applyBorder="1"/>
    <xf numFmtId="164" fontId="12" fillId="2" borderId="6" xfId="0" applyNumberFormat="1" applyFont="1" applyFill="1" applyBorder="1"/>
    <xf numFmtId="0" fontId="6" fillId="4" borderId="1" xfId="0" applyFont="1" applyFill="1" applyBorder="1"/>
    <xf numFmtId="0" fontId="6" fillId="4" borderId="13" xfId="0" applyFont="1" applyFill="1" applyBorder="1" applyAlignment="1">
      <alignment horizontal="right"/>
    </xf>
    <xf numFmtId="0" fontId="6" fillId="4" borderId="10" xfId="0" applyFont="1" applyFill="1" applyBorder="1"/>
    <xf numFmtId="0" fontId="6" fillId="4" borderId="3" xfId="0" applyFont="1" applyFill="1" applyBorder="1"/>
    <xf numFmtId="0" fontId="6" fillId="4" borderId="0" xfId="0" applyFont="1" applyFill="1" applyBorder="1" applyAlignment="1">
      <alignment horizontal="right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14" xfId="0" applyFont="1" applyFill="1" applyBorder="1" applyAlignment="1">
      <alignment horizontal="right"/>
    </xf>
    <xf numFmtId="0" fontId="6" fillId="4" borderId="6" xfId="0" applyFont="1" applyFill="1" applyBorder="1"/>
    <xf numFmtId="0" fontId="6" fillId="3" borderId="10" xfId="0" applyFont="1" applyFill="1" applyBorder="1" applyAlignment="1">
      <alignment horizontal="right"/>
    </xf>
    <xf numFmtId="164" fontId="6" fillId="3" borderId="11" xfId="0" applyNumberFormat="1" applyFont="1" applyFill="1" applyBorder="1"/>
    <xf numFmtId="0" fontId="6" fillId="4" borderId="2" xfId="0" applyFont="1" applyFill="1" applyBorder="1"/>
    <xf numFmtId="167" fontId="6" fillId="0" borderId="0" xfId="1" applyNumberFormat="1" applyFont="1"/>
    <xf numFmtId="0" fontId="6" fillId="6" borderId="15" xfId="0" applyFont="1" applyFill="1" applyBorder="1"/>
    <xf numFmtId="164" fontId="6" fillId="6" borderId="12" xfId="0" applyNumberFormat="1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164" fontId="6" fillId="6" borderId="11" xfId="0" applyNumberFormat="1" applyFont="1" applyFill="1" applyBorder="1" applyAlignment="1">
      <alignment horizontal="center"/>
    </xf>
    <xf numFmtId="0" fontId="6" fillId="6" borderId="16" xfId="0" applyFont="1" applyFill="1" applyBorder="1"/>
    <xf numFmtId="2" fontId="6" fillId="4" borderId="12" xfId="0" applyNumberFormat="1" applyFont="1" applyFill="1" applyBorder="1"/>
    <xf numFmtId="2" fontId="6" fillId="4" borderId="11" xfId="0" applyNumberFormat="1" applyFont="1" applyFill="1" applyBorder="1"/>
    <xf numFmtId="0" fontId="17" fillId="0" borderId="0" xfId="0" applyFont="1"/>
    <xf numFmtId="0" fontId="12" fillId="4" borderId="18" xfId="0" applyFont="1" applyFill="1" applyBorder="1" applyAlignment="1">
      <alignment horizontal="right"/>
    </xf>
    <xf numFmtId="0" fontId="16" fillId="4" borderId="19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right"/>
    </xf>
    <xf numFmtId="0" fontId="6" fillId="6" borderId="5" xfId="0" applyFont="1" applyFill="1" applyBorder="1" applyAlignment="1">
      <alignment horizontal="right"/>
    </xf>
    <xf numFmtId="0" fontId="6" fillId="6" borderId="17" xfId="0" applyFont="1" applyFill="1" applyBorder="1" applyAlignment="1">
      <alignment horizontal="right"/>
    </xf>
    <xf numFmtId="0" fontId="6" fillId="6" borderId="24" xfId="0" applyFont="1" applyFill="1" applyBorder="1" applyAlignment="1">
      <alignment horizontal="right"/>
    </xf>
    <xf numFmtId="0" fontId="6" fillId="6" borderId="25" xfId="0" applyFont="1" applyFill="1" applyBorder="1"/>
    <xf numFmtId="0" fontId="6" fillId="6" borderId="26" xfId="0" applyFont="1" applyFill="1" applyBorder="1"/>
    <xf numFmtId="168" fontId="6" fillId="6" borderId="12" xfId="1" applyNumberFormat="1" applyFont="1" applyFill="1" applyBorder="1"/>
    <xf numFmtId="165" fontId="6" fillId="6" borderId="11" xfId="0" applyNumberFormat="1" applyFont="1" applyFill="1" applyBorder="1"/>
    <xf numFmtId="164" fontId="6" fillId="0" borderId="0" xfId="0" applyNumberFormat="1" applyFont="1"/>
    <xf numFmtId="0" fontId="26" fillId="0" borderId="0" xfId="0" applyFont="1"/>
    <xf numFmtId="0" fontId="12" fillId="2" borderId="0" xfId="0" applyFont="1" applyFill="1"/>
    <xf numFmtId="166" fontId="12" fillId="0" borderId="0" xfId="0" applyNumberFormat="1" applyFont="1"/>
    <xf numFmtId="0" fontId="12" fillId="4" borderId="10" xfId="0" applyFont="1" applyFill="1" applyBorder="1"/>
    <xf numFmtId="166" fontId="12" fillId="4" borderId="11" xfId="0" applyNumberFormat="1" applyFont="1" applyFill="1" applyBorder="1"/>
    <xf numFmtId="0" fontId="12" fillId="0" borderId="0" xfId="0" applyFont="1" applyAlignment="1">
      <alignment horizontal="center"/>
    </xf>
    <xf numFmtId="0" fontId="12" fillId="4" borderId="10" xfId="0" applyFont="1" applyFill="1" applyBorder="1" applyAlignment="1">
      <alignment horizontal="right"/>
    </xf>
    <xf numFmtId="166" fontId="12" fillId="4" borderId="12" xfId="0" applyNumberFormat="1" applyFont="1" applyFill="1" applyBorder="1"/>
    <xf numFmtId="0" fontId="12" fillId="4" borderId="12" xfId="0" applyFont="1" applyFill="1" applyBorder="1" applyAlignment="1">
      <alignment horizontal="center"/>
    </xf>
    <xf numFmtId="169" fontId="12" fillId="4" borderId="22" xfId="1" applyNumberFormat="1" applyFont="1" applyFill="1" applyBorder="1"/>
    <xf numFmtId="169" fontId="12" fillId="4" borderId="23" xfId="1" applyNumberFormat="1" applyFont="1" applyFill="1" applyBorder="1"/>
    <xf numFmtId="0" fontId="6" fillId="5" borderId="3" xfId="0" applyFont="1" applyFill="1" applyBorder="1"/>
    <xf numFmtId="0" fontId="11" fillId="0" borderId="0" xfId="0" applyFont="1" applyBorder="1"/>
    <xf numFmtId="164" fontId="12" fillId="0" borderId="0" xfId="0" applyNumberFormat="1" applyFont="1"/>
    <xf numFmtId="0" fontId="12" fillId="3" borderId="1" xfId="0" applyFont="1" applyFill="1" applyBorder="1"/>
    <xf numFmtId="2" fontId="12" fillId="3" borderId="6" xfId="0" applyNumberFormat="1" applyFont="1" applyFill="1" applyBorder="1"/>
    <xf numFmtId="0" fontId="12" fillId="3" borderId="3" xfId="0" applyFont="1" applyFill="1" applyBorder="1"/>
    <xf numFmtId="2" fontId="12" fillId="3" borderId="4" xfId="0" applyNumberFormat="1" applyFont="1" applyFill="1" applyBorder="1"/>
    <xf numFmtId="0" fontId="12" fillId="3" borderId="5" xfId="0" applyFont="1" applyFill="1" applyBorder="1"/>
    <xf numFmtId="164" fontId="12" fillId="2" borderId="4" xfId="0" applyNumberFormat="1" applyFont="1" applyFill="1" applyBorder="1"/>
    <xf numFmtId="164" fontId="12" fillId="2" borderId="10" xfId="0" applyNumberFormat="1" applyFont="1" applyFill="1" applyBorder="1"/>
    <xf numFmtId="0" fontId="12" fillId="2" borderId="11" xfId="0" applyFont="1" applyFill="1" applyBorder="1"/>
    <xf numFmtId="0" fontId="12" fillId="2" borderId="10" xfId="0" applyFont="1" applyFill="1" applyBorder="1"/>
    <xf numFmtId="164" fontId="12" fillId="2" borderId="11" xfId="0" applyNumberFormat="1" applyFont="1" applyFill="1" applyBorder="1"/>
    <xf numFmtId="1" fontId="12" fillId="4" borderId="11" xfId="0" applyNumberFormat="1" applyFont="1" applyFill="1" applyBorder="1"/>
    <xf numFmtId="0" fontId="12" fillId="4" borderId="7" xfId="0" applyFont="1" applyFill="1" applyBorder="1"/>
    <xf numFmtId="164" fontId="12" fillId="4" borderId="8" xfId="0" applyNumberFormat="1" applyFont="1" applyFill="1" applyBorder="1"/>
    <xf numFmtId="0" fontId="12" fillId="4" borderId="8" xfId="0" applyFont="1" applyFill="1" applyBorder="1" applyAlignment="1">
      <alignment horizontal="center"/>
    </xf>
    <xf numFmtId="164" fontId="12" fillId="4" borderId="9" xfId="0" applyNumberFormat="1" applyFont="1" applyFill="1" applyBorder="1"/>
    <xf numFmtId="14" fontId="12" fillId="0" borderId="0" xfId="0" applyNumberFormat="1" applyFont="1"/>
    <xf numFmtId="164" fontId="12" fillId="4" borderId="12" xfId="0" applyNumberFormat="1" applyFont="1" applyFill="1" applyBorder="1"/>
    <xf numFmtId="164" fontId="6" fillId="5" borderId="2" xfId="0" applyNumberFormat="1" applyFont="1" applyFill="1" applyBorder="1"/>
    <xf numFmtId="164" fontId="6" fillId="5" borderId="4" xfId="0" applyNumberFormat="1" applyFont="1" applyFill="1" applyBorder="1"/>
    <xf numFmtId="164" fontId="6" fillId="5" borderId="6" xfId="0" applyNumberFormat="1" applyFont="1" applyFill="1" applyBorder="1"/>
    <xf numFmtId="166" fontId="12" fillId="4" borderId="14" xfId="0" applyNumberFormat="1" applyFont="1" applyFill="1" applyBorder="1"/>
    <xf numFmtId="166" fontId="12" fillId="4" borderId="6" xfId="0" applyNumberFormat="1" applyFont="1" applyFill="1" applyBorder="1"/>
    <xf numFmtId="166" fontId="12" fillId="2" borderId="2" xfId="0" applyNumberFormat="1" applyFont="1" applyFill="1" applyBorder="1"/>
    <xf numFmtId="166" fontId="12" fillId="2" borderId="4" xfId="0" applyNumberFormat="1" applyFont="1" applyFill="1" applyBorder="1"/>
    <xf numFmtId="166" fontId="12" fillId="2" borderId="6" xfId="0" applyNumberFormat="1" applyFont="1" applyFill="1" applyBorder="1"/>
    <xf numFmtId="164" fontId="12" fillId="3" borderId="2" xfId="0" applyNumberFormat="1" applyFont="1" applyFill="1" applyBorder="1"/>
    <xf numFmtId="0" fontId="12" fillId="3" borderId="14" xfId="0" applyFont="1" applyFill="1" applyBorder="1"/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6" fillId="4" borderId="12" xfId="0" quotePrefix="1" applyFont="1" applyFill="1" applyBorder="1" applyAlignment="1">
      <alignment horizontal="center"/>
    </xf>
    <xf numFmtId="2" fontId="6" fillId="3" borderId="4" xfId="0" applyNumberFormat="1" applyFont="1" applyFill="1" applyBorder="1"/>
    <xf numFmtId="164" fontId="6" fillId="2" borderId="11" xfId="0" applyNumberFormat="1" applyFont="1" applyFill="1" applyBorder="1"/>
    <xf numFmtId="164" fontId="6" fillId="2" borderId="10" xfId="0" applyNumberFormat="1" applyFont="1" applyFill="1" applyBorder="1"/>
    <xf numFmtId="2" fontId="6" fillId="5" borderId="4" xfId="0" applyNumberFormat="1" applyFont="1" applyFill="1" applyBorder="1"/>
    <xf numFmtId="2" fontId="6" fillId="4" borderId="2" xfId="0" applyNumberFormat="1" applyFont="1" applyFill="1" applyBorder="1"/>
    <xf numFmtId="164" fontId="6" fillId="3" borderId="4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14</xdr:row>
      <xdr:rowOff>9525</xdr:rowOff>
    </xdr:from>
    <xdr:to>
      <xdr:col>8</xdr:col>
      <xdr:colOff>466725</xdr:colOff>
      <xdr:row>16</xdr:row>
      <xdr:rowOff>285750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848350" y="4695825"/>
              <a:ext cx="4286250" cy="9429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𝒑</m:t>
                                </m:r>
                              </m:e>
                            </m:acc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p>
                                      <m:sSup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𝒛</m:t>
                                        </m:r>
                                      </m:e>
                                      <m:sup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∗</m:t>
                                        </m:r>
                                      </m:sup>
                                    </m:sSup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den>
                            </m:f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𝒛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acc>
                                      <m:accPr>
                                        <m:chr m:val="̂"/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𝒑</m:t>
                                        </m:r>
                                      </m:e>
                                    </m:acc>
                                    <m:d>
                                      <m:d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𝟏</m:t>
                                        </m:r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𝒑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𝒏</m:t>
                                    </m:r>
                                  </m:den>
                                </m:f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sSup>
                                          <m:sSupPr>
                                            <m:ctrlP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𝒛</m:t>
                                            </m:r>
                                          </m:e>
                                          <m:sup>
                                            <m: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∗</m:t>
                                            </m:r>
                                          </m:sup>
                                        </m:sSup>
                                      </m:e>
                                      <m:sup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𝟐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𝟒</m:t>
                                    </m:r>
                                    <m:sSup>
                                      <m:sSup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𝒏</m:t>
                                        </m:r>
                                      </m:e>
                                      <m:sup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𝟐</m:t>
                                        </m:r>
                                      </m:sup>
                                    </m:sSup>
                                  </m:den>
                                </m:f>
                              </m:e>
                            </m:rad>
                          </m:num>
                          <m:den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p>
                                      <m:sSup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𝒛</m:t>
                                        </m:r>
                                      </m:e>
                                      <m:sup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∗</m:t>
                                        </m:r>
                                      </m:sup>
                                    </m:sSup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den>
                            </m:f>
                          </m:den>
                        </m:f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𝒑</m:t>
                                </m:r>
                              </m:e>
                            </m:acc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p>
                                      <m:sSup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𝒛</m:t>
                                        </m:r>
                                      </m:e>
                                      <m:sup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∗</m:t>
                                        </m:r>
                                      </m:sup>
                                    </m:sSup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den>
                            </m:f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𝒛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acc>
                                      <m:accPr>
                                        <m:chr m:val="̂"/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𝒑</m:t>
                                        </m:r>
                                      </m:e>
                                    </m:acc>
                                    <m:d>
                                      <m:d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𝟏</m:t>
                                        </m:r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𝒑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𝒏</m:t>
                                    </m:r>
                                  </m:den>
                                </m:f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sSup>
                                          <m:sSupPr>
                                            <m:ctrlP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𝒛</m:t>
                                            </m:r>
                                          </m:e>
                                          <m:sup>
                                            <m:r>
                                              <a:rPr lang="en-US" sz="11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∗</m:t>
                                            </m:r>
                                          </m:sup>
                                        </m:sSup>
                                      </m:e>
                                      <m:sup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𝟐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𝟒</m:t>
                                    </m:r>
                                    <m:sSup>
                                      <m:sSup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𝒏</m:t>
                                        </m:r>
                                      </m:e>
                                      <m:sup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𝟐</m:t>
                                        </m:r>
                                      </m:sup>
                                    </m:sSup>
                                  </m:den>
                                </m:f>
                              </m:e>
                            </m:rad>
                          </m:num>
                          <m:den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p>
                                      <m:sSupPr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𝒛</m:t>
                                        </m:r>
                                      </m:e>
                                      <m:sup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∗</m:t>
                                        </m:r>
                                      </m:sup>
                                    </m:sSup>
                                  </m:e>
                                  <m:sup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den>
                            </m:f>
                          </m:den>
                        </m:f>
                      </m:e>
                    </m:d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848350" y="4695825"/>
              <a:ext cx="4286250" cy="9429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((𝒑 ̂+〖𝒛^∗〗^𝟐/𝟐𝒏−𝒛^∗ √((𝒑 ̂(𝟏−𝒑 ̂ ))/𝒏+〖𝒛^∗〗^𝟐/(𝟒𝒏^𝟐 )))/(𝟏+〖𝒛^∗〗^𝟐/𝒏),(𝒑 ̂+〖𝒛^∗〗^𝟐/𝟐𝒏+𝒛^∗ √((𝒑 ̂(𝟏−𝒑 ̂ ))/𝒏+〖𝒛^∗〗^𝟐/(𝟒𝒏^𝟐 )))/(𝟏+〖𝒛^∗〗^𝟐/𝒏))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5</xdr:col>
      <xdr:colOff>104775</xdr:colOff>
      <xdr:row>11</xdr:row>
      <xdr:rowOff>323850</xdr:rowOff>
    </xdr:from>
    <xdr:to>
      <xdr:col>7</xdr:col>
      <xdr:colOff>676275</xdr:colOff>
      <xdr:row>13</xdr:row>
      <xdr:rowOff>247650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905500" y="3990975"/>
              <a:ext cx="3019425" cy="6096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𝒑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𝒛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acc>
                                  <m:accPr>
                                    <m:chr m:val="̂"/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𝒑</m:t>
                                    </m:r>
                                  </m:e>
                                </m:acc>
                                <m:d>
                                  <m:d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̂"/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𝒑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</m:rad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e>
                            </m:rad>
                          </m:den>
                        </m:f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acc>
                          <m:accPr>
                            <m:chr m:val="̂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𝒑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𝒛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acc>
                                  <m:accPr>
                                    <m:chr m:val="̂"/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𝒑</m:t>
                                    </m:r>
                                  </m:e>
                                </m:acc>
                                <m:d>
                                  <m:dPr>
                                    <m:ctrlP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  <m:r>
                                      <a:rPr lang="en-US" sz="11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̂"/>
                                        <m:ctrlP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𝒑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</m:rad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905500" y="3990975"/>
              <a:ext cx="3019425" cy="6096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(𝒑 ̂−𝒛^∗  √(𝒑 ̂(𝟏−𝒑 ̂ ) )/√𝒏,𝒑 ̂+𝒛^∗  √(𝒑 ̂(𝟏−𝒑 ̂ ) )/√𝒏)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257176</xdr:rowOff>
    </xdr:from>
    <xdr:to>
      <xdr:col>7</xdr:col>
      <xdr:colOff>790575</xdr:colOff>
      <xdr:row>13</xdr:row>
      <xdr:rowOff>219076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686425" y="3209926"/>
              <a:ext cx="2009775" cy="50482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e>
                            </m:rad>
                          </m:den>
                        </m:f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686425" y="3209926"/>
              <a:ext cx="2009775" cy="50482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(𝑿 ̅−𝒕^∗  𝑺/√𝒏,𝑿 ̅+𝒕^∗  𝑺/√𝒏)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4</xdr:col>
      <xdr:colOff>857249</xdr:colOff>
      <xdr:row>14</xdr:row>
      <xdr:rowOff>0</xdr:rowOff>
    </xdr:from>
    <xdr:to>
      <xdr:col>8</xdr:col>
      <xdr:colOff>447674</xdr:colOff>
      <xdr:row>18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5686424" y="3762375"/>
              <a:ext cx="3743325" cy="111442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e>
                            </m:rad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e>
                            </m:rad>
                          </m:den>
                        </m:f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p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e>
                            </m:rad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 b="1"/>
                <a:t>Assumes that the population values have a Normal distribution, and is likely a bad estimate if that is not true.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686424" y="3762375"/>
              <a:ext cx="3743325" cy="111442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(𝑿 ̅−𝒕^∗  (𝑺√(𝒏+𝟏))/√𝒏,𝑿 ̅+𝒕^∗  (𝑺√(𝒏+𝟏))/√𝒏)</a:t>
              </a:r>
              <a:endParaRPr lang="en-US" sz="1100"/>
            </a:p>
            <a:p>
              <a:pPr/>
              <a:endParaRPr lang="en-US" sz="1100"/>
            </a:p>
            <a:p>
              <a:pPr/>
              <a:r>
                <a:rPr lang="en-US" sz="1100" b="1"/>
                <a:t>Assumes that the population values have a Normal distribution, and is likely a bad estimate if that is not true.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10</xdr:row>
      <xdr:rowOff>209550</xdr:rowOff>
    </xdr:from>
    <xdr:to>
      <xdr:col>8</xdr:col>
      <xdr:colOff>257175</xdr:colOff>
      <xdr:row>12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229350" y="2971800"/>
              <a:ext cx="1895475" cy="58102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e>
                        </m:d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𝝌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𝑹</m:t>
                                </m:r>
                              </m:sub>
                              <m:sup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bSup>
                          </m:den>
                        </m:f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e>
                        </m:d>
                        <m:f>
                          <m:fPr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𝒔</m:t>
                                </m:r>
                              </m:e>
                              <m:sup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𝝌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𝑳</m:t>
                                </m:r>
                              </m:sub>
                              <m:sup>
                                <m:r>
                                  <a:rPr lang="en-US" sz="11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229350" y="2971800"/>
              <a:ext cx="1895475" cy="58102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((𝒏−𝟏)  𝒔^𝟐/(𝝌_𝑹^𝟐 ),(𝒏−𝟏)  𝒔^𝟐/(𝝌_𝑳^𝟐 ))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7</xdr:row>
      <xdr:rowOff>19050</xdr:rowOff>
    </xdr:from>
    <xdr:to>
      <xdr:col>12</xdr:col>
      <xdr:colOff>600075</xdr:colOff>
      <xdr:row>7</xdr:row>
      <xdr:rowOff>219075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180975</xdr:colOff>
      <xdr:row>6</xdr:row>
      <xdr:rowOff>123825</xdr:rowOff>
    </xdr:from>
    <xdr:to>
      <xdr:col>5</xdr:col>
      <xdr:colOff>371475</xdr:colOff>
      <xdr:row>8</xdr:row>
      <xdr:rowOff>66675</xdr:rowOff>
    </xdr:to>
    <xdr:sp macro="" textlink="">
      <xdr:nvSpPr>
        <xdr:cNvPr id="1026" name="Object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9</xdr:col>
      <xdr:colOff>171450</xdr:colOff>
      <xdr:row>4</xdr:row>
      <xdr:rowOff>95250</xdr:rowOff>
    </xdr:from>
    <xdr:to>
      <xdr:col>11</xdr:col>
      <xdr:colOff>66675</xdr:colOff>
      <xdr:row>6</xdr:row>
      <xdr:rowOff>47625</xdr:rowOff>
    </xdr:to>
    <xdr:sp macro="" textlink="">
      <xdr:nvSpPr>
        <xdr:cNvPr id="1027" name="Object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28575</xdr:colOff>
      <xdr:row>9</xdr:row>
      <xdr:rowOff>76200</xdr:rowOff>
    </xdr:from>
    <xdr:to>
      <xdr:col>7</xdr:col>
      <xdr:colOff>57150</xdr:colOff>
      <xdr:row>11</xdr:row>
      <xdr:rowOff>28575</xdr:rowOff>
    </xdr:to>
    <xdr:sp macro="" textlink="">
      <xdr:nvSpPr>
        <xdr:cNvPr id="1028" name="Object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9</xdr:col>
      <xdr:colOff>104775</xdr:colOff>
      <xdr:row>7</xdr:row>
      <xdr:rowOff>19050</xdr:rowOff>
    </xdr:from>
    <xdr:to>
      <xdr:col>12</xdr:col>
      <xdr:colOff>600075</xdr:colOff>
      <xdr:row>7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1685925"/>
          <a:ext cx="2324100" cy="20002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180975</xdr:colOff>
      <xdr:row>6</xdr:row>
      <xdr:rowOff>123825</xdr:rowOff>
    </xdr:from>
    <xdr:to>
      <xdr:col>5</xdr:col>
      <xdr:colOff>371475</xdr:colOff>
      <xdr:row>8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552575"/>
          <a:ext cx="800100" cy="419100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9</xdr:col>
      <xdr:colOff>171450</xdr:colOff>
      <xdr:row>4</xdr:row>
      <xdr:rowOff>95250</xdr:rowOff>
    </xdr:from>
    <xdr:to>
      <xdr:col>11</xdr:col>
      <xdr:colOff>66675</xdr:colOff>
      <xdr:row>6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047750"/>
          <a:ext cx="1114425" cy="42862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</xdr:colOff>
      <xdr:row>9</xdr:row>
      <xdr:rowOff>76200</xdr:rowOff>
    </xdr:from>
    <xdr:to>
      <xdr:col>7</xdr:col>
      <xdr:colOff>57150</xdr:colOff>
      <xdr:row>11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219325"/>
          <a:ext cx="1857375" cy="42862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zoomScaleNormal="100" workbookViewId="0">
      <selection activeCell="C6" sqref="C6"/>
    </sheetView>
  </sheetViews>
  <sheetFormatPr defaultColWidth="9.15625" defaultRowHeight="25.8" x14ac:dyDescent="0.95"/>
  <cols>
    <col min="1" max="1" width="9.15625" style="1"/>
    <col min="2" max="2" width="41.26171875" style="1" customWidth="1"/>
    <col min="3" max="3" width="13.734375" style="1" customWidth="1"/>
    <col min="4" max="4" width="12" style="1" bestFit="1" customWidth="1"/>
    <col min="5" max="5" width="10.7890625" style="1" bestFit="1" customWidth="1"/>
    <col min="6" max="6" width="7.26171875" style="1" customWidth="1"/>
    <col min="7" max="7" width="29.47265625" style="1" customWidth="1"/>
    <col min="8" max="8" width="21.26171875" style="1" bestFit="1" customWidth="1"/>
    <col min="9" max="16384" width="9.15625" style="1"/>
  </cols>
  <sheetData>
    <row r="2" spans="2:8" x14ac:dyDescent="0.95">
      <c r="B2" s="109" t="s">
        <v>90</v>
      </c>
      <c r="C2" s="27"/>
      <c r="D2" s="27"/>
      <c r="E2" s="27"/>
      <c r="F2" s="27"/>
      <c r="G2" s="27"/>
      <c r="H2" s="27"/>
    </row>
    <row r="3" spans="2:8" x14ac:dyDescent="0.95">
      <c r="B3" s="27"/>
      <c r="C3" s="27"/>
      <c r="D3" s="27">
        <v>0.42</v>
      </c>
      <c r="E3" s="27"/>
      <c r="F3" s="27"/>
      <c r="G3" s="27"/>
      <c r="H3" s="27"/>
    </row>
    <row r="4" spans="2:8" x14ac:dyDescent="0.95">
      <c r="B4" s="28" t="s">
        <v>0</v>
      </c>
      <c r="C4" s="29">
        <v>845</v>
      </c>
      <c r="D4" s="27">
        <f>D3*C5</f>
        <v>623.28</v>
      </c>
      <c r="E4" s="110"/>
      <c r="F4" s="27"/>
      <c r="G4" s="109" t="s">
        <v>8</v>
      </c>
      <c r="H4" s="27"/>
    </row>
    <row r="5" spans="2:8" x14ac:dyDescent="0.95">
      <c r="B5" s="30" t="s">
        <v>1</v>
      </c>
      <c r="C5" s="31">
        <v>1484</v>
      </c>
      <c r="D5" s="27"/>
      <c r="E5" s="27"/>
      <c r="F5" s="27"/>
      <c r="G5" s="111" t="s">
        <v>6</v>
      </c>
      <c r="H5" s="136">
        <v>0.01</v>
      </c>
    </row>
    <row r="6" spans="2:8" x14ac:dyDescent="0.95">
      <c r="B6" s="32" t="s">
        <v>2</v>
      </c>
      <c r="C6" s="112">
        <v>0.95</v>
      </c>
      <c r="D6" s="27"/>
      <c r="E6" s="27"/>
      <c r="F6" s="27"/>
      <c r="G6" s="113" t="s">
        <v>2</v>
      </c>
      <c r="H6" s="114">
        <v>0.95</v>
      </c>
    </row>
    <row r="7" spans="2:8" x14ac:dyDescent="0.95">
      <c r="B7" s="27"/>
      <c r="C7" s="27"/>
      <c r="D7" s="27"/>
      <c r="E7" s="27"/>
      <c r="F7" s="27"/>
      <c r="G7" s="115" t="s">
        <v>9</v>
      </c>
      <c r="H7" s="112">
        <v>0.45</v>
      </c>
    </row>
    <row r="8" spans="2:8" x14ac:dyDescent="0.95">
      <c r="B8" s="39" t="s">
        <v>3</v>
      </c>
      <c r="C8" s="133">
        <f>C4/C5</f>
        <v>0.56940700808625333</v>
      </c>
      <c r="D8" s="27"/>
      <c r="E8" s="27"/>
      <c r="F8" s="27"/>
      <c r="G8" s="27"/>
      <c r="H8" s="27"/>
    </row>
    <row r="9" spans="2:8" x14ac:dyDescent="0.95">
      <c r="B9" s="40" t="s">
        <v>4</v>
      </c>
      <c r="C9" s="116">
        <f>SQRT(C8*(1-C8))/SQRT(C5)</f>
        <v>1.2853693272634819E-2</v>
      </c>
      <c r="D9" s="117">
        <f>SQRT(C8*(1-C8)/C5+(C10/(2*C5))^2)</f>
        <v>1.2870645398577192E-2</v>
      </c>
      <c r="E9" s="118" t="s">
        <v>20</v>
      </c>
      <c r="F9" s="27"/>
      <c r="G9" s="119" t="s">
        <v>5</v>
      </c>
      <c r="H9" s="120">
        <f>ABS(NORMSINV((100%-H6)/2))</f>
        <v>1.9599639845400536</v>
      </c>
    </row>
    <row r="10" spans="2:8" x14ac:dyDescent="0.95">
      <c r="B10" s="40" t="s">
        <v>5</v>
      </c>
      <c r="C10" s="116">
        <f>ABS(NORMSINV((100%-C6)/2))</f>
        <v>1.9599639845400536</v>
      </c>
      <c r="D10" s="27"/>
      <c r="E10" s="27"/>
      <c r="F10" s="27"/>
      <c r="G10" s="27"/>
      <c r="H10" s="110"/>
    </row>
    <row r="11" spans="2:8" x14ac:dyDescent="0.95">
      <c r="B11" s="41" t="s">
        <v>6</v>
      </c>
      <c r="C11" s="62">
        <f>C10*C9</f>
        <v>2.519277588268902E-2</v>
      </c>
      <c r="D11" s="117">
        <f>C10*D9</f>
        <v>2.5226001438997461E-2</v>
      </c>
      <c r="E11" s="118" t="s">
        <v>20</v>
      </c>
      <c r="F11" s="27"/>
      <c r="G11" s="100" t="s">
        <v>10</v>
      </c>
      <c r="H11" s="121">
        <f>ROUND(H9^2*H7*(1-H7)/H5^2+0.5,0)</f>
        <v>9508</v>
      </c>
    </row>
    <row r="12" spans="2:8" ht="26.1" thickBot="1" x14ac:dyDescent="1">
      <c r="B12" s="27"/>
      <c r="C12" s="27"/>
      <c r="D12" s="27"/>
      <c r="E12" s="27"/>
      <c r="F12" s="27"/>
      <c r="G12" s="27"/>
      <c r="H12" s="27"/>
    </row>
    <row r="13" spans="2:8" ht="26.1" thickBot="1" x14ac:dyDescent="1">
      <c r="B13" s="122" t="str">
        <f>C6*100&amp;"% Confidence Interval:"</f>
        <v>95% Confidence Interval:</v>
      </c>
      <c r="C13" s="123">
        <f>C8-C11</f>
        <v>0.54421423220356435</v>
      </c>
      <c r="D13" s="124" t="s">
        <v>7</v>
      </c>
      <c r="E13" s="125">
        <f>C8+C11</f>
        <v>0.59459978396894231</v>
      </c>
      <c r="F13" s="27"/>
      <c r="G13" s="27"/>
      <c r="H13" s="27"/>
    </row>
    <row r="14" spans="2:8" x14ac:dyDescent="0.95">
      <c r="B14" s="27"/>
      <c r="C14" s="27"/>
      <c r="D14" s="27"/>
      <c r="E14" s="27"/>
      <c r="F14" s="27"/>
      <c r="G14" s="27"/>
      <c r="H14" s="126"/>
    </row>
    <row r="15" spans="2:8" x14ac:dyDescent="0.95">
      <c r="B15" s="100" t="s">
        <v>19</v>
      </c>
      <c r="C15" s="127">
        <f>(C8+C10^2/(2*C5)-D11)/(1+C10^2/C5)</f>
        <v>0.54406693567774089</v>
      </c>
      <c r="D15" s="105" t="s">
        <v>7</v>
      </c>
      <c r="E15" s="101">
        <f>(C8+C10^2/(2*C5)+D11)/(1+C10^2/C5)</f>
        <v>0.59438867649701421</v>
      </c>
      <c r="F15" s="27"/>
      <c r="G15" s="27"/>
      <c r="H15" s="126"/>
    </row>
    <row r="17" spans="2:5" x14ac:dyDescent="0.95">
      <c r="B17" s="26" t="s">
        <v>91</v>
      </c>
      <c r="C17" s="27"/>
      <c r="D17" s="27"/>
      <c r="E17" s="27"/>
    </row>
    <row r="18" spans="2:5" x14ac:dyDescent="0.95">
      <c r="B18" s="27"/>
      <c r="C18" s="27"/>
      <c r="D18" s="27"/>
      <c r="E18" s="27"/>
    </row>
    <row r="19" spans="2:5" x14ac:dyDescent="0.95">
      <c r="B19" s="28" t="s">
        <v>68</v>
      </c>
      <c r="C19" s="136">
        <f>9/16</f>
        <v>0.5625</v>
      </c>
      <c r="D19" s="27"/>
      <c r="E19" s="27"/>
    </row>
    <row r="20" spans="2:5" x14ac:dyDescent="0.95">
      <c r="B20" s="30" t="s">
        <v>22</v>
      </c>
      <c r="C20" s="31">
        <f>C4</f>
        <v>845</v>
      </c>
      <c r="D20" s="27"/>
      <c r="E20" s="27"/>
    </row>
    <row r="21" spans="2:5" x14ac:dyDescent="0.95">
      <c r="B21" s="32" t="s">
        <v>12</v>
      </c>
      <c r="C21" s="33">
        <f>C5</f>
        <v>1484</v>
      </c>
      <c r="D21" s="27"/>
      <c r="E21" s="27"/>
    </row>
    <row r="22" spans="2:5" x14ac:dyDescent="0.95">
      <c r="B22" s="34"/>
      <c r="C22" s="27"/>
      <c r="D22" s="27"/>
      <c r="E22" s="27"/>
    </row>
    <row r="23" spans="2:5" x14ac:dyDescent="0.95">
      <c r="B23" s="35" t="s">
        <v>23</v>
      </c>
      <c r="C23" s="36" t="str">
        <f>"≠ "&amp;C19</f>
        <v>≠ 0.5625</v>
      </c>
      <c r="D23" s="36" t="str">
        <f>"&lt; "&amp;C19</f>
        <v>&lt; 0.5625</v>
      </c>
      <c r="E23" s="37" t="str">
        <f>"&gt; "&amp;C19</f>
        <v>&gt; 0.5625</v>
      </c>
    </row>
    <row r="24" spans="2:5" x14ac:dyDescent="0.95">
      <c r="B24" s="38" t="s">
        <v>51</v>
      </c>
      <c r="C24" s="131">
        <f>2*MIN(D24,E24)</f>
        <v>0.59170956519889684</v>
      </c>
      <c r="D24" s="131">
        <f>NORMSDIST(C28)</f>
        <v>0.70414521740055158</v>
      </c>
      <c r="E24" s="132">
        <f>1-D24</f>
        <v>0.29585478259944842</v>
      </c>
    </row>
    <row r="25" spans="2:5" x14ac:dyDescent="0.95">
      <c r="B25" s="34"/>
      <c r="C25" s="27"/>
      <c r="D25" s="27"/>
      <c r="E25" s="27"/>
    </row>
    <row r="26" spans="2:5" x14ac:dyDescent="0.95">
      <c r="B26" s="39" t="s">
        <v>24</v>
      </c>
      <c r="C26" s="133">
        <f>C20/C21</f>
        <v>0.56940700808625333</v>
      </c>
      <c r="D26" s="27"/>
      <c r="E26" s="27"/>
    </row>
    <row r="27" spans="2:5" x14ac:dyDescent="0.95">
      <c r="B27" s="40" t="s">
        <v>4</v>
      </c>
      <c r="C27" s="134">
        <f>SQRT(C19*(1-C19)/C21)</f>
        <v>1.2877552870189596E-2</v>
      </c>
      <c r="D27" s="27"/>
      <c r="E27" s="27"/>
    </row>
    <row r="28" spans="2:5" x14ac:dyDescent="0.95">
      <c r="B28" s="41" t="s">
        <v>25</v>
      </c>
      <c r="C28" s="135">
        <f>(C26-C19)/C27</f>
        <v>0.53636029732344936</v>
      </c>
      <c r="D28" s="27"/>
      <c r="E28" s="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8"/>
  <sheetViews>
    <sheetView zoomScale="90" zoomScaleNormal="90" workbookViewId="0">
      <selection activeCell="C9" sqref="C9"/>
    </sheetView>
  </sheetViews>
  <sheetFormatPr defaultRowHeight="20.399999999999999" x14ac:dyDescent="0.75"/>
  <cols>
    <col min="1" max="1" width="9.15625" style="2"/>
    <col min="2" max="2" width="24.5234375" style="2" customWidth="1"/>
    <col min="3" max="4" width="10.26171875" style="2" customWidth="1"/>
    <col min="5" max="5" width="11.26171875" style="2" customWidth="1"/>
    <col min="6" max="6" width="9.15625" style="2"/>
    <col min="7" max="7" width="22.7890625" style="2" customWidth="1"/>
    <col min="8" max="8" width="12.7890625" style="2" customWidth="1"/>
    <col min="9" max="9" width="10.15625" style="2" bestFit="1" customWidth="1"/>
    <col min="10" max="257" width="9.15625" style="2"/>
    <col min="258" max="258" width="24.5234375" style="2" customWidth="1"/>
    <col min="259" max="260" width="10.26171875" style="2" customWidth="1"/>
    <col min="261" max="261" width="11.26171875" style="2" customWidth="1"/>
    <col min="262" max="262" width="9.15625" style="2"/>
    <col min="263" max="263" width="22.7890625" style="2" customWidth="1"/>
    <col min="264" max="513" width="9.15625" style="2"/>
    <col min="514" max="514" width="24.5234375" style="2" customWidth="1"/>
    <col min="515" max="516" width="10.26171875" style="2" customWidth="1"/>
    <col min="517" max="517" width="11.26171875" style="2" customWidth="1"/>
    <col min="518" max="518" width="9.15625" style="2"/>
    <col min="519" max="519" width="22.7890625" style="2" customWidth="1"/>
    <col min="520" max="769" width="9.15625" style="2"/>
    <col min="770" max="770" width="24.5234375" style="2" customWidth="1"/>
    <col min="771" max="772" width="10.26171875" style="2" customWidth="1"/>
    <col min="773" max="773" width="11.26171875" style="2" customWidth="1"/>
    <col min="774" max="774" width="9.15625" style="2"/>
    <col min="775" max="775" width="22.7890625" style="2" customWidth="1"/>
    <col min="776" max="1025" width="9.15625" style="2"/>
    <col min="1026" max="1026" width="24.5234375" style="2" customWidth="1"/>
    <col min="1027" max="1028" width="10.26171875" style="2" customWidth="1"/>
    <col min="1029" max="1029" width="11.26171875" style="2" customWidth="1"/>
    <col min="1030" max="1030" width="9.15625" style="2"/>
    <col min="1031" max="1031" width="22.7890625" style="2" customWidth="1"/>
    <col min="1032" max="1281" width="9.15625" style="2"/>
    <col min="1282" max="1282" width="24.5234375" style="2" customWidth="1"/>
    <col min="1283" max="1284" width="10.26171875" style="2" customWidth="1"/>
    <col min="1285" max="1285" width="11.26171875" style="2" customWidth="1"/>
    <col min="1286" max="1286" width="9.15625" style="2"/>
    <col min="1287" max="1287" width="22.7890625" style="2" customWidth="1"/>
    <col min="1288" max="1537" width="9.15625" style="2"/>
    <col min="1538" max="1538" width="24.5234375" style="2" customWidth="1"/>
    <col min="1539" max="1540" width="10.26171875" style="2" customWidth="1"/>
    <col min="1541" max="1541" width="11.26171875" style="2" customWidth="1"/>
    <col min="1542" max="1542" width="9.15625" style="2"/>
    <col min="1543" max="1543" width="22.7890625" style="2" customWidth="1"/>
    <col min="1544" max="1793" width="9.15625" style="2"/>
    <col min="1794" max="1794" width="24.5234375" style="2" customWidth="1"/>
    <col min="1795" max="1796" width="10.26171875" style="2" customWidth="1"/>
    <col min="1797" max="1797" width="11.26171875" style="2" customWidth="1"/>
    <col min="1798" max="1798" width="9.15625" style="2"/>
    <col min="1799" max="1799" width="22.7890625" style="2" customWidth="1"/>
    <col min="1800" max="2049" width="9.15625" style="2"/>
    <col min="2050" max="2050" width="24.5234375" style="2" customWidth="1"/>
    <col min="2051" max="2052" width="10.26171875" style="2" customWidth="1"/>
    <col min="2053" max="2053" width="11.26171875" style="2" customWidth="1"/>
    <col min="2054" max="2054" width="9.15625" style="2"/>
    <col min="2055" max="2055" width="22.7890625" style="2" customWidth="1"/>
    <col min="2056" max="2305" width="9.15625" style="2"/>
    <col min="2306" max="2306" width="24.5234375" style="2" customWidth="1"/>
    <col min="2307" max="2308" width="10.26171875" style="2" customWidth="1"/>
    <col min="2309" max="2309" width="11.26171875" style="2" customWidth="1"/>
    <col min="2310" max="2310" width="9.15625" style="2"/>
    <col min="2311" max="2311" width="22.7890625" style="2" customWidth="1"/>
    <col min="2312" max="2561" width="9.15625" style="2"/>
    <col min="2562" max="2562" width="24.5234375" style="2" customWidth="1"/>
    <col min="2563" max="2564" width="10.26171875" style="2" customWidth="1"/>
    <col min="2565" max="2565" width="11.26171875" style="2" customWidth="1"/>
    <col min="2566" max="2566" width="9.15625" style="2"/>
    <col min="2567" max="2567" width="22.7890625" style="2" customWidth="1"/>
    <col min="2568" max="2817" width="9.15625" style="2"/>
    <col min="2818" max="2818" width="24.5234375" style="2" customWidth="1"/>
    <col min="2819" max="2820" width="10.26171875" style="2" customWidth="1"/>
    <col min="2821" max="2821" width="11.26171875" style="2" customWidth="1"/>
    <col min="2822" max="2822" width="9.15625" style="2"/>
    <col min="2823" max="2823" width="22.7890625" style="2" customWidth="1"/>
    <col min="2824" max="3073" width="9.15625" style="2"/>
    <col min="3074" max="3074" width="24.5234375" style="2" customWidth="1"/>
    <col min="3075" max="3076" width="10.26171875" style="2" customWidth="1"/>
    <col min="3077" max="3077" width="11.26171875" style="2" customWidth="1"/>
    <col min="3078" max="3078" width="9.15625" style="2"/>
    <col min="3079" max="3079" width="22.7890625" style="2" customWidth="1"/>
    <col min="3080" max="3329" width="9.15625" style="2"/>
    <col min="3330" max="3330" width="24.5234375" style="2" customWidth="1"/>
    <col min="3331" max="3332" width="10.26171875" style="2" customWidth="1"/>
    <col min="3333" max="3333" width="11.26171875" style="2" customWidth="1"/>
    <col min="3334" max="3334" width="9.15625" style="2"/>
    <col min="3335" max="3335" width="22.7890625" style="2" customWidth="1"/>
    <col min="3336" max="3585" width="9.15625" style="2"/>
    <col min="3586" max="3586" width="24.5234375" style="2" customWidth="1"/>
    <col min="3587" max="3588" width="10.26171875" style="2" customWidth="1"/>
    <col min="3589" max="3589" width="11.26171875" style="2" customWidth="1"/>
    <col min="3590" max="3590" width="9.15625" style="2"/>
    <col min="3591" max="3591" width="22.7890625" style="2" customWidth="1"/>
    <col min="3592" max="3841" width="9.15625" style="2"/>
    <col min="3842" max="3842" width="24.5234375" style="2" customWidth="1"/>
    <col min="3843" max="3844" width="10.26171875" style="2" customWidth="1"/>
    <col min="3845" max="3845" width="11.26171875" style="2" customWidth="1"/>
    <col min="3846" max="3846" width="9.15625" style="2"/>
    <col min="3847" max="3847" width="22.7890625" style="2" customWidth="1"/>
    <col min="3848" max="4097" width="9.15625" style="2"/>
    <col min="4098" max="4098" width="24.5234375" style="2" customWidth="1"/>
    <col min="4099" max="4100" width="10.26171875" style="2" customWidth="1"/>
    <col min="4101" max="4101" width="11.26171875" style="2" customWidth="1"/>
    <col min="4102" max="4102" width="9.15625" style="2"/>
    <col min="4103" max="4103" width="22.7890625" style="2" customWidth="1"/>
    <col min="4104" max="4353" width="9.15625" style="2"/>
    <col min="4354" max="4354" width="24.5234375" style="2" customWidth="1"/>
    <col min="4355" max="4356" width="10.26171875" style="2" customWidth="1"/>
    <col min="4357" max="4357" width="11.26171875" style="2" customWidth="1"/>
    <col min="4358" max="4358" width="9.15625" style="2"/>
    <col min="4359" max="4359" width="22.7890625" style="2" customWidth="1"/>
    <col min="4360" max="4609" width="9.15625" style="2"/>
    <col min="4610" max="4610" width="24.5234375" style="2" customWidth="1"/>
    <col min="4611" max="4612" width="10.26171875" style="2" customWidth="1"/>
    <col min="4613" max="4613" width="11.26171875" style="2" customWidth="1"/>
    <col min="4614" max="4614" width="9.15625" style="2"/>
    <col min="4615" max="4615" width="22.7890625" style="2" customWidth="1"/>
    <col min="4616" max="4865" width="9.15625" style="2"/>
    <col min="4866" max="4866" width="24.5234375" style="2" customWidth="1"/>
    <col min="4867" max="4868" width="10.26171875" style="2" customWidth="1"/>
    <col min="4869" max="4869" width="11.26171875" style="2" customWidth="1"/>
    <col min="4870" max="4870" width="9.15625" style="2"/>
    <col min="4871" max="4871" width="22.7890625" style="2" customWidth="1"/>
    <col min="4872" max="5121" width="9.15625" style="2"/>
    <col min="5122" max="5122" width="24.5234375" style="2" customWidth="1"/>
    <col min="5123" max="5124" width="10.26171875" style="2" customWidth="1"/>
    <col min="5125" max="5125" width="11.26171875" style="2" customWidth="1"/>
    <col min="5126" max="5126" width="9.15625" style="2"/>
    <col min="5127" max="5127" width="22.7890625" style="2" customWidth="1"/>
    <col min="5128" max="5377" width="9.15625" style="2"/>
    <col min="5378" max="5378" width="24.5234375" style="2" customWidth="1"/>
    <col min="5379" max="5380" width="10.26171875" style="2" customWidth="1"/>
    <col min="5381" max="5381" width="11.26171875" style="2" customWidth="1"/>
    <col min="5382" max="5382" width="9.15625" style="2"/>
    <col min="5383" max="5383" width="22.7890625" style="2" customWidth="1"/>
    <col min="5384" max="5633" width="9.15625" style="2"/>
    <col min="5634" max="5634" width="24.5234375" style="2" customWidth="1"/>
    <col min="5635" max="5636" width="10.26171875" style="2" customWidth="1"/>
    <col min="5637" max="5637" width="11.26171875" style="2" customWidth="1"/>
    <col min="5638" max="5638" width="9.15625" style="2"/>
    <col min="5639" max="5639" width="22.7890625" style="2" customWidth="1"/>
    <col min="5640" max="5889" width="9.15625" style="2"/>
    <col min="5890" max="5890" width="24.5234375" style="2" customWidth="1"/>
    <col min="5891" max="5892" width="10.26171875" style="2" customWidth="1"/>
    <col min="5893" max="5893" width="11.26171875" style="2" customWidth="1"/>
    <col min="5894" max="5894" width="9.15625" style="2"/>
    <col min="5895" max="5895" width="22.7890625" style="2" customWidth="1"/>
    <col min="5896" max="6145" width="9.15625" style="2"/>
    <col min="6146" max="6146" width="24.5234375" style="2" customWidth="1"/>
    <col min="6147" max="6148" width="10.26171875" style="2" customWidth="1"/>
    <col min="6149" max="6149" width="11.26171875" style="2" customWidth="1"/>
    <col min="6150" max="6150" width="9.15625" style="2"/>
    <col min="6151" max="6151" width="22.7890625" style="2" customWidth="1"/>
    <col min="6152" max="6401" width="9.15625" style="2"/>
    <col min="6402" max="6402" width="24.5234375" style="2" customWidth="1"/>
    <col min="6403" max="6404" width="10.26171875" style="2" customWidth="1"/>
    <col min="6405" max="6405" width="11.26171875" style="2" customWidth="1"/>
    <col min="6406" max="6406" width="9.15625" style="2"/>
    <col min="6407" max="6407" width="22.7890625" style="2" customWidth="1"/>
    <col min="6408" max="6657" width="9.15625" style="2"/>
    <col min="6658" max="6658" width="24.5234375" style="2" customWidth="1"/>
    <col min="6659" max="6660" width="10.26171875" style="2" customWidth="1"/>
    <col min="6661" max="6661" width="11.26171875" style="2" customWidth="1"/>
    <col min="6662" max="6662" width="9.15625" style="2"/>
    <col min="6663" max="6663" width="22.7890625" style="2" customWidth="1"/>
    <col min="6664" max="6913" width="9.15625" style="2"/>
    <col min="6914" max="6914" width="24.5234375" style="2" customWidth="1"/>
    <col min="6915" max="6916" width="10.26171875" style="2" customWidth="1"/>
    <col min="6917" max="6917" width="11.26171875" style="2" customWidth="1"/>
    <col min="6918" max="6918" width="9.15625" style="2"/>
    <col min="6919" max="6919" width="22.7890625" style="2" customWidth="1"/>
    <col min="6920" max="7169" width="9.15625" style="2"/>
    <col min="7170" max="7170" width="24.5234375" style="2" customWidth="1"/>
    <col min="7171" max="7172" width="10.26171875" style="2" customWidth="1"/>
    <col min="7173" max="7173" width="11.26171875" style="2" customWidth="1"/>
    <col min="7174" max="7174" width="9.15625" style="2"/>
    <col min="7175" max="7175" width="22.7890625" style="2" customWidth="1"/>
    <col min="7176" max="7425" width="9.15625" style="2"/>
    <col min="7426" max="7426" width="24.5234375" style="2" customWidth="1"/>
    <col min="7427" max="7428" width="10.26171875" style="2" customWidth="1"/>
    <col min="7429" max="7429" width="11.26171875" style="2" customWidth="1"/>
    <col min="7430" max="7430" width="9.15625" style="2"/>
    <col min="7431" max="7431" width="22.7890625" style="2" customWidth="1"/>
    <col min="7432" max="7681" width="9.15625" style="2"/>
    <col min="7682" max="7682" width="24.5234375" style="2" customWidth="1"/>
    <col min="7683" max="7684" width="10.26171875" style="2" customWidth="1"/>
    <col min="7685" max="7685" width="11.26171875" style="2" customWidth="1"/>
    <col min="7686" max="7686" width="9.15625" style="2"/>
    <col min="7687" max="7687" width="22.7890625" style="2" customWidth="1"/>
    <col min="7688" max="7937" width="9.15625" style="2"/>
    <col min="7938" max="7938" width="24.5234375" style="2" customWidth="1"/>
    <col min="7939" max="7940" width="10.26171875" style="2" customWidth="1"/>
    <col min="7941" max="7941" width="11.26171875" style="2" customWidth="1"/>
    <col min="7942" max="7942" width="9.15625" style="2"/>
    <col min="7943" max="7943" width="22.7890625" style="2" customWidth="1"/>
    <col min="7944" max="8193" width="9.15625" style="2"/>
    <col min="8194" max="8194" width="24.5234375" style="2" customWidth="1"/>
    <col min="8195" max="8196" width="10.26171875" style="2" customWidth="1"/>
    <col min="8197" max="8197" width="11.26171875" style="2" customWidth="1"/>
    <col min="8198" max="8198" width="9.15625" style="2"/>
    <col min="8199" max="8199" width="22.7890625" style="2" customWidth="1"/>
    <col min="8200" max="8449" width="9.15625" style="2"/>
    <col min="8450" max="8450" width="24.5234375" style="2" customWidth="1"/>
    <col min="8451" max="8452" width="10.26171875" style="2" customWidth="1"/>
    <col min="8453" max="8453" width="11.26171875" style="2" customWidth="1"/>
    <col min="8454" max="8454" width="9.15625" style="2"/>
    <col min="8455" max="8455" width="22.7890625" style="2" customWidth="1"/>
    <col min="8456" max="8705" width="9.15625" style="2"/>
    <col min="8706" max="8706" width="24.5234375" style="2" customWidth="1"/>
    <col min="8707" max="8708" width="10.26171875" style="2" customWidth="1"/>
    <col min="8709" max="8709" width="11.26171875" style="2" customWidth="1"/>
    <col min="8710" max="8710" width="9.15625" style="2"/>
    <col min="8711" max="8711" width="22.7890625" style="2" customWidth="1"/>
    <col min="8712" max="8961" width="9.15625" style="2"/>
    <col min="8962" max="8962" width="24.5234375" style="2" customWidth="1"/>
    <col min="8963" max="8964" width="10.26171875" style="2" customWidth="1"/>
    <col min="8965" max="8965" width="11.26171875" style="2" customWidth="1"/>
    <col min="8966" max="8966" width="9.15625" style="2"/>
    <col min="8967" max="8967" width="22.7890625" style="2" customWidth="1"/>
    <col min="8968" max="9217" width="9.15625" style="2"/>
    <col min="9218" max="9218" width="24.5234375" style="2" customWidth="1"/>
    <col min="9219" max="9220" width="10.26171875" style="2" customWidth="1"/>
    <col min="9221" max="9221" width="11.26171875" style="2" customWidth="1"/>
    <col min="9222" max="9222" width="9.15625" style="2"/>
    <col min="9223" max="9223" width="22.7890625" style="2" customWidth="1"/>
    <col min="9224" max="9473" width="9.15625" style="2"/>
    <col min="9474" max="9474" width="24.5234375" style="2" customWidth="1"/>
    <col min="9475" max="9476" width="10.26171875" style="2" customWidth="1"/>
    <col min="9477" max="9477" width="11.26171875" style="2" customWidth="1"/>
    <col min="9478" max="9478" width="9.15625" style="2"/>
    <col min="9479" max="9479" width="22.7890625" style="2" customWidth="1"/>
    <col min="9480" max="9729" width="9.15625" style="2"/>
    <col min="9730" max="9730" width="24.5234375" style="2" customWidth="1"/>
    <col min="9731" max="9732" width="10.26171875" style="2" customWidth="1"/>
    <col min="9733" max="9733" width="11.26171875" style="2" customWidth="1"/>
    <col min="9734" max="9734" width="9.15625" style="2"/>
    <col min="9735" max="9735" width="22.7890625" style="2" customWidth="1"/>
    <col min="9736" max="9985" width="9.15625" style="2"/>
    <col min="9986" max="9986" width="24.5234375" style="2" customWidth="1"/>
    <col min="9987" max="9988" width="10.26171875" style="2" customWidth="1"/>
    <col min="9989" max="9989" width="11.26171875" style="2" customWidth="1"/>
    <col min="9990" max="9990" width="9.15625" style="2"/>
    <col min="9991" max="9991" width="22.7890625" style="2" customWidth="1"/>
    <col min="9992" max="10241" width="9.15625" style="2"/>
    <col min="10242" max="10242" width="24.5234375" style="2" customWidth="1"/>
    <col min="10243" max="10244" width="10.26171875" style="2" customWidth="1"/>
    <col min="10245" max="10245" width="11.26171875" style="2" customWidth="1"/>
    <col min="10246" max="10246" width="9.15625" style="2"/>
    <col min="10247" max="10247" width="22.7890625" style="2" customWidth="1"/>
    <col min="10248" max="10497" width="9.15625" style="2"/>
    <col min="10498" max="10498" width="24.5234375" style="2" customWidth="1"/>
    <col min="10499" max="10500" width="10.26171875" style="2" customWidth="1"/>
    <col min="10501" max="10501" width="11.26171875" style="2" customWidth="1"/>
    <col min="10502" max="10502" width="9.15625" style="2"/>
    <col min="10503" max="10503" width="22.7890625" style="2" customWidth="1"/>
    <col min="10504" max="10753" width="9.15625" style="2"/>
    <col min="10754" max="10754" width="24.5234375" style="2" customWidth="1"/>
    <col min="10755" max="10756" width="10.26171875" style="2" customWidth="1"/>
    <col min="10757" max="10757" width="11.26171875" style="2" customWidth="1"/>
    <col min="10758" max="10758" width="9.15625" style="2"/>
    <col min="10759" max="10759" width="22.7890625" style="2" customWidth="1"/>
    <col min="10760" max="11009" width="9.15625" style="2"/>
    <col min="11010" max="11010" width="24.5234375" style="2" customWidth="1"/>
    <col min="11011" max="11012" width="10.26171875" style="2" customWidth="1"/>
    <col min="11013" max="11013" width="11.26171875" style="2" customWidth="1"/>
    <col min="11014" max="11014" width="9.15625" style="2"/>
    <col min="11015" max="11015" width="22.7890625" style="2" customWidth="1"/>
    <col min="11016" max="11265" width="9.15625" style="2"/>
    <col min="11266" max="11266" width="24.5234375" style="2" customWidth="1"/>
    <col min="11267" max="11268" width="10.26171875" style="2" customWidth="1"/>
    <col min="11269" max="11269" width="11.26171875" style="2" customWidth="1"/>
    <col min="11270" max="11270" width="9.15625" style="2"/>
    <col min="11271" max="11271" width="22.7890625" style="2" customWidth="1"/>
    <col min="11272" max="11521" width="9.15625" style="2"/>
    <col min="11522" max="11522" width="24.5234375" style="2" customWidth="1"/>
    <col min="11523" max="11524" width="10.26171875" style="2" customWidth="1"/>
    <col min="11525" max="11525" width="11.26171875" style="2" customWidth="1"/>
    <col min="11526" max="11526" width="9.15625" style="2"/>
    <col min="11527" max="11527" width="22.7890625" style="2" customWidth="1"/>
    <col min="11528" max="11777" width="9.15625" style="2"/>
    <col min="11778" max="11778" width="24.5234375" style="2" customWidth="1"/>
    <col min="11779" max="11780" width="10.26171875" style="2" customWidth="1"/>
    <col min="11781" max="11781" width="11.26171875" style="2" customWidth="1"/>
    <col min="11782" max="11782" width="9.15625" style="2"/>
    <col min="11783" max="11783" width="22.7890625" style="2" customWidth="1"/>
    <col min="11784" max="12033" width="9.15625" style="2"/>
    <col min="12034" max="12034" width="24.5234375" style="2" customWidth="1"/>
    <col min="12035" max="12036" width="10.26171875" style="2" customWidth="1"/>
    <col min="12037" max="12037" width="11.26171875" style="2" customWidth="1"/>
    <col min="12038" max="12038" width="9.15625" style="2"/>
    <col min="12039" max="12039" width="22.7890625" style="2" customWidth="1"/>
    <col min="12040" max="12289" width="9.15625" style="2"/>
    <col min="12290" max="12290" width="24.5234375" style="2" customWidth="1"/>
    <col min="12291" max="12292" width="10.26171875" style="2" customWidth="1"/>
    <col min="12293" max="12293" width="11.26171875" style="2" customWidth="1"/>
    <col min="12294" max="12294" width="9.15625" style="2"/>
    <col min="12295" max="12295" width="22.7890625" style="2" customWidth="1"/>
    <col min="12296" max="12545" width="9.15625" style="2"/>
    <col min="12546" max="12546" width="24.5234375" style="2" customWidth="1"/>
    <col min="12547" max="12548" width="10.26171875" style="2" customWidth="1"/>
    <col min="12549" max="12549" width="11.26171875" style="2" customWidth="1"/>
    <col min="12550" max="12550" width="9.15625" style="2"/>
    <col min="12551" max="12551" width="22.7890625" style="2" customWidth="1"/>
    <col min="12552" max="12801" width="9.15625" style="2"/>
    <col min="12802" max="12802" width="24.5234375" style="2" customWidth="1"/>
    <col min="12803" max="12804" width="10.26171875" style="2" customWidth="1"/>
    <col min="12805" max="12805" width="11.26171875" style="2" customWidth="1"/>
    <col min="12806" max="12806" width="9.15625" style="2"/>
    <col min="12807" max="12807" width="22.7890625" style="2" customWidth="1"/>
    <col min="12808" max="13057" width="9.15625" style="2"/>
    <col min="13058" max="13058" width="24.5234375" style="2" customWidth="1"/>
    <col min="13059" max="13060" width="10.26171875" style="2" customWidth="1"/>
    <col min="13061" max="13061" width="11.26171875" style="2" customWidth="1"/>
    <col min="13062" max="13062" width="9.15625" style="2"/>
    <col min="13063" max="13063" width="22.7890625" style="2" customWidth="1"/>
    <col min="13064" max="13313" width="9.15625" style="2"/>
    <col min="13314" max="13314" width="24.5234375" style="2" customWidth="1"/>
    <col min="13315" max="13316" width="10.26171875" style="2" customWidth="1"/>
    <col min="13317" max="13317" width="11.26171875" style="2" customWidth="1"/>
    <col min="13318" max="13318" width="9.15625" style="2"/>
    <col min="13319" max="13319" width="22.7890625" style="2" customWidth="1"/>
    <col min="13320" max="13569" width="9.15625" style="2"/>
    <col min="13570" max="13570" width="24.5234375" style="2" customWidth="1"/>
    <col min="13571" max="13572" width="10.26171875" style="2" customWidth="1"/>
    <col min="13573" max="13573" width="11.26171875" style="2" customWidth="1"/>
    <col min="13574" max="13574" width="9.15625" style="2"/>
    <col min="13575" max="13575" width="22.7890625" style="2" customWidth="1"/>
    <col min="13576" max="13825" width="9.15625" style="2"/>
    <col min="13826" max="13826" width="24.5234375" style="2" customWidth="1"/>
    <col min="13827" max="13828" width="10.26171875" style="2" customWidth="1"/>
    <col min="13829" max="13829" width="11.26171875" style="2" customWidth="1"/>
    <col min="13830" max="13830" width="9.15625" style="2"/>
    <col min="13831" max="13831" width="22.7890625" style="2" customWidth="1"/>
    <col min="13832" max="14081" width="9.15625" style="2"/>
    <col min="14082" max="14082" width="24.5234375" style="2" customWidth="1"/>
    <col min="14083" max="14084" width="10.26171875" style="2" customWidth="1"/>
    <col min="14085" max="14085" width="11.26171875" style="2" customWidth="1"/>
    <col min="14086" max="14086" width="9.15625" style="2"/>
    <col min="14087" max="14087" width="22.7890625" style="2" customWidth="1"/>
    <col min="14088" max="14337" width="9.15625" style="2"/>
    <col min="14338" max="14338" width="24.5234375" style="2" customWidth="1"/>
    <col min="14339" max="14340" width="10.26171875" style="2" customWidth="1"/>
    <col min="14341" max="14341" width="11.26171875" style="2" customWidth="1"/>
    <col min="14342" max="14342" width="9.15625" style="2"/>
    <col min="14343" max="14343" width="22.7890625" style="2" customWidth="1"/>
    <col min="14344" max="14593" width="9.15625" style="2"/>
    <col min="14594" max="14594" width="24.5234375" style="2" customWidth="1"/>
    <col min="14595" max="14596" width="10.26171875" style="2" customWidth="1"/>
    <col min="14597" max="14597" width="11.26171875" style="2" customWidth="1"/>
    <col min="14598" max="14598" width="9.15625" style="2"/>
    <col min="14599" max="14599" width="22.7890625" style="2" customWidth="1"/>
    <col min="14600" max="14849" width="9.15625" style="2"/>
    <col min="14850" max="14850" width="24.5234375" style="2" customWidth="1"/>
    <col min="14851" max="14852" width="10.26171875" style="2" customWidth="1"/>
    <col min="14853" max="14853" width="11.26171875" style="2" customWidth="1"/>
    <col min="14854" max="14854" width="9.15625" style="2"/>
    <col min="14855" max="14855" width="22.7890625" style="2" customWidth="1"/>
    <col min="14856" max="15105" width="9.15625" style="2"/>
    <col min="15106" max="15106" width="24.5234375" style="2" customWidth="1"/>
    <col min="15107" max="15108" width="10.26171875" style="2" customWidth="1"/>
    <col min="15109" max="15109" width="11.26171875" style="2" customWidth="1"/>
    <col min="15110" max="15110" width="9.15625" style="2"/>
    <col min="15111" max="15111" width="22.7890625" style="2" customWidth="1"/>
    <col min="15112" max="15361" width="9.15625" style="2"/>
    <col min="15362" max="15362" width="24.5234375" style="2" customWidth="1"/>
    <col min="15363" max="15364" width="10.26171875" style="2" customWidth="1"/>
    <col min="15365" max="15365" width="11.26171875" style="2" customWidth="1"/>
    <col min="15366" max="15366" width="9.15625" style="2"/>
    <col min="15367" max="15367" width="22.7890625" style="2" customWidth="1"/>
    <col min="15368" max="15617" width="9.15625" style="2"/>
    <col min="15618" max="15618" width="24.5234375" style="2" customWidth="1"/>
    <col min="15619" max="15620" width="10.26171875" style="2" customWidth="1"/>
    <col min="15621" max="15621" width="11.26171875" style="2" customWidth="1"/>
    <col min="15622" max="15622" width="9.15625" style="2"/>
    <col min="15623" max="15623" width="22.7890625" style="2" customWidth="1"/>
    <col min="15624" max="15873" width="9.15625" style="2"/>
    <col min="15874" max="15874" width="24.5234375" style="2" customWidth="1"/>
    <col min="15875" max="15876" width="10.26171875" style="2" customWidth="1"/>
    <col min="15877" max="15877" width="11.26171875" style="2" customWidth="1"/>
    <col min="15878" max="15878" width="9.15625" style="2"/>
    <col min="15879" max="15879" width="22.7890625" style="2" customWidth="1"/>
    <col min="15880" max="16129" width="9.15625" style="2"/>
    <col min="16130" max="16130" width="24.5234375" style="2" customWidth="1"/>
    <col min="16131" max="16132" width="10.26171875" style="2" customWidth="1"/>
    <col min="16133" max="16133" width="11.26171875" style="2" customWidth="1"/>
    <col min="16134" max="16134" width="9.15625" style="2"/>
    <col min="16135" max="16135" width="22.7890625" style="2" customWidth="1"/>
    <col min="16136" max="16384" width="9.15625" style="2"/>
  </cols>
  <sheetData>
    <row r="2" spans="2:9" x14ac:dyDescent="0.75">
      <c r="B2" s="3" t="s">
        <v>88</v>
      </c>
    </row>
    <row r="4" spans="2:9" ht="23.4" x14ac:dyDescent="1">
      <c r="B4" s="42" t="s">
        <v>55</v>
      </c>
      <c r="C4" s="43">
        <v>0</v>
      </c>
      <c r="G4" s="3" t="s">
        <v>56</v>
      </c>
      <c r="H4" s="3"/>
      <c r="I4" s="3"/>
    </row>
    <row r="5" spans="2:9" ht="23.4" x14ac:dyDescent="1">
      <c r="B5" s="4" t="s">
        <v>57</v>
      </c>
      <c r="C5" s="5">
        <v>392</v>
      </c>
      <c r="D5" s="2">
        <f>0.45*750</f>
        <v>337.5</v>
      </c>
      <c r="G5" s="44" t="s">
        <v>2</v>
      </c>
      <c r="H5" s="45">
        <v>0.95</v>
      </c>
    </row>
    <row r="6" spans="2:9" ht="23.4" x14ac:dyDescent="1">
      <c r="B6" s="6" t="s">
        <v>58</v>
      </c>
      <c r="C6" s="7">
        <v>3158</v>
      </c>
    </row>
    <row r="7" spans="2:9" ht="23.4" x14ac:dyDescent="1">
      <c r="B7" s="6" t="s">
        <v>59</v>
      </c>
      <c r="C7" s="7">
        <v>72</v>
      </c>
      <c r="G7" s="46" t="s">
        <v>4</v>
      </c>
      <c r="H7" s="128">
        <f>SQRT(C13*(1-C13)/C6+C14*(1-C14)/C8)</f>
        <v>1.6471503968271017E-2</v>
      </c>
    </row>
    <row r="8" spans="2:9" ht="23.4" x14ac:dyDescent="1">
      <c r="B8" s="8" t="s">
        <v>60</v>
      </c>
      <c r="C8" s="9">
        <v>511</v>
      </c>
      <c r="G8" s="108" t="s">
        <v>5</v>
      </c>
      <c r="H8" s="129">
        <f>ABS(NORMSINV((1-H5)/2))</f>
        <v>1.9599639845400536</v>
      </c>
      <c r="I8" s="96"/>
    </row>
    <row r="9" spans="2:9" x14ac:dyDescent="0.75">
      <c r="B9" s="50"/>
      <c r="G9" s="48" t="s">
        <v>89</v>
      </c>
      <c r="H9" s="130">
        <f>H7*H8</f>
        <v>3.2283554549019766E-2</v>
      </c>
    </row>
    <row r="10" spans="2:9" ht="23.4" x14ac:dyDescent="1">
      <c r="B10" s="51" t="s">
        <v>61</v>
      </c>
      <c r="C10" s="52" t="s">
        <v>62</v>
      </c>
      <c r="D10" s="52" t="s">
        <v>63</v>
      </c>
      <c r="E10" s="53" t="s">
        <v>64</v>
      </c>
    </row>
    <row r="11" spans="2:9" x14ac:dyDescent="0.75">
      <c r="B11" s="89" t="s">
        <v>51</v>
      </c>
      <c r="C11" s="55">
        <f>2*MIN(D11,E11)</f>
        <v>0.28995476067535109</v>
      </c>
      <c r="D11" s="55">
        <f>NORMSDIST(C18)</f>
        <v>0.14497738033767554</v>
      </c>
      <c r="E11" s="56">
        <f>1-NORMSDIST(C18)</f>
        <v>0.85502261966232451</v>
      </c>
      <c r="G11" s="143">
        <f>C15-H8*H7</f>
        <v>-4.9054554550259116E-2</v>
      </c>
      <c r="H11" s="54" t="s">
        <v>7</v>
      </c>
      <c r="I11" s="142">
        <f>C15+H8*H7</f>
        <v>1.5512554547780416E-2</v>
      </c>
    </row>
    <row r="13" spans="2:9" ht="23.4" x14ac:dyDescent="1">
      <c r="B13" s="57" t="s">
        <v>65</v>
      </c>
      <c r="C13" s="47">
        <f>C5/C6</f>
        <v>0.12412919569347688</v>
      </c>
    </row>
    <row r="14" spans="2:9" ht="23.4" x14ac:dyDescent="1">
      <c r="B14" s="58" t="s">
        <v>66</v>
      </c>
      <c r="C14" s="59">
        <f>C7/C8</f>
        <v>0.14090019569471623</v>
      </c>
    </row>
    <row r="15" spans="2:9" x14ac:dyDescent="0.75">
      <c r="B15" s="58" t="s">
        <v>28</v>
      </c>
      <c r="C15" s="59">
        <f>C13-C14</f>
        <v>-1.677100000123935E-2</v>
      </c>
    </row>
    <row r="16" spans="2:9" x14ac:dyDescent="0.75">
      <c r="B16" s="58" t="s">
        <v>29</v>
      </c>
      <c r="C16" s="59">
        <f>(C5+C7)/(C6+C8)</f>
        <v>0.12646497683292451</v>
      </c>
    </row>
    <row r="17" spans="2:3" x14ac:dyDescent="0.75">
      <c r="B17" s="58" t="s">
        <v>4</v>
      </c>
      <c r="C17" s="144">
        <f>SQRT(C16*(1-C16)/C6+C16*(1-C16)/C8)</f>
        <v>1.5848298352329402E-2</v>
      </c>
    </row>
    <row r="18" spans="2:3" x14ac:dyDescent="0.75">
      <c r="B18" s="60" t="s">
        <v>30</v>
      </c>
      <c r="C18" s="49">
        <f>(C13-C14-C4)/C17</f>
        <v>-1.0582208656347214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8"/>
  <sheetViews>
    <sheetView topLeftCell="A7" zoomScale="90" zoomScaleNormal="90" workbookViewId="0">
      <selection activeCell="D8" sqref="D8"/>
    </sheetView>
  </sheetViews>
  <sheetFormatPr defaultColWidth="9.15625" defaultRowHeight="20.399999999999999" x14ac:dyDescent="0.75"/>
  <cols>
    <col min="1" max="1" width="9.15625" style="2"/>
    <col min="2" max="2" width="36.26171875" style="2" customWidth="1"/>
    <col min="3" max="3" width="13.15625" style="2" customWidth="1"/>
    <col min="4" max="4" width="13.7890625" style="2" bestFit="1" customWidth="1"/>
    <col min="5" max="5" width="12.7890625" style="2" customWidth="1"/>
    <col min="6" max="7" width="9.15625" style="2"/>
    <col min="8" max="8" width="31.15625" style="2" bestFit="1" customWidth="1"/>
    <col min="9" max="9" width="9.15625" style="2"/>
    <col min="10" max="10" width="14" style="2" customWidth="1"/>
    <col min="11" max="12" width="9.15625" style="2"/>
    <col min="13" max="13" width="11.15625" style="2" bestFit="1" customWidth="1"/>
    <col min="14" max="16384" width="9.15625" style="2"/>
  </cols>
  <sheetData>
    <row r="2" spans="2:13" ht="20.7" x14ac:dyDescent="0.75">
      <c r="B2" s="3" t="s">
        <v>86</v>
      </c>
    </row>
    <row r="3" spans="2:13" x14ac:dyDescent="0.75">
      <c r="B3" s="2" t="s">
        <v>92</v>
      </c>
    </row>
    <row r="4" spans="2:13" x14ac:dyDescent="0.75">
      <c r="B4" s="4" t="s">
        <v>11</v>
      </c>
      <c r="C4" s="5">
        <v>24.3</v>
      </c>
      <c r="F4"/>
      <c r="G4"/>
      <c r="H4" s="17" t="s">
        <v>14</v>
      </c>
      <c r="J4"/>
      <c r="L4" s="2">
        <v>1</v>
      </c>
      <c r="M4" s="2">
        <v>482</v>
      </c>
    </row>
    <row r="5" spans="2:13" x14ac:dyDescent="0.75">
      <c r="B5" s="6" t="s">
        <v>13</v>
      </c>
      <c r="C5" s="141">
        <v>4.0999999999999996</v>
      </c>
      <c r="F5"/>
      <c r="G5"/>
      <c r="H5" s="4" t="s">
        <v>2</v>
      </c>
      <c r="I5" s="5">
        <v>0.9</v>
      </c>
      <c r="J5"/>
      <c r="L5" s="2">
        <v>2</v>
      </c>
      <c r="M5" s="2">
        <v>505</v>
      </c>
    </row>
    <row r="6" spans="2:13" x14ac:dyDescent="0.75">
      <c r="B6" s="6" t="s">
        <v>12</v>
      </c>
      <c r="C6" s="7">
        <v>5</v>
      </c>
      <c r="F6"/>
      <c r="G6"/>
      <c r="H6" s="6" t="s">
        <v>6</v>
      </c>
      <c r="I6" s="7">
        <v>4</v>
      </c>
      <c r="J6"/>
      <c r="L6" s="2">
        <v>3</v>
      </c>
      <c r="M6" s="2">
        <v>496</v>
      </c>
    </row>
    <row r="7" spans="2:13" ht="20.7" x14ac:dyDescent="0.75">
      <c r="B7" s="8" t="s">
        <v>2</v>
      </c>
      <c r="C7" s="9">
        <v>0.95</v>
      </c>
      <c r="F7"/>
      <c r="G7"/>
      <c r="H7" s="8" t="s">
        <v>15</v>
      </c>
      <c r="I7" s="9">
        <v>12.1</v>
      </c>
      <c r="J7"/>
      <c r="L7" s="2">
        <v>4</v>
      </c>
      <c r="M7" s="2">
        <v>487</v>
      </c>
    </row>
    <row r="8" spans="2:13" x14ac:dyDescent="0.75">
      <c r="F8"/>
      <c r="G8"/>
      <c r="J8"/>
      <c r="L8" s="2">
        <v>5</v>
      </c>
      <c r="M8" s="2">
        <v>515</v>
      </c>
    </row>
    <row r="9" spans="2:13" x14ac:dyDescent="0.75">
      <c r="B9" s="10" t="s">
        <v>4</v>
      </c>
      <c r="C9" s="25">
        <f>C5/SQRT(C6)</f>
        <v>1.8335757415498273</v>
      </c>
      <c r="F9"/>
      <c r="G9"/>
      <c r="H9" s="13" t="s">
        <v>5</v>
      </c>
      <c r="I9" s="18">
        <f>ABS(NORMSINV((100%-I5)/2))</f>
        <v>1.6448536269514726</v>
      </c>
      <c r="J9"/>
    </row>
    <row r="10" spans="2:13" x14ac:dyDescent="0.75">
      <c r="B10" s="11" t="s">
        <v>5</v>
      </c>
      <c r="C10" s="16">
        <f>TINV(100%-C7,C6-1)</f>
        <v>2.776445105197793</v>
      </c>
      <c r="F10"/>
      <c r="G10"/>
      <c r="J10"/>
    </row>
    <row r="11" spans="2:13" x14ac:dyDescent="0.75">
      <c r="B11" s="12" t="s">
        <v>6</v>
      </c>
      <c r="C11" s="24">
        <f>C9*C10</f>
        <v>5.090822392635431</v>
      </c>
      <c r="F11"/>
      <c r="G11"/>
      <c r="H11" s="14" t="s">
        <v>16</v>
      </c>
      <c r="I11" s="19">
        <f>ROUND((I9*I7/I6)^2+0.5,0)</f>
        <v>25</v>
      </c>
      <c r="J11"/>
    </row>
    <row r="12" spans="2:13" x14ac:dyDescent="0.75">
      <c r="F12"/>
      <c r="G12"/>
      <c r="H12"/>
      <c r="I12"/>
      <c r="J12"/>
    </row>
    <row r="13" spans="2:13" ht="20.7" x14ac:dyDescent="0.75">
      <c r="B13" s="14" t="str">
        <f>C7*100&amp;"% Confidence Interval:"</f>
        <v>95% Confidence Interval:</v>
      </c>
      <c r="C13" s="81">
        <f>C4-C11</f>
        <v>19.20917760736457</v>
      </c>
      <c r="D13" s="140" t="s">
        <v>93</v>
      </c>
      <c r="E13" s="82">
        <f>C4+C11</f>
        <v>29.390822392635432</v>
      </c>
      <c r="F13"/>
      <c r="G13"/>
      <c r="H13"/>
      <c r="I13"/>
      <c r="J13"/>
      <c r="M13" s="2">
        <f>AVERAGE(M4:M12)</f>
        <v>497</v>
      </c>
    </row>
    <row r="14" spans="2:13" x14ac:dyDescent="0.75">
      <c r="M14" s="2">
        <f>STDEV(M4:M12)</f>
        <v>13.360389215887388</v>
      </c>
    </row>
    <row r="15" spans="2:13" x14ac:dyDescent="0.75">
      <c r="B15" s="14" t="str">
        <f>C7*100&amp;"% Prediction Interval:"</f>
        <v>95% Prediction Interval:</v>
      </c>
      <c r="C15" s="81">
        <f>C4-SQRT(C6+1)*C11</f>
        <v>11.830082766908596</v>
      </c>
      <c r="D15" s="140" t="s">
        <v>94</v>
      </c>
      <c r="E15" s="82">
        <f>C4+SQRT(C6+1)*C11</f>
        <v>36.769917233091405</v>
      </c>
    </row>
    <row r="17" spans="2:5" x14ac:dyDescent="0.75">
      <c r="B17" s="26" t="s">
        <v>87</v>
      </c>
      <c r="C17" s="27"/>
      <c r="D17" s="27"/>
      <c r="E17" s="27"/>
    </row>
    <row r="18" spans="2:5" x14ac:dyDescent="0.75">
      <c r="B18" s="27"/>
      <c r="C18" s="27"/>
      <c r="D18" s="27"/>
      <c r="E18" s="27"/>
    </row>
    <row r="19" spans="2:5" ht="21.3" x14ac:dyDescent="0.9">
      <c r="B19" s="28" t="s">
        <v>67</v>
      </c>
      <c r="C19" s="29">
        <v>355</v>
      </c>
      <c r="D19" s="27"/>
      <c r="E19" s="27"/>
    </row>
    <row r="20" spans="2:5" x14ac:dyDescent="0.75">
      <c r="B20" s="30" t="s">
        <v>31</v>
      </c>
      <c r="C20" s="31">
        <v>352</v>
      </c>
      <c r="D20" s="27"/>
      <c r="E20" s="27"/>
    </row>
    <row r="21" spans="2:5" x14ac:dyDescent="0.75">
      <c r="B21" s="30" t="s">
        <v>32</v>
      </c>
      <c r="C21" s="31">
        <v>5</v>
      </c>
      <c r="D21" s="27"/>
      <c r="E21" s="27"/>
    </row>
    <row r="22" spans="2:5" x14ac:dyDescent="0.75">
      <c r="B22" s="32" t="s">
        <v>12</v>
      </c>
      <c r="C22" s="33">
        <v>22</v>
      </c>
      <c r="D22" s="27"/>
      <c r="E22" s="83"/>
    </row>
    <row r="23" spans="2:5" ht="20.7" thickBot="1" x14ac:dyDescent="0.8">
      <c r="B23" s="34"/>
      <c r="C23" s="27"/>
      <c r="D23" s="27"/>
      <c r="E23" s="27"/>
    </row>
    <row r="24" spans="2:5" x14ac:dyDescent="0.75">
      <c r="B24" s="84" t="s">
        <v>33</v>
      </c>
      <c r="C24" s="85" t="str">
        <f>"≠ "&amp;C19</f>
        <v>≠ 355</v>
      </c>
      <c r="D24" s="86" t="str">
        <f>"&lt; "&amp;C19</f>
        <v>&lt; 355</v>
      </c>
      <c r="E24" s="87" t="str">
        <f>"&gt; "&amp;C19</f>
        <v>&gt; 355</v>
      </c>
    </row>
    <row r="25" spans="2:5" ht="20.7" thickBot="1" x14ac:dyDescent="0.8">
      <c r="B25" s="88" t="s">
        <v>51</v>
      </c>
      <c r="C25" s="106">
        <f>TDIST(ABS(C28),C22-1,2)</f>
        <v>1.0392029217490476E-2</v>
      </c>
      <c r="D25" s="106">
        <f>IF(C28&lt;0,TDIST(ABS(C28),C22-1,1),1-TDIST(ABS(C28),C22-1,1))</f>
        <v>5.1960146087452379E-3</v>
      </c>
      <c r="E25" s="107">
        <f>IF(C28&gt;0,TDIST(ABS(C28),C22-1,1),1-TDIST(ABS(C28),C22-1,1))</f>
        <v>0.99480398539125481</v>
      </c>
    </row>
    <row r="26" spans="2:5" x14ac:dyDescent="0.75">
      <c r="B26" s="34"/>
      <c r="C26" s="27"/>
      <c r="D26" s="27"/>
      <c r="E26" s="27"/>
    </row>
    <row r="27" spans="2:5" x14ac:dyDescent="0.75">
      <c r="B27" s="39" t="s">
        <v>4</v>
      </c>
      <c r="C27" s="61">
        <f>C21/SQRT(C22)</f>
        <v>1.0660035817780522</v>
      </c>
      <c r="D27" s="27"/>
      <c r="E27" s="27"/>
    </row>
    <row r="28" spans="2:5" x14ac:dyDescent="0.75">
      <c r="B28" s="41" t="s">
        <v>34</v>
      </c>
      <c r="C28" s="62">
        <f>(C20-C19)/C27</f>
        <v>-2.8142494558940578</v>
      </c>
      <c r="D28" s="27"/>
      <c r="E28" s="27"/>
    </row>
    <row r="37" spans="9:9" x14ac:dyDescent="0.75">
      <c r="I37" s="2" t="e">
        <f>AVERAGE(I21:I35)</f>
        <v>#DIV/0!</v>
      </c>
    </row>
    <row r="38" spans="9:9" x14ac:dyDescent="0.75">
      <c r="I38" s="2" t="e">
        <f>STDEV(I21:I35)</f>
        <v>#DIV/0!</v>
      </c>
    </row>
  </sheetData>
  <sortState ref="H5:H14">
    <sortCondition ref="H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6"/>
  <sheetViews>
    <sheetView topLeftCell="A2" workbookViewId="0">
      <selection activeCell="D15" sqref="D15"/>
    </sheetView>
  </sheetViews>
  <sheetFormatPr defaultColWidth="9.15625" defaultRowHeight="20.399999999999999" x14ac:dyDescent="0.75"/>
  <cols>
    <col min="1" max="1" width="10.47265625" style="2" customWidth="1"/>
    <col min="2" max="2" width="22.47265625" style="2" customWidth="1"/>
    <col min="3" max="3" width="12" style="2" bestFit="1" customWidth="1"/>
    <col min="4" max="4" width="9.15625" style="2"/>
    <col min="5" max="5" width="14.7890625" style="2" customWidth="1"/>
    <col min="6" max="6" width="12" style="2" customWidth="1"/>
    <col min="7" max="7" width="14.47265625" style="2" customWidth="1"/>
    <col min="8" max="8" width="3.26171875" style="2" customWidth="1"/>
    <col min="9" max="9" width="24.26171875" style="2" customWidth="1"/>
    <col min="10" max="10" width="14.47265625" style="2" customWidth="1"/>
    <col min="11" max="11" width="16.734375" style="2" customWidth="1"/>
    <col min="12" max="12" width="15.26171875" style="2" customWidth="1"/>
    <col min="13" max="16384" width="9.15625" style="2"/>
  </cols>
  <sheetData>
    <row r="2" spans="1:12" x14ac:dyDescent="0.75">
      <c r="B2" s="3" t="s">
        <v>35</v>
      </c>
      <c r="I2" s="3" t="s">
        <v>36</v>
      </c>
    </row>
    <row r="4" spans="1:12" x14ac:dyDescent="0.75">
      <c r="A4" s="63" t="s">
        <v>37</v>
      </c>
      <c r="B4" s="64" t="s">
        <v>38</v>
      </c>
      <c r="C4" s="145">
        <v>32.17</v>
      </c>
      <c r="I4" s="65" t="s">
        <v>39</v>
      </c>
      <c r="J4" s="19">
        <v>0</v>
      </c>
    </row>
    <row r="5" spans="1:12" x14ac:dyDescent="0.75">
      <c r="A5" s="66"/>
      <c r="B5" s="67" t="s">
        <v>40</v>
      </c>
      <c r="C5" s="68">
        <v>2.23</v>
      </c>
    </row>
    <row r="6" spans="1:12" x14ac:dyDescent="0.75">
      <c r="A6" s="69"/>
      <c r="B6" s="70" t="s">
        <v>26</v>
      </c>
      <c r="C6" s="71">
        <v>5</v>
      </c>
      <c r="E6" s="72" t="s">
        <v>41</v>
      </c>
      <c r="F6" s="73">
        <f>C5/SQRT(C6)</f>
        <v>0.99728631796490619</v>
      </c>
      <c r="I6" s="72" t="s">
        <v>42</v>
      </c>
      <c r="J6" s="45">
        <f>(C4-C8)/C14</f>
        <v>4.3969413402952986</v>
      </c>
    </row>
    <row r="7" spans="1:12" ht="20.7" thickBot="1" x14ac:dyDescent="0.8">
      <c r="B7" s="50"/>
      <c r="E7" s="50"/>
    </row>
    <row r="8" spans="1:12" ht="23.7" thickBot="1" x14ac:dyDescent="1.05">
      <c r="A8" s="63" t="s">
        <v>37</v>
      </c>
      <c r="B8" s="64" t="s">
        <v>43</v>
      </c>
      <c r="C8" s="74">
        <v>26.48</v>
      </c>
      <c r="E8" s="50"/>
      <c r="I8" s="91" t="s">
        <v>69</v>
      </c>
      <c r="J8" s="92" t="s">
        <v>70</v>
      </c>
      <c r="K8" s="92" t="s">
        <v>71</v>
      </c>
      <c r="L8" s="93" t="s">
        <v>72</v>
      </c>
    </row>
    <row r="9" spans="1:12" ht="20.7" thickBot="1" x14ac:dyDescent="0.8">
      <c r="A9" s="66"/>
      <c r="B9" s="67" t="s">
        <v>44</v>
      </c>
      <c r="C9" s="68">
        <v>2.02</v>
      </c>
      <c r="E9" s="50"/>
      <c r="J9" s="75"/>
      <c r="K9" s="75"/>
    </row>
    <row r="10" spans="1:12" ht="20.7" thickBot="1" x14ac:dyDescent="0.8">
      <c r="A10" s="69"/>
      <c r="B10" s="70" t="s">
        <v>27</v>
      </c>
      <c r="C10" s="71">
        <v>6</v>
      </c>
      <c r="E10" s="72" t="s">
        <v>45</v>
      </c>
      <c r="F10" s="45">
        <f>C9/SQRT(C10)</f>
        <v>0.82466154673700343</v>
      </c>
      <c r="I10" s="90" t="s">
        <v>51</v>
      </c>
      <c r="J10" s="94">
        <f>TDIST(ABS(J6),D15,2)</f>
        <v>2.2961261037640675E-3</v>
      </c>
      <c r="K10" s="94">
        <f>IF(J6&lt;0,TDIST(ABS(J6),D15,1),1-TDIST(ABS(J6),D15,1))</f>
        <v>0.99885193694811791</v>
      </c>
      <c r="L10" s="95">
        <f>IF(J6&gt;0,TDIST(J6,D15,1),1-TDIST(ABS(J6),D15,1))</f>
        <v>1.1480630518820338E-3</v>
      </c>
    </row>
    <row r="12" spans="1:12" x14ac:dyDescent="0.75">
      <c r="B12" s="14" t="s">
        <v>46</v>
      </c>
      <c r="C12" s="19">
        <v>0.99</v>
      </c>
      <c r="E12"/>
      <c r="F12"/>
      <c r="G12"/>
      <c r="H12"/>
      <c r="I12"/>
    </row>
    <row r="13" spans="1:12" x14ac:dyDescent="0.75">
      <c r="E13"/>
      <c r="F13"/>
      <c r="G13"/>
      <c r="H13"/>
      <c r="I13"/>
    </row>
    <row r="14" spans="1:12" x14ac:dyDescent="0.75">
      <c r="B14" s="4" t="s">
        <v>48</v>
      </c>
      <c r="C14" s="5">
        <f>SQRT(F6^2+F10^2)</f>
        <v>1.2940813987793298</v>
      </c>
      <c r="E14" s="3" t="s">
        <v>85</v>
      </c>
    </row>
    <row r="15" spans="1:12" x14ac:dyDescent="0.75">
      <c r="B15" s="6" t="s">
        <v>49</v>
      </c>
      <c r="C15" s="146">
        <f>MIN(C6-1,C10-1)</f>
        <v>4</v>
      </c>
      <c r="D15" s="76">
        <f>(F6^2+F10^2)^2/(F6^4/(C6-1)+F10^4/(C10-1))</f>
        <v>8.2533218865213218</v>
      </c>
      <c r="E15" s="77">
        <f>C4-C8-D16*C14</f>
        <v>1.347855668821639</v>
      </c>
      <c r="F15" s="78" t="s">
        <v>47</v>
      </c>
      <c r="G15" s="79">
        <f>C4-C8+D16*C14</f>
        <v>10.032144331178364</v>
      </c>
    </row>
    <row r="16" spans="1:12" x14ac:dyDescent="0.75">
      <c r="B16" s="8" t="s">
        <v>50</v>
      </c>
      <c r="C16" s="9">
        <f>TINV(1-C12,C15)</f>
        <v>4.6040948713499921</v>
      </c>
      <c r="D16" s="80">
        <f>TINV(1-C12,D15)</f>
        <v>3.3553873313333948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4"/>
  <sheetViews>
    <sheetView tabSelected="1" workbookViewId="0">
      <selection activeCell="C8" sqref="C8"/>
    </sheetView>
  </sheetViews>
  <sheetFormatPr defaultColWidth="9.15625" defaultRowHeight="20.399999999999999" x14ac:dyDescent="0.75"/>
  <cols>
    <col min="1" max="1" width="9.15625" style="2"/>
    <col min="2" max="2" width="37.7890625" style="2" customWidth="1"/>
    <col min="3" max="3" width="18.15625" style="2" bestFit="1" customWidth="1"/>
    <col min="4" max="4" width="10.26171875" style="2" customWidth="1"/>
    <col min="5" max="5" width="15.15625" style="2" customWidth="1"/>
    <col min="6" max="16384" width="9.15625" style="2"/>
  </cols>
  <sheetData>
    <row r="2" spans="2:8" ht="23.1" x14ac:dyDescent="0.75">
      <c r="B2" s="3" t="s">
        <v>84</v>
      </c>
    </row>
    <row r="3" spans="2:8" x14ac:dyDescent="0.75">
      <c r="B3" s="2" t="s">
        <v>21</v>
      </c>
    </row>
    <row r="5" spans="2:8" x14ac:dyDescent="0.75">
      <c r="B5" s="4" t="s">
        <v>17</v>
      </c>
      <c r="C5" s="5">
        <v>4.0999999999999996</v>
      </c>
    </row>
    <row r="6" spans="2:8" x14ac:dyDescent="0.75">
      <c r="B6" s="6" t="s">
        <v>12</v>
      </c>
      <c r="C6" s="7">
        <v>5</v>
      </c>
    </row>
    <row r="7" spans="2:8" x14ac:dyDescent="0.75">
      <c r="B7" s="8" t="s">
        <v>2</v>
      </c>
      <c r="C7" s="9">
        <v>0.8</v>
      </c>
    </row>
    <row r="8" spans="2:8" ht="20.7" x14ac:dyDescent="0.75">
      <c r="H8" s="20"/>
    </row>
    <row r="9" spans="2:8" ht="23.1" x14ac:dyDescent="0.75">
      <c r="B9" s="10" t="s">
        <v>53</v>
      </c>
      <c r="C9" s="23">
        <f>CHIINV((1-C7)/2,C6-1)</f>
        <v>7.779440339734859</v>
      </c>
    </row>
    <row r="10" spans="2:8" ht="23.1" x14ac:dyDescent="0.75">
      <c r="B10" s="11" t="s">
        <v>54</v>
      </c>
      <c r="C10" s="24">
        <f>CHIINV((1+C7)/2,C6-1)</f>
        <v>1.0636232167792243</v>
      </c>
    </row>
    <row r="12" spans="2:8" ht="23.1" x14ac:dyDescent="0.75">
      <c r="B12" s="14" t="str">
        <f>C7*100&amp;"% Confidence Interval:"</f>
        <v>80% Confidence Interval:</v>
      </c>
      <c r="C12" s="21">
        <f>(C6-1)*C5^2/C9</f>
        <v>8.6432952839242017</v>
      </c>
      <c r="D12" s="15" t="s">
        <v>52</v>
      </c>
      <c r="E12" s="22">
        <f>(C6-1)*C5^2/C10</f>
        <v>63.217875408559237</v>
      </c>
    </row>
    <row r="14" spans="2:8" ht="20.7" x14ac:dyDescent="0.75">
      <c r="B14" s="14" t="str">
        <f>C7*100&amp;"% Confidence Interval:"</f>
        <v>80% Confidence Interval:</v>
      </c>
      <c r="C14" s="21">
        <f>SQRT(C12)</f>
        <v>2.9399481770813924</v>
      </c>
      <c r="D14" s="15" t="s">
        <v>18</v>
      </c>
      <c r="E14" s="22">
        <f>SQRT(E12)</f>
        <v>7.9509669480233178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"/>
  <sheetViews>
    <sheetView zoomScale="130" zoomScaleNormal="130" workbookViewId="0">
      <selection activeCell="D16" sqref="D16"/>
    </sheetView>
  </sheetViews>
  <sheetFormatPr defaultColWidth="9.15625" defaultRowHeight="18.3" x14ac:dyDescent="0.7"/>
  <cols>
    <col min="1" max="2" width="9.15625" style="97"/>
    <col min="3" max="3" width="19" style="97" customWidth="1"/>
    <col min="4" max="4" width="12.5234375" style="97" customWidth="1"/>
    <col min="5" max="7" width="9.15625" style="97"/>
    <col min="8" max="8" width="10.734375" style="97" customWidth="1"/>
    <col min="9" max="9" width="10.47265625" style="97" customWidth="1"/>
    <col min="10" max="16384" width="9.15625" style="97"/>
  </cols>
  <sheetData>
    <row r="1" spans="1:10" x14ac:dyDescent="0.7">
      <c r="A1" s="26" t="s">
        <v>73</v>
      </c>
    </row>
    <row r="3" spans="1:10" x14ac:dyDescent="0.7">
      <c r="A3" s="27"/>
      <c r="B3" s="27"/>
      <c r="C3" s="137" t="s">
        <v>37</v>
      </c>
      <c r="D3" s="27"/>
      <c r="E3" s="27"/>
      <c r="F3" s="27"/>
      <c r="G3" s="27"/>
      <c r="H3" s="27"/>
      <c r="I3" s="27"/>
      <c r="J3" s="27"/>
    </row>
    <row r="4" spans="1:10" x14ac:dyDescent="0.7">
      <c r="A4" s="27"/>
      <c r="B4" s="27"/>
      <c r="C4" s="138" t="s">
        <v>74</v>
      </c>
      <c r="D4" s="139">
        <v>0.21</v>
      </c>
      <c r="E4" s="27"/>
      <c r="F4" s="27"/>
      <c r="G4" s="27"/>
      <c r="H4" s="27" t="s">
        <v>75</v>
      </c>
      <c r="I4" s="27">
        <f>D5-2</f>
        <v>33</v>
      </c>
      <c r="J4" s="27"/>
    </row>
    <row r="5" spans="1:10" x14ac:dyDescent="0.7">
      <c r="A5" s="27"/>
      <c r="B5" s="27"/>
      <c r="C5" s="138" t="s">
        <v>1</v>
      </c>
      <c r="D5" s="139">
        <v>35</v>
      </c>
      <c r="E5" s="27"/>
      <c r="F5" s="27"/>
      <c r="G5" s="27"/>
      <c r="H5" s="27"/>
      <c r="I5" s="27"/>
      <c r="J5" s="27"/>
    </row>
    <row r="6" spans="1:10" x14ac:dyDescent="0.7">
      <c r="A6" s="27"/>
      <c r="B6" s="27"/>
      <c r="C6" s="98" t="s">
        <v>76</v>
      </c>
      <c r="D6" s="98">
        <v>0.95</v>
      </c>
      <c r="E6" s="27"/>
      <c r="F6" s="27"/>
      <c r="G6" s="27"/>
      <c r="H6" s="27" t="s">
        <v>77</v>
      </c>
      <c r="I6" s="99">
        <f>D4*SQRT(I4/(1-D4^2))</f>
        <v>1.2338717865851072</v>
      </c>
      <c r="J6" s="27"/>
    </row>
    <row r="7" spans="1:10" x14ac:dyDescent="0.7">
      <c r="A7" s="27"/>
      <c r="B7" s="27"/>
      <c r="C7" s="27"/>
      <c r="D7" s="27"/>
      <c r="E7" s="27"/>
      <c r="F7" s="27"/>
      <c r="G7" s="27"/>
      <c r="H7" s="27"/>
      <c r="I7" s="99"/>
      <c r="J7" s="27"/>
    </row>
    <row r="8" spans="1:10" x14ac:dyDescent="0.7">
      <c r="A8" s="27"/>
      <c r="B8" s="27"/>
      <c r="C8" s="27" t="s">
        <v>78</v>
      </c>
      <c r="D8" s="99">
        <f>IF(D5&gt;3,1/SQRT(D5-3),"Need n&gt;3.")</f>
        <v>0.17677669529663687</v>
      </c>
      <c r="E8" s="27"/>
      <c r="F8" s="27"/>
      <c r="G8" s="27"/>
      <c r="H8" s="100" t="s">
        <v>79</v>
      </c>
      <c r="I8" s="101">
        <f>TDIST(ABS(I6),I4,2)</f>
        <v>0.22596642909095813</v>
      </c>
      <c r="J8" s="27"/>
    </row>
    <row r="9" spans="1:10" x14ac:dyDescent="0.7">
      <c r="A9" s="27"/>
      <c r="B9" s="27"/>
      <c r="C9" s="27" t="s">
        <v>80</v>
      </c>
      <c r="D9" s="99">
        <f>ABS(NORMSINV((1-D6)/2))</f>
        <v>1.9599639845400536</v>
      </c>
      <c r="E9" s="27"/>
      <c r="F9" s="27"/>
      <c r="G9" s="27"/>
      <c r="H9" s="27"/>
      <c r="I9" s="27"/>
      <c r="J9" s="27"/>
    </row>
    <row r="10" spans="1:10" x14ac:dyDescent="0.7">
      <c r="A10" s="27"/>
      <c r="B10" s="27"/>
      <c r="C10" s="27"/>
      <c r="D10" s="99"/>
      <c r="E10" s="27"/>
      <c r="F10" s="27"/>
      <c r="G10" s="27"/>
      <c r="H10" s="27"/>
      <c r="I10" s="27"/>
      <c r="J10" s="27"/>
    </row>
    <row r="11" spans="1:10" x14ac:dyDescent="0.7">
      <c r="A11" s="27"/>
      <c r="B11" s="27"/>
      <c r="C11" s="27" t="s">
        <v>81</v>
      </c>
      <c r="D11" s="99">
        <f>ATANH(D4)</f>
        <v>0.21317134656485978</v>
      </c>
      <c r="E11" s="27"/>
      <c r="F11" s="27"/>
      <c r="G11" s="27"/>
      <c r="H11" s="27"/>
      <c r="I11" s="27"/>
      <c r="J11" s="27"/>
    </row>
    <row r="12" spans="1:10" x14ac:dyDescent="0.7">
      <c r="A12" s="27"/>
      <c r="B12" s="27"/>
      <c r="C12" s="27"/>
      <c r="D12" s="99"/>
      <c r="E12" s="27"/>
      <c r="F12" s="27"/>
      <c r="G12" s="27"/>
      <c r="H12" s="27"/>
      <c r="I12" s="27"/>
      <c r="J12" s="27"/>
    </row>
    <row r="13" spans="1:10" x14ac:dyDescent="0.7">
      <c r="A13" s="27"/>
      <c r="B13" s="27"/>
      <c r="C13" s="27" t="s">
        <v>82</v>
      </c>
      <c r="D13" s="99"/>
      <c r="E13" s="27"/>
      <c r="F13" s="27"/>
      <c r="G13" s="27"/>
      <c r="H13" s="27"/>
      <c r="I13" s="27"/>
      <c r="J13" s="27"/>
    </row>
    <row r="14" spans="1:10" x14ac:dyDescent="0.7">
      <c r="A14" s="27"/>
      <c r="B14" s="27"/>
      <c r="C14" s="27"/>
      <c r="D14" s="99">
        <f>D11-D9*D8</f>
        <v>-0.13330460952255954</v>
      </c>
      <c r="E14" s="102" t="s">
        <v>7</v>
      </c>
      <c r="F14" s="99">
        <f>D11+D9*D8</f>
        <v>0.55964730265227913</v>
      </c>
      <c r="G14" s="27"/>
      <c r="H14" s="27"/>
      <c r="I14" s="27"/>
      <c r="J14" s="27"/>
    </row>
    <row r="15" spans="1:10" x14ac:dyDescent="0.7">
      <c r="A15" s="27"/>
      <c r="B15" s="27"/>
      <c r="C15" s="27"/>
      <c r="D15" s="99"/>
      <c r="E15" s="27"/>
      <c r="F15" s="99"/>
      <c r="G15" s="27"/>
      <c r="H15" s="27"/>
      <c r="I15" s="27"/>
      <c r="J15" s="27"/>
    </row>
    <row r="16" spans="1:10" x14ac:dyDescent="0.7">
      <c r="A16" s="27"/>
      <c r="B16" s="27"/>
      <c r="C16" s="103" t="s">
        <v>83</v>
      </c>
      <c r="D16" s="104">
        <f>TANH(D14)</f>
        <v>-0.13252056912651219</v>
      </c>
      <c r="E16" s="105" t="s">
        <v>7</v>
      </c>
      <c r="F16" s="101">
        <f>TANH(F14)</f>
        <v>0.50771569907001035</v>
      </c>
      <c r="G16" s="27"/>
      <c r="H16" s="27"/>
      <c r="I16" s="27"/>
      <c r="J16" s="27"/>
    </row>
    <row r="17" spans="1:10" x14ac:dyDescent="0.7">
      <c r="A17" s="27"/>
      <c r="B17" s="27"/>
      <c r="C17" s="27"/>
      <c r="D17" s="27"/>
      <c r="E17" s="27"/>
      <c r="F17" s="27"/>
      <c r="G17" s="27"/>
      <c r="H17" s="27"/>
      <c r="I17" s="27"/>
      <c r="J17" s="2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 &amp; HT for P</vt:lpstr>
      <vt:lpstr>CI &amp; HT for p1-p2</vt:lpstr>
      <vt:lpstr>CI &amp; HT for Mean</vt:lpstr>
      <vt:lpstr>CI &amp; HT for Diff in Means</vt:lpstr>
      <vt:lpstr>CI for Variance</vt:lpstr>
      <vt:lpstr>CI and HT for r</vt:lpstr>
    </vt:vector>
  </TitlesOfParts>
  <Company>Normandale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Normandale Community College</dc:creator>
  <cp:lastModifiedBy>dskun</cp:lastModifiedBy>
  <dcterms:created xsi:type="dcterms:W3CDTF">2009-03-31T20:02:58Z</dcterms:created>
  <dcterms:modified xsi:type="dcterms:W3CDTF">2018-10-31T18:09:39Z</dcterms:modified>
</cp:coreProperties>
</file>