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A553DF79-9E7F-44C1-9280-D7495CABF1AB}" xr6:coauthVersionLast="47" xr6:coauthVersionMax="47" xr10:uidLastSave="{00000000-0000-0000-0000-000000000000}"/>
  <bookViews>
    <workbookView xWindow="28680" yWindow="2220" windowWidth="20640" windowHeight="11160" xr2:uid="{946B08D8-33BB-4074-8591-CD601803A2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7" i="1"/>
  <c r="C38" i="1"/>
  <c r="C37" i="1"/>
  <c r="C35" i="1"/>
  <c r="C34" i="1"/>
  <c r="C32" i="1"/>
  <c r="P9" i="1"/>
  <c r="O3" i="1"/>
  <c r="O7" i="1"/>
  <c r="P5" i="1"/>
  <c r="M25" i="1"/>
  <c r="M19" i="1"/>
  <c r="M18" i="1"/>
  <c r="M17" i="1"/>
  <c r="M16" i="1"/>
  <c r="M13" i="1"/>
  <c r="M12" i="1"/>
  <c r="M10" i="1"/>
  <c r="M8" i="1"/>
  <c r="L25" i="1"/>
  <c r="L23" i="1"/>
  <c r="L17" i="1"/>
  <c r="L14" i="1"/>
  <c r="L6" i="1"/>
  <c r="L4" i="1"/>
  <c r="K25" i="1"/>
  <c r="K24" i="1"/>
  <c r="K22" i="1"/>
  <c r="K21" i="1"/>
  <c r="K20" i="1"/>
  <c r="K17" i="1"/>
  <c r="K16" i="1"/>
  <c r="K15" i="1"/>
  <c r="K13" i="1"/>
  <c r="C20" i="1" l="1"/>
  <c r="H9" i="1" s="1"/>
  <c r="I8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C21" i="1"/>
  <c r="C10" i="1"/>
  <c r="C11" i="1" s="1"/>
  <c r="J12" i="1" s="1"/>
  <c r="O4" i="1" l="1"/>
  <c r="H10" i="1"/>
  <c r="I9" i="1"/>
  <c r="J27" i="1"/>
  <c r="J26" i="1"/>
  <c r="J18" i="1"/>
  <c r="J10" i="1"/>
  <c r="J25" i="1"/>
  <c r="J17" i="1"/>
  <c r="J9" i="1"/>
  <c r="J11" i="1"/>
  <c r="J24" i="1"/>
  <c r="J16" i="1"/>
  <c r="J8" i="1"/>
  <c r="N3" i="1"/>
  <c r="N4" i="1" s="1"/>
  <c r="N5" i="1" s="1"/>
  <c r="N6" i="1" s="1"/>
  <c r="N7" i="1" s="1"/>
  <c r="N8" i="1" s="1"/>
  <c r="N9" i="1" s="1"/>
  <c r="N10" i="1" s="1"/>
  <c r="N11" i="1" s="1"/>
  <c r="N12" i="1" s="1"/>
  <c r="J23" i="1"/>
  <c r="J15" i="1"/>
  <c r="J7" i="1"/>
  <c r="J5" i="1"/>
  <c r="J22" i="1"/>
  <c r="J14" i="1"/>
  <c r="J4" i="1"/>
  <c r="J21" i="1"/>
  <c r="J13" i="1"/>
  <c r="J19" i="1"/>
  <c r="J6" i="1"/>
  <c r="J20" i="1"/>
  <c r="P3" i="1" l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P4" i="1"/>
  <c r="O5" i="1"/>
  <c r="I10" i="1"/>
  <c r="H11" i="1"/>
  <c r="O6" i="1" l="1"/>
  <c r="I11" i="1"/>
  <c r="H12" i="1"/>
  <c r="P6" i="1" l="1"/>
  <c r="H13" i="1"/>
  <c r="I12" i="1"/>
  <c r="O8" i="1" l="1"/>
  <c r="P7" i="1"/>
  <c r="I13" i="1"/>
  <c r="H14" i="1"/>
  <c r="O9" i="1" l="1"/>
  <c r="P8" i="1"/>
  <c r="I14" i="1"/>
  <c r="H15" i="1"/>
  <c r="O10" i="1" l="1"/>
  <c r="I15" i="1"/>
  <c r="H16" i="1"/>
  <c r="O11" i="1" l="1"/>
  <c r="P10" i="1"/>
  <c r="H17" i="1"/>
  <c r="I16" i="1"/>
  <c r="O12" i="1" l="1"/>
  <c r="P11" i="1"/>
  <c r="H18" i="1"/>
  <c r="I17" i="1"/>
  <c r="P12" i="1" l="1"/>
  <c r="O13" i="1"/>
  <c r="I18" i="1"/>
  <c r="H19" i="1"/>
  <c r="P13" i="1" l="1"/>
  <c r="O14" i="1"/>
  <c r="I19" i="1"/>
  <c r="H20" i="1"/>
  <c r="P14" i="1" l="1"/>
  <c r="O15" i="1"/>
  <c r="I20" i="1"/>
  <c r="H21" i="1"/>
  <c r="P15" i="1" l="1"/>
  <c r="O16" i="1"/>
  <c r="I21" i="1"/>
  <c r="H22" i="1"/>
  <c r="P16" i="1" l="1"/>
  <c r="O17" i="1"/>
  <c r="I22" i="1"/>
  <c r="H23" i="1"/>
  <c r="P17" i="1" l="1"/>
  <c r="O18" i="1"/>
  <c r="I23" i="1"/>
  <c r="H24" i="1"/>
  <c r="P18" i="1" l="1"/>
  <c r="O19" i="1"/>
  <c r="H25" i="1"/>
  <c r="I24" i="1"/>
  <c r="C3" i="1"/>
  <c r="L10" i="1" l="1"/>
  <c r="L18" i="1"/>
  <c r="L26" i="1"/>
  <c r="L3" i="1"/>
  <c r="M3" i="1" s="1"/>
  <c r="L11" i="1"/>
  <c r="L19" i="1"/>
  <c r="L27" i="1"/>
  <c r="L13" i="1"/>
  <c r="L12" i="1"/>
  <c r="L20" i="1"/>
  <c r="L22" i="1"/>
  <c r="L21" i="1"/>
  <c r="L7" i="1"/>
  <c r="L15" i="1"/>
  <c r="L9" i="1"/>
  <c r="L5" i="1"/>
  <c r="L8" i="1"/>
  <c r="L16" i="1"/>
  <c r="L24" i="1"/>
  <c r="P19" i="1"/>
  <c r="O20" i="1"/>
  <c r="K23" i="1"/>
  <c r="M23" i="1" s="1"/>
  <c r="K8" i="1"/>
  <c r="K7" i="1"/>
  <c r="M7" i="1" s="1"/>
  <c r="K9" i="1"/>
  <c r="K11" i="1"/>
  <c r="M11" i="1" s="1"/>
  <c r="K5" i="1"/>
  <c r="M5" i="1" s="1"/>
  <c r="M22" i="1"/>
  <c r="K10" i="1"/>
  <c r="K18" i="1"/>
  <c r="K19" i="1"/>
  <c r="K6" i="1"/>
  <c r="M6" i="1" s="1"/>
  <c r="K14" i="1"/>
  <c r="M14" i="1" s="1"/>
  <c r="K4" i="1"/>
  <c r="M4" i="1" s="1"/>
  <c r="K12" i="1"/>
  <c r="M20" i="1"/>
  <c r="K3" i="1"/>
  <c r="M15" i="1"/>
  <c r="H26" i="1"/>
  <c r="I25" i="1"/>
  <c r="M24" i="1" l="1"/>
  <c r="M21" i="1"/>
  <c r="M9" i="1"/>
  <c r="P20" i="1"/>
  <c r="O21" i="1"/>
  <c r="H27" i="1"/>
  <c r="I27" i="1" s="1"/>
  <c r="K27" i="1" s="1"/>
  <c r="M27" i="1" s="1"/>
  <c r="I26" i="1"/>
  <c r="K26" i="1" s="1"/>
  <c r="M26" i="1" s="1"/>
  <c r="P21" i="1" l="1"/>
  <c r="O22" i="1"/>
  <c r="P22" i="1" l="1"/>
  <c r="O23" i="1"/>
  <c r="P23" i="1" l="1"/>
  <c r="O24" i="1"/>
  <c r="P24" i="1" l="1"/>
  <c r="O25" i="1"/>
  <c r="P25" i="1" l="1"/>
  <c r="O26" i="1"/>
  <c r="O27" i="1" s="1"/>
  <c r="P27" i="1" l="1"/>
  <c r="P26" i="1"/>
</calcChain>
</file>

<file path=xl/sharedStrings.xml><?xml version="1.0" encoding="utf-8"?>
<sst xmlns="http://schemas.openxmlformats.org/spreadsheetml/2006/main" count="64" uniqueCount="50">
  <si>
    <t>Taxa de Juros Anual</t>
  </si>
  <si>
    <t>Taxa de Juros Mensais</t>
  </si>
  <si>
    <t>Periodo</t>
  </si>
  <si>
    <t>Receitas</t>
  </si>
  <si>
    <t>Despesas</t>
  </si>
  <si>
    <t>VPL</t>
  </si>
  <si>
    <t>Despesas Constantes</t>
  </si>
  <si>
    <t>Hospedagem</t>
  </si>
  <si>
    <t>Salário gerente</t>
  </si>
  <si>
    <t>Salário Programador</t>
  </si>
  <si>
    <t>Demais Funcionarios</t>
  </si>
  <si>
    <t>Marketing</t>
  </si>
  <si>
    <t>Quantidade Programadores</t>
  </si>
  <si>
    <t>Quantidade Gerentes</t>
  </si>
  <si>
    <t>Quantidade Demais Funcionarios</t>
  </si>
  <si>
    <t>Despesas Salariais</t>
  </si>
  <si>
    <t>Clientes (instituições)</t>
  </si>
  <si>
    <t>Churn Rate (Meio do Semestre)</t>
  </si>
  <si>
    <t>Churn Rate (Periodo de Matricula)</t>
  </si>
  <si>
    <t>Meses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</si>
  <si>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</si>
  <si>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</si>
  <si>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</si>
  <si>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</si>
  <si>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</si>
  <si>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</si>
  <si>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</si>
  <si>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</si>
  <si>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</si>
  <si>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</si>
  <si>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</si>
  <si>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</si>
  <si>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Entrada Cliente (Período de Matricula)</t>
  </si>
  <si>
    <t>Entrada Cliente (Meio do Semestre)</t>
  </si>
  <si>
    <t xml:space="preserve">Porcentagem de Pessoas que ao Clicar </t>
  </si>
  <si>
    <t>no anuncio Compram o Serviço(PM)</t>
  </si>
  <si>
    <t>no anuncio Compram o Serviço(MS)</t>
  </si>
  <si>
    <t xml:space="preserve">Média de Aluno Pro Instituição </t>
  </si>
  <si>
    <t>Preço do Serviço Por Aluno</t>
  </si>
  <si>
    <t>VP(Receita)</t>
  </si>
  <si>
    <t>Total Despesas</t>
  </si>
  <si>
    <t>Total Lucro</t>
  </si>
  <si>
    <t>Retorno</t>
  </si>
  <si>
    <t>VP(Despesa)</t>
  </si>
  <si>
    <t>IBC</t>
  </si>
  <si>
    <t>Investimento Inicial</t>
  </si>
  <si>
    <t>Indice de Aquisição de Cliente (PM)</t>
  </si>
  <si>
    <t>Indice de Aquisição de Cliente (MS)</t>
  </si>
  <si>
    <t>lifetime value (PM)</t>
  </si>
  <si>
    <t>lifetime value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</si>
</sst>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4" borderId="1" xfId="0" applyFill="1" applyBorder="1"/>
    <xf numFmtId="0" fontId="0" fillId="0" borderId="1" xfId="0" applyBorder="1"/>
    <xf numFmtId="44" fontId="0" fillId="0" borderId="1" xfId="2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3" fillId="3" borderId="1" xfId="4" applyBorder="1" applyAlignment="1">
      <alignment horizontal="center"/>
    </xf>
    <xf numFmtId="9" fontId="0" fillId="0" borderId="1" xfId="0" applyNumberFormat="1" applyBorder="1"/>
    <xf numFmtId="9" fontId="3" fillId="3" borderId="1" xfId="4" applyNumberFormat="1" applyBorder="1"/>
    <xf numFmtId="44" fontId="0" fillId="0" borderId="1" xfId="0" applyNumberFormat="1" applyBorder="1"/>
    <xf numFmtId="43" fontId="0" fillId="0" borderId="1" xfId="1" applyFont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/>
    <xf numFmtId="0" fontId="0" fillId="4" borderId="3" xfId="0" applyFill="1" applyBorder="1"/>
    <xf numFmtId="2" fontId="0" fillId="0" borderId="1" xfId="1" applyNumberFormat="1" applyFont="1" applyBorder="1" applyAlignment="1">
      <alignment horizontal="center"/>
    </xf>
    <xf numFmtId="0" fontId="3" fillId="3" borderId="1" xfId="4" applyNumberFormat="1" applyBorder="1"/>
    <xf numFmtId="44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44" fontId="2" fillId="2" borderId="1" xfId="3" applyNumberFormat="1" applyBorder="1"/>
    <xf numFmtId="2" fontId="0" fillId="0" borderId="1" xfId="2" applyNumberFormat="1" applyFont="1" applyBorder="1"/>
    <xf numFmtId="9" fontId="0" fillId="0" borderId="1" xfId="0" applyNumberFormat="1" applyBorder="1"/>
    <xf numFmtId="0" fontId="0" fillId="0" borderId="1" xfId="0" applyBorder="1"/>
    <xf numFmtId="10" fontId="3" fillId="3" borderId="1" xfId="4" applyNumberFormat="1" applyBorder="1"/>
    <xf numFmtId="0" fontId="3" fillId="3" borderId="1" xfId="4" applyBorder="1"/>
    <xf numFmtId="0" fontId="0" fillId="0" borderId="0" xfId="0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44" fontId="0" fillId="0" borderId="0" xfId="2" applyFont="1" applyBorder="1"/>
    <xf numFmtId="44" fontId="0" fillId="0" borderId="0" xfId="0" applyNumberFormat="1" applyBorder="1"/>
    <xf numFmtId="0" fontId="0" fillId="5" borderId="1" xfId="0" applyFill="1" applyBorder="1"/>
    <xf numFmtId="44" fontId="3" fillId="3" borderId="1" xfId="4" applyNumberFormat="1" applyBorder="1"/>
    <xf numFmtId="2" fontId="3" fillId="3" borderId="1" xfId="4" applyNumberFormat="1" applyBorder="1"/>
  </cellXfs>
  <cellStyles count="5">
    <cellStyle name="Bom" xfId="3" builtinId="26"/>
    <cellStyle name="Moeda" xfId="2" builtinId="4"/>
    <cellStyle name="Normal" xfId="0" builtinId="0"/>
    <cellStyle name="Ruim" xfId="4" builtinId="27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6974-A11D-4F36-A5B7-6415C699EA22}">
  <dimension ref="B2:P38"/>
  <sheetViews>
    <sheetView tabSelected="1" topLeftCell="A17" workbookViewId="0">
      <selection activeCell="D38" sqref="D38"/>
    </sheetView>
  </sheetViews>
  <sheetFormatPr defaultRowHeight="14.4" x14ac:dyDescent="0.3"/>
  <cols>
    <col min="2" max="2" width="34" customWidth="1"/>
    <col min="3" max="3" width="12.88671875" bestFit="1" customWidth="1"/>
    <col min="4" max="4" width="12.44140625" bestFit="1" customWidth="1"/>
    <col min="7" max="7" width="11.44140625" customWidth="1"/>
    <col min="8" max="8" width="24.21875" customWidth="1"/>
    <col min="9" max="10" width="12.88671875" bestFit="1" customWidth="1"/>
    <col min="11" max="12" width="12.88671875" customWidth="1"/>
    <col min="13" max="13" width="12.88671875" bestFit="1" customWidth="1"/>
    <col min="14" max="14" width="18" customWidth="1"/>
    <col min="15" max="15" width="18.109375" customWidth="1"/>
    <col min="16" max="16" width="14" bestFit="1" customWidth="1"/>
  </cols>
  <sheetData>
    <row r="2" spans="2:16" x14ac:dyDescent="0.3">
      <c r="B2" s="6" t="s">
        <v>0</v>
      </c>
      <c r="C2" s="7">
        <v>4.2500000000000003E-2</v>
      </c>
      <c r="D2" s="4"/>
      <c r="F2" s="6" t="s">
        <v>2</v>
      </c>
      <c r="G2" s="6" t="s">
        <v>19</v>
      </c>
      <c r="H2" s="6" t="s">
        <v>16</v>
      </c>
      <c r="I2" s="6" t="s">
        <v>3</v>
      </c>
      <c r="J2" s="6" t="s">
        <v>4</v>
      </c>
      <c r="K2" s="6" t="s">
        <v>39</v>
      </c>
      <c r="L2" s="6" t="s">
        <v>43</v>
      </c>
      <c r="M2" s="6" t="s">
        <v>5</v>
      </c>
      <c r="N2" s="6" t="s">
        <v>40</v>
      </c>
      <c r="O2" s="6" t="s">
        <v>41</v>
      </c>
      <c r="P2" s="6" t="s">
        <v>42</v>
      </c>
    </row>
    <row r="3" spans="2:16" x14ac:dyDescent="0.3">
      <c r="B3" s="6" t="s">
        <v>1</v>
      </c>
      <c r="C3" s="8">
        <f>C2/12</f>
        <v>3.5416666666666669E-3</v>
      </c>
      <c r="D3" s="4"/>
      <c r="F3" s="9">
        <v>0</v>
      </c>
      <c r="G3" s="11" t="s">
        <v>20</v>
      </c>
      <c r="H3" s="11"/>
      <c r="I3" s="11"/>
      <c r="J3" s="22">
        <v>0</v>
      </c>
      <c r="K3" s="23">
        <f t="shared" ref="K3:K30" si="0">PV($C$3,F3,,-I3)</f>
        <v>0</v>
      </c>
      <c r="L3" s="23">
        <f>PV($C$3,F3,,-J3)</f>
        <v>0</v>
      </c>
      <c r="M3" s="23">
        <f>K3-L3</f>
        <v>0</v>
      </c>
      <c r="N3" s="3">
        <f>J3</f>
        <v>0</v>
      </c>
      <c r="O3" s="3">
        <f>I3</f>
        <v>0</v>
      </c>
      <c r="P3" s="14">
        <f>O3-N3</f>
        <v>0</v>
      </c>
    </row>
    <row r="4" spans="2:16" x14ac:dyDescent="0.3">
      <c r="B4" s="5"/>
      <c r="C4" s="5"/>
      <c r="F4" s="9">
        <f>F3+1</f>
        <v>1</v>
      </c>
      <c r="G4" s="11" t="s">
        <v>21</v>
      </c>
      <c r="H4" s="11"/>
      <c r="I4" s="11"/>
      <c r="J4" s="22">
        <f t="shared" ref="J4:J5" si="1">$C$10</f>
        <v>24000</v>
      </c>
      <c r="K4" s="23">
        <f t="shared" si="0"/>
        <v>0</v>
      </c>
      <c r="L4" s="23">
        <f>PV($C$3,F4,,-J4)</f>
        <v>23915.29997924019</v>
      </c>
      <c r="M4" s="23">
        <f t="shared" ref="M4:M30" si="2">K4-L4</f>
        <v>-23915.29997924019</v>
      </c>
      <c r="N4" s="3">
        <f t="shared" ref="N4:N30" si="3">N3+J4</f>
        <v>24000</v>
      </c>
      <c r="O4" s="3">
        <f t="shared" ref="O4:O27" si="4">O3+I4</f>
        <v>0</v>
      </c>
      <c r="P4" s="14">
        <f>O4-N4</f>
        <v>-24000</v>
      </c>
    </row>
    <row r="5" spans="2:16" x14ac:dyDescent="0.3">
      <c r="B5" s="6" t="s">
        <v>7</v>
      </c>
      <c r="C5" s="10">
        <v>24</v>
      </c>
      <c r="F5" s="9">
        <f t="shared" ref="F5:F30" si="5">F4+1</f>
        <v>2</v>
      </c>
      <c r="G5" s="11" t="s">
        <v>22</v>
      </c>
      <c r="H5" s="11"/>
      <c r="I5" s="11"/>
      <c r="J5" s="22">
        <f t="shared" si="1"/>
        <v>24000</v>
      </c>
      <c r="K5" s="23">
        <f t="shared" si="0"/>
        <v>0</v>
      </c>
      <c r="L5" s="23">
        <f t="shared" ref="L4:L30" si="6">PV($C$3,F5,,-J5)</f>
        <v>23830.898879043572</v>
      </c>
      <c r="M5" s="23">
        <f t="shared" si="2"/>
        <v>-23830.898879043572</v>
      </c>
      <c r="N5" s="3">
        <f t="shared" si="3"/>
        <v>48000</v>
      </c>
      <c r="O5" s="3">
        <f t="shared" si="4"/>
        <v>0</v>
      </c>
      <c r="P5" s="14">
        <f>O5-N5</f>
        <v>-48000</v>
      </c>
    </row>
    <row r="6" spans="2:16" x14ac:dyDescent="0.3">
      <c r="B6" s="6" t="s">
        <v>8</v>
      </c>
      <c r="C6" s="10">
        <v>3000</v>
      </c>
      <c r="F6" s="9">
        <f t="shared" si="5"/>
        <v>3</v>
      </c>
      <c r="G6" s="11" t="s">
        <v>23</v>
      </c>
      <c r="H6" s="11"/>
      <c r="I6" s="11"/>
      <c r="J6" s="22">
        <f>$C$11</f>
        <v>25524</v>
      </c>
      <c r="K6" s="23">
        <f t="shared" si="0"/>
        <v>0</v>
      </c>
      <c r="L6" s="23">
        <f>PV($C$3,F6,,-J6)</f>
        <v>25254.717167893214</v>
      </c>
      <c r="M6" s="23">
        <f t="shared" si="2"/>
        <v>-25254.717167893214</v>
      </c>
      <c r="N6" s="3">
        <f t="shared" si="3"/>
        <v>73524</v>
      </c>
      <c r="O6" s="3">
        <f t="shared" si="4"/>
        <v>0</v>
      </c>
      <c r="P6" s="14">
        <f>O6-N6</f>
        <v>-73524</v>
      </c>
    </row>
    <row r="7" spans="2:16" x14ac:dyDescent="0.3">
      <c r="B7" s="6" t="s">
        <v>9</v>
      </c>
      <c r="C7" s="10">
        <v>3000</v>
      </c>
      <c r="F7" s="9">
        <f t="shared" si="5"/>
        <v>4</v>
      </c>
      <c r="G7" s="11" t="s">
        <v>24</v>
      </c>
      <c r="H7" s="11"/>
      <c r="I7" s="11"/>
      <c r="J7" s="22">
        <f t="shared" ref="J7:J30" si="7">$C$11</f>
        <v>25524</v>
      </c>
      <c r="K7" s="23">
        <f t="shared" si="0"/>
        <v>0</v>
      </c>
      <c r="L7" s="23">
        <f t="shared" si="6"/>
        <v>25165.589040043058</v>
      </c>
      <c r="M7" s="23">
        <f t="shared" si="2"/>
        <v>-25165.589040043058</v>
      </c>
      <c r="N7" s="3">
        <f t="shared" si="3"/>
        <v>99048</v>
      </c>
      <c r="O7" s="3">
        <f>O6+I7</f>
        <v>0</v>
      </c>
      <c r="P7" s="14">
        <f>O7-N7</f>
        <v>-99048</v>
      </c>
    </row>
    <row r="8" spans="2:16" x14ac:dyDescent="0.3">
      <c r="B8" s="6" t="s">
        <v>10</v>
      </c>
      <c r="C8" s="10">
        <v>3000</v>
      </c>
      <c r="F8" s="9">
        <f t="shared" si="5"/>
        <v>5</v>
      </c>
      <c r="G8" s="9" t="s">
        <v>25</v>
      </c>
      <c r="H8" s="9">
        <v>1</v>
      </c>
      <c r="I8" s="22">
        <f>($C$28*$C$29)*H8</f>
        <v>1500</v>
      </c>
      <c r="J8" s="22">
        <f t="shared" si="7"/>
        <v>25524</v>
      </c>
      <c r="K8" s="23">
        <f t="shared" si="0"/>
        <v>1473.717410689226</v>
      </c>
      <c r="L8" s="23">
        <f t="shared" si="6"/>
        <v>25076.775460287867</v>
      </c>
      <c r="M8" s="23">
        <f>K8-L8</f>
        <v>-23603.05804959864</v>
      </c>
      <c r="N8" s="3">
        <f t="shared" si="3"/>
        <v>124572</v>
      </c>
      <c r="O8" s="3">
        <f t="shared" si="4"/>
        <v>1500</v>
      </c>
      <c r="P8" s="14">
        <f t="shared" ref="P8:P30" si="8">O8-N8</f>
        <v>-123072</v>
      </c>
    </row>
    <row r="9" spans="2:16" x14ac:dyDescent="0.3">
      <c r="B9" s="6" t="s">
        <v>11</v>
      </c>
      <c r="C9" s="10">
        <v>1500</v>
      </c>
      <c r="F9" s="9">
        <f t="shared" si="5"/>
        <v>6</v>
      </c>
      <c r="G9" s="9" t="s">
        <v>26</v>
      </c>
      <c r="H9" s="20">
        <f>(H8+$C$20)-(H8+$C$20)*$C$17</f>
        <v>4.5125000000000002</v>
      </c>
      <c r="I9" s="22">
        <f>$C$28*$C$29*H9</f>
        <v>6768.75</v>
      </c>
      <c r="J9" s="22">
        <f t="shared" si="7"/>
        <v>25524</v>
      </c>
      <c r="K9" s="23">
        <f t="shared" si="0"/>
        <v>6626.6803229247726</v>
      </c>
      <c r="L9" s="23">
        <f t="shared" si="6"/>
        <v>24988.275318534721</v>
      </c>
      <c r="M9" s="23">
        <f t="shared" si="2"/>
        <v>-18361.59499560995</v>
      </c>
      <c r="N9" s="3">
        <f t="shared" si="3"/>
        <v>150096</v>
      </c>
      <c r="O9" s="3">
        <f t="shared" si="4"/>
        <v>8268.75</v>
      </c>
      <c r="P9" s="14">
        <f>O9-N9</f>
        <v>-141827.25</v>
      </c>
    </row>
    <row r="10" spans="2:16" x14ac:dyDescent="0.3">
      <c r="B10" s="6" t="s">
        <v>15</v>
      </c>
      <c r="C10" s="10">
        <f>(C13*C6)+(C14*C7)+(C15*C8)</f>
        <v>24000</v>
      </c>
      <c r="F10" s="9">
        <f t="shared" si="5"/>
        <v>7</v>
      </c>
      <c r="G10" s="9" t="s">
        <v>27</v>
      </c>
      <c r="H10" s="20">
        <f>(H9+$C$20)-(H9+$C$20)*$C$17</f>
        <v>7.8493749999999993</v>
      </c>
      <c r="I10" s="22">
        <f t="shared" ref="I10:I30" si="9">($C$28*$C$29)*H10</f>
        <v>11774.062499999998</v>
      </c>
      <c r="J10" s="22">
        <f t="shared" si="7"/>
        <v>25524</v>
      </c>
      <c r="K10" s="23">
        <f t="shared" si="0"/>
        <v>11486.255547007699</v>
      </c>
      <c r="L10" s="23">
        <f t="shared" si="6"/>
        <v>24900.087508608394</v>
      </c>
      <c r="M10" s="23">
        <f>K10-L10</f>
        <v>-13413.831961600696</v>
      </c>
      <c r="N10" s="3">
        <f t="shared" si="3"/>
        <v>175620</v>
      </c>
      <c r="O10" s="3">
        <f t="shared" si="4"/>
        <v>20042.8125</v>
      </c>
      <c r="P10" s="14">
        <f t="shared" si="8"/>
        <v>-155577.1875</v>
      </c>
    </row>
    <row r="11" spans="2:16" x14ac:dyDescent="0.3">
      <c r="B11" s="6" t="s">
        <v>6</v>
      </c>
      <c r="C11" s="10">
        <f>C10+C9+C5</f>
        <v>25524</v>
      </c>
      <c r="F11" s="9">
        <f t="shared" si="5"/>
        <v>8</v>
      </c>
      <c r="G11" s="11" t="s">
        <v>28</v>
      </c>
      <c r="H11" s="20">
        <f>(H10+$C$21)-((H10+$C$21)*$C$18)</f>
        <v>9.4005533124999978</v>
      </c>
      <c r="I11" s="22">
        <f t="shared" si="9"/>
        <v>14100.829968749997</v>
      </c>
      <c r="J11" s="22">
        <f t="shared" si="7"/>
        <v>25524</v>
      </c>
      <c r="K11" s="23">
        <f t="shared" si="0"/>
        <v>13707.599414192066</v>
      </c>
      <c r="L11" s="23">
        <f t="shared" si="6"/>
        <v>24812.210928237553</v>
      </c>
      <c r="M11" s="23">
        <f t="shared" si="2"/>
        <v>-11104.611514045488</v>
      </c>
      <c r="N11" s="3">
        <f t="shared" si="3"/>
        <v>201144</v>
      </c>
      <c r="O11" s="3">
        <f t="shared" si="4"/>
        <v>34143.642468749997</v>
      </c>
      <c r="P11" s="14">
        <f t="shared" si="8"/>
        <v>-167000.35753124999</v>
      </c>
    </row>
    <row r="12" spans="2:16" x14ac:dyDescent="0.3">
      <c r="F12" s="9">
        <f t="shared" si="5"/>
        <v>9</v>
      </c>
      <c r="G12" s="11" t="s">
        <v>29</v>
      </c>
      <c r="H12" s="20">
        <f>(H11+$C$21)-((H11+$C$21)*$C$18)</f>
        <v>10.900077387193749</v>
      </c>
      <c r="I12" s="22">
        <f t="shared" si="9"/>
        <v>16350.116080790624</v>
      </c>
      <c r="J12" s="22">
        <f t="shared" si="7"/>
        <v>25524</v>
      </c>
      <c r="K12" s="23">
        <f t="shared" si="0"/>
        <v>15838.066419393452</v>
      </c>
      <c r="L12" s="23">
        <f t="shared" si="6"/>
        <v>24724.644479040944</v>
      </c>
      <c r="M12" s="23">
        <f>K12-L12</f>
        <v>-8886.5780596474924</v>
      </c>
      <c r="N12" s="3">
        <f t="shared" si="3"/>
        <v>226668</v>
      </c>
      <c r="O12" s="3">
        <f t="shared" si="4"/>
        <v>50493.758549540624</v>
      </c>
      <c r="P12" s="14">
        <f t="shared" si="8"/>
        <v>-176174.24145045938</v>
      </c>
    </row>
    <row r="13" spans="2:16" x14ac:dyDescent="0.3">
      <c r="B13" s="6" t="s">
        <v>13</v>
      </c>
      <c r="C13" s="2">
        <v>4</v>
      </c>
      <c r="F13" s="9">
        <f t="shared" si="5"/>
        <v>10</v>
      </c>
      <c r="G13" s="11" t="s">
        <v>30</v>
      </c>
      <c r="H13" s="20">
        <f>(H12+$C$21)-((H12+$C$21)*$C$18)</f>
        <v>12.349667310200196</v>
      </c>
      <c r="I13" s="22">
        <f t="shared" si="9"/>
        <v>18524.500965300296</v>
      </c>
      <c r="J13" s="22">
        <f t="shared" si="7"/>
        <v>25524</v>
      </c>
      <c r="K13" s="23">
        <f>PV($C$3,F13,,-I13)</f>
        <v>17881.025720737744</v>
      </c>
      <c r="L13" s="23">
        <f t="shared" si="6"/>
        <v>24637.387066513707</v>
      </c>
      <c r="M13" s="23">
        <f>K13-L13</f>
        <v>-6756.3613457759639</v>
      </c>
      <c r="N13" s="3">
        <f t="shared" si="3"/>
        <v>252192</v>
      </c>
      <c r="O13" s="3">
        <f t="shared" si="4"/>
        <v>69018.259514840916</v>
      </c>
      <c r="P13" s="14">
        <f t="shared" si="8"/>
        <v>-183173.7404851591</v>
      </c>
    </row>
    <row r="14" spans="2:16" x14ac:dyDescent="0.3">
      <c r="B14" s="6" t="s">
        <v>12</v>
      </c>
      <c r="C14" s="2">
        <v>4</v>
      </c>
      <c r="F14" s="9">
        <f t="shared" si="5"/>
        <v>11</v>
      </c>
      <c r="G14" s="9" t="s">
        <v>31</v>
      </c>
      <c r="H14" s="20">
        <f>(H13+$C$20)-(H13+$C$20)*$C$17</f>
        <v>15.294683944690187</v>
      </c>
      <c r="I14" s="22">
        <f t="shared" si="9"/>
        <v>22942.02591703528</v>
      </c>
      <c r="J14" s="22">
        <f t="shared" si="7"/>
        <v>25524</v>
      </c>
      <c r="K14" s="23">
        <f t="shared" si="0"/>
        <v>22066.947801836337</v>
      </c>
      <c r="L14" s="23">
        <f>PV($C$3,F14,,-J14)</f>
        <v>24550.437600013654</v>
      </c>
      <c r="M14" s="23">
        <f t="shared" si="2"/>
        <v>-2483.4897981773174</v>
      </c>
      <c r="N14" s="3">
        <f t="shared" si="3"/>
        <v>277716</v>
      </c>
      <c r="O14" s="3">
        <f t="shared" si="4"/>
        <v>91960.285431876197</v>
      </c>
      <c r="P14" s="14">
        <f t="shared" si="8"/>
        <v>-185755.7145681238</v>
      </c>
    </row>
    <row r="15" spans="2:16" x14ac:dyDescent="0.3">
      <c r="B15" s="6" t="s">
        <v>14</v>
      </c>
      <c r="C15" s="2">
        <v>0</v>
      </c>
      <c r="F15" s="9">
        <f t="shared" si="5"/>
        <v>12</v>
      </c>
      <c r="G15" s="9" t="s">
        <v>20</v>
      </c>
      <c r="H15" s="20">
        <f>(H14+$C$20)-(H14+$C$20)*$C$17</f>
        <v>18.092449747455674</v>
      </c>
      <c r="I15" s="22">
        <f t="shared" si="9"/>
        <v>27138.674621183512</v>
      </c>
      <c r="J15" s="22">
        <f t="shared" si="7"/>
        <v>25524</v>
      </c>
      <c r="K15" s="23">
        <f>PV($C$3,F15,,-I15)</f>
        <v>26011.399949362076</v>
      </c>
      <c r="L15" s="23">
        <f t="shared" si="6"/>
        <v>24463.794992747673</v>
      </c>
      <c r="M15" s="23">
        <f t="shared" si="2"/>
        <v>1547.6049566144029</v>
      </c>
      <c r="N15" s="3">
        <f t="shared" si="3"/>
        <v>303240</v>
      </c>
      <c r="O15" s="3">
        <f t="shared" si="4"/>
        <v>119098.96005305971</v>
      </c>
      <c r="P15" s="14">
        <f t="shared" si="8"/>
        <v>-184141.03994694029</v>
      </c>
    </row>
    <row r="16" spans="2:16" x14ac:dyDescent="0.3">
      <c r="F16" s="9">
        <f t="shared" si="5"/>
        <v>13</v>
      </c>
      <c r="G16" s="11" t="s">
        <v>21</v>
      </c>
      <c r="H16" s="20">
        <f>(H15+$C$21)-((H15+$C$21)*$C$18)</f>
        <v>19.302533670865401</v>
      </c>
      <c r="I16" s="22">
        <f t="shared" si="9"/>
        <v>28953.800506298103</v>
      </c>
      <c r="J16" s="22">
        <f t="shared" si="7"/>
        <v>25524</v>
      </c>
      <c r="K16" s="23">
        <f>PV($C$3,F16,,-I16)</f>
        <v>27653.191524297632</v>
      </c>
      <c r="L16" s="23">
        <f t="shared" si="6"/>
        <v>24377.45816175811</v>
      </c>
      <c r="M16" s="23">
        <f>K16-L16</f>
        <v>3275.7333625395222</v>
      </c>
      <c r="N16" s="3">
        <f t="shared" si="3"/>
        <v>328764</v>
      </c>
      <c r="O16" s="3">
        <f t="shared" si="4"/>
        <v>148052.76055935782</v>
      </c>
      <c r="P16" s="14">
        <f t="shared" si="8"/>
        <v>-180711.23944064218</v>
      </c>
    </row>
    <row r="17" spans="2:16" x14ac:dyDescent="0.3">
      <c r="B17" s="6" t="s">
        <v>18</v>
      </c>
      <c r="C17" s="12">
        <v>0.05</v>
      </c>
      <c r="F17" s="9">
        <f t="shared" si="5"/>
        <v>14</v>
      </c>
      <c r="G17" s="11" t="s">
        <v>22</v>
      </c>
      <c r="H17" s="20">
        <f>(H16+$C$21)-((H16+$C$21)*$C$18)</f>
        <v>20.472321799625583</v>
      </c>
      <c r="I17" s="22">
        <f t="shared" si="9"/>
        <v>30708.482699438373</v>
      </c>
      <c r="J17" s="22">
        <f t="shared" si="7"/>
        <v>25524</v>
      </c>
      <c r="K17" s="23">
        <f>PV($C$3,F17,,-I17)</f>
        <v>29225.545992898391</v>
      </c>
      <c r="L17" s="23">
        <f>PV($C$3,F17,,-J17)</f>
        <v>24291.42602790926</v>
      </c>
      <c r="M17" s="23">
        <f>K17-L17</f>
        <v>4934.1199649891314</v>
      </c>
      <c r="N17" s="3">
        <f t="shared" si="3"/>
        <v>354288</v>
      </c>
      <c r="O17" s="3">
        <f t="shared" si="4"/>
        <v>178761.2432587962</v>
      </c>
      <c r="P17" s="14">
        <f t="shared" si="8"/>
        <v>-175526.7567412038</v>
      </c>
    </row>
    <row r="18" spans="2:16" x14ac:dyDescent="0.3">
      <c r="B18" s="6" t="s">
        <v>17</v>
      </c>
      <c r="C18" s="13">
        <v>3.3300000000000003E-2</v>
      </c>
      <c r="F18" s="9">
        <f t="shared" si="5"/>
        <v>15</v>
      </c>
      <c r="G18" s="11" t="s">
        <v>23</v>
      </c>
      <c r="H18" s="20">
        <f>(H17+$C$21)-((H17+$C$21)*$C$18)</f>
        <v>21.603155983698052</v>
      </c>
      <c r="I18" s="22">
        <f t="shared" si="9"/>
        <v>32404.733975547078</v>
      </c>
      <c r="J18" s="22">
        <f t="shared" si="7"/>
        <v>25524</v>
      </c>
      <c r="K18" s="23">
        <f t="shared" si="0"/>
        <v>30731.044847768902</v>
      </c>
      <c r="L18" s="23">
        <f t="shared" si="6"/>
        <v>24205.697515873868</v>
      </c>
      <c r="M18" s="23">
        <f>K18-L18</f>
        <v>6525.3473318950346</v>
      </c>
      <c r="N18" s="3">
        <f t="shared" si="3"/>
        <v>379812</v>
      </c>
      <c r="O18" s="3">
        <f t="shared" si="4"/>
        <v>211165.97723434327</v>
      </c>
      <c r="P18" s="14">
        <f t="shared" si="8"/>
        <v>-168646.02276565673</v>
      </c>
    </row>
    <row r="19" spans="2:16" x14ac:dyDescent="0.3">
      <c r="F19" s="9">
        <f t="shared" si="5"/>
        <v>16</v>
      </c>
      <c r="G19" s="11" t="s">
        <v>24</v>
      </c>
      <c r="H19" s="20">
        <f>(H18+$C$21)-((H18+$C$21)*$C$18)</f>
        <v>22.696333389440905</v>
      </c>
      <c r="I19" s="22">
        <f t="shared" si="9"/>
        <v>34044.500084161358</v>
      </c>
      <c r="J19" s="22">
        <f t="shared" si="7"/>
        <v>25524</v>
      </c>
      <c r="K19" s="23">
        <f t="shared" si="0"/>
        <v>32172.174696529652</v>
      </c>
      <c r="L19" s="23">
        <f t="shared" si="6"/>
        <v>24120.271554119696</v>
      </c>
      <c r="M19" s="23">
        <f>K19-L19</f>
        <v>8051.9031424099558</v>
      </c>
      <c r="N19" s="3">
        <f t="shared" si="3"/>
        <v>405336</v>
      </c>
      <c r="O19" s="3">
        <f t="shared" si="4"/>
        <v>245210.47731850462</v>
      </c>
      <c r="P19" s="14">
        <f t="shared" si="8"/>
        <v>-160125.52268149538</v>
      </c>
    </row>
    <row r="20" spans="2:16" x14ac:dyDescent="0.3">
      <c r="B20" s="6" t="s">
        <v>32</v>
      </c>
      <c r="C20" s="15">
        <f>C9/4 *C23</f>
        <v>3.75</v>
      </c>
      <c r="F20" s="9">
        <f t="shared" si="5"/>
        <v>17</v>
      </c>
      <c r="G20" s="9" t="s">
        <v>25</v>
      </c>
      <c r="H20" s="20">
        <f>(H19+$C$20)-(H19+$C$20)*$C$17</f>
        <v>25.124016719968861</v>
      </c>
      <c r="I20" s="22">
        <f t="shared" si="9"/>
        <v>37686.025079953288</v>
      </c>
      <c r="J20" s="22">
        <f t="shared" si="7"/>
        <v>25524</v>
      </c>
      <c r="K20" s="23">
        <f>PV($C$3,F20,,-I20)</f>
        <v>35487.743122743319</v>
      </c>
      <c r="L20" s="23">
        <f t="shared" si="6"/>
        <v>24035.147074896104</v>
      </c>
      <c r="M20" s="23">
        <f t="shared" si="2"/>
        <v>11452.596047847215</v>
      </c>
      <c r="N20" s="3">
        <f t="shared" si="3"/>
        <v>430860</v>
      </c>
      <c r="O20" s="3">
        <f t="shared" si="4"/>
        <v>282896.5023984579</v>
      </c>
      <c r="P20" s="3">
        <f t="shared" si="8"/>
        <v>-147963.4976015421</v>
      </c>
    </row>
    <row r="21" spans="2:16" x14ac:dyDescent="0.3">
      <c r="B21" s="6" t="s">
        <v>33</v>
      </c>
      <c r="C21" s="21">
        <f>C9/2*C25</f>
        <v>1.875</v>
      </c>
      <c r="F21" s="9">
        <f t="shared" si="5"/>
        <v>18</v>
      </c>
      <c r="G21" s="9" t="s">
        <v>26</v>
      </c>
      <c r="H21" s="20">
        <f>(H20+$C$20)-(H20+$C$20)*$C$17</f>
        <v>27.430315883970419</v>
      </c>
      <c r="I21" s="22">
        <f t="shared" si="9"/>
        <v>41145.473825955625</v>
      </c>
      <c r="J21" s="22">
        <f t="shared" si="7"/>
        <v>25524</v>
      </c>
      <c r="K21" s="23">
        <f>PV($C$3,F21,,-I21)</f>
        <v>38608.658074941304</v>
      </c>
      <c r="L21" s="23">
        <f t="shared" si="6"/>
        <v>23950.323014220732</v>
      </c>
      <c r="M21" s="23">
        <f t="shared" si="2"/>
        <v>14658.335060720572</v>
      </c>
      <c r="N21" s="3">
        <f t="shared" si="3"/>
        <v>456384</v>
      </c>
      <c r="O21" s="3">
        <f t="shared" si="4"/>
        <v>324041.97622441355</v>
      </c>
      <c r="P21" s="14">
        <f t="shared" si="8"/>
        <v>-132342.02377558645</v>
      </c>
    </row>
    <row r="22" spans="2:16" x14ac:dyDescent="0.3">
      <c r="F22" s="9">
        <f t="shared" si="5"/>
        <v>19</v>
      </c>
      <c r="G22" s="9" t="s">
        <v>27</v>
      </c>
      <c r="H22" s="20">
        <f>(H21+$C$20)-(H21+$C$20)*$C$17</f>
        <v>29.621300089771896</v>
      </c>
      <c r="I22" s="22">
        <f t="shared" si="9"/>
        <v>44431.950134657847</v>
      </c>
      <c r="J22" s="22">
        <f t="shared" si="7"/>
        <v>25524</v>
      </c>
      <c r="K22" s="23">
        <f>PV($C$3,F22,,-I22)</f>
        <v>41545.367517498853</v>
      </c>
      <c r="L22" s="23">
        <f t="shared" si="6"/>
        <v>23865.798311866205</v>
      </c>
      <c r="M22" s="23">
        <f t="shared" si="2"/>
        <v>17679.569205632648</v>
      </c>
      <c r="N22" s="3">
        <f t="shared" si="3"/>
        <v>481908</v>
      </c>
      <c r="O22" s="3">
        <f t="shared" si="4"/>
        <v>368473.9263590714</v>
      </c>
      <c r="P22" s="14">
        <f t="shared" si="8"/>
        <v>-113434.0736409286</v>
      </c>
    </row>
    <row r="23" spans="2:16" x14ac:dyDescent="0.3">
      <c r="B23" s="16" t="s">
        <v>34</v>
      </c>
      <c r="C23" s="26">
        <v>0.01</v>
      </c>
      <c r="F23" s="9">
        <f t="shared" si="5"/>
        <v>20</v>
      </c>
      <c r="G23" s="11" t="s">
        <v>28</v>
      </c>
      <c r="H23" s="20">
        <f>(H22+$C$21)-((H22+$C$21)*$C$18)</f>
        <v>30.447473296782491</v>
      </c>
      <c r="I23" s="22">
        <f t="shared" si="9"/>
        <v>45671.209945173738</v>
      </c>
      <c r="J23" s="22">
        <f t="shared" si="7"/>
        <v>25524</v>
      </c>
      <c r="K23" s="23">
        <f t="shared" si="0"/>
        <v>42553.407130127278</v>
      </c>
      <c r="L23" s="23">
        <f>PV($C$3,F23,,-J23)</f>
        <v>23781.571911346851</v>
      </c>
      <c r="M23" s="23">
        <f t="shared" si="2"/>
        <v>18771.835218780427</v>
      </c>
      <c r="N23" s="3">
        <f t="shared" si="3"/>
        <v>507432</v>
      </c>
      <c r="O23" s="3">
        <f t="shared" si="4"/>
        <v>414145.13630424516</v>
      </c>
      <c r="P23" s="14">
        <f t="shared" si="8"/>
        <v>-93286.863695754844</v>
      </c>
    </row>
    <row r="24" spans="2:16" x14ac:dyDescent="0.3">
      <c r="B24" s="17" t="s">
        <v>35</v>
      </c>
      <c r="C24" s="27"/>
      <c r="F24" s="9">
        <f t="shared" si="5"/>
        <v>21</v>
      </c>
      <c r="G24" s="11" t="s">
        <v>29</v>
      </c>
      <c r="H24" s="20">
        <f>(H23+$C$21)-((H23+$C$21)*$C$18)</f>
        <v>31.246134935999635</v>
      </c>
      <c r="I24" s="22">
        <f t="shared" si="9"/>
        <v>46869.20240399945</v>
      </c>
      <c r="J24" s="22">
        <f t="shared" si="7"/>
        <v>25524</v>
      </c>
      <c r="K24" s="23">
        <f>PV($C$3,F24,,-I24)</f>
        <v>43515.499726206064</v>
      </c>
      <c r="L24" s="23">
        <f t="shared" si="6"/>
        <v>23697.642759905513</v>
      </c>
      <c r="M24" s="23">
        <f t="shared" si="2"/>
        <v>19817.856966300551</v>
      </c>
      <c r="N24" s="3">
        <f t="shared" si="3"/>
        <v>532956</v>
      </c>
      <c r="O24" s="3">
        <f t="shared" si="4"/>
        <v>461014.33870824461</v>
      </c>
      <c r="P24" s="3">
        <f t="shared" si="8"/>
        <v>-71941.661291755387</v>
      </c>
    </row>
    <row r="25" spans="2:16" x14ac:dyDescent="0.3">
      <c r="B25" s="16" t="s">
        <v>34</v>
      </c>
      <c r="C25" s="28">
        <v>2.5000000000000001E-3</v>
      </c>
      <c r="F25" s="9">
        <f t="shared" si="5"/>
        <v>22</v>
      </c>
      <c r="G25" s="9" t="s">
        <v>31</v>
      </c>
      <c r="H25" s="20">
        <f>(H24+$C$20)-(H24+$C$20)*$C$17</f>
        <v>33.246328189199652</v>
      </c>
      <c r="I25" s="22">
        <f t="shared" si="9"/>
        <v>49869.492283799475</v>
      </c>
      <c r="J25" s="22">
        <f t="shared" si="7"/>
        <v>25524</v>
      </c>
      <c r="K25" s="23">
        <f>PV($C$3,F25,,-I25)</f>
        <v>46137.700984742827</v>
      </c>
      <c r="L25" s="23">
        <f>PV($C$3,F25,,-J25)</f>
        <v>23614.009808500403</v>
      </c>
      <c r="M25" s="23">
        <f>K25-L25</f>
        <v>22523.691176242424</v>
      </c>
      <c r="N25" s="3">
        <f t="shared" si="3"/>
        <v>558480</v>
      </c>
      <c r="O25" s="3">
        <f t="shared" si="4"/>
        <v>510883.83099204407</v>
      </c>
      <c r="P25" s="3">
        <f>O25-N25</f>
        <v>-47596.169007955934</v>
      </c>
    </row>
    <row r="26" spans="2:16" x14ac:dyDescent="0.3">
      <c r="B26" s="19" t="s">
        <v>36</v>
      </c>
      <c r="C26" s="29"/>
      <c r="F26" s="9">
        <f t="shared" si="5"/>
        <v>23</v>
      </c>
      <c r="G26" s="9" t="s">
        <v>20</v>
      </c>
      <c r="H26" s="20">
        <f>(H25+$C$20)-(H25+$C$20)*$C$17</f>
        <v>35.146511779739669</v>
      </c>
      <c r="I26" s="22">
        <f t="shared" si="9"/>
        <v>52719.7676696095</v>
      </c>
      <c r="J26" s="22">
        <f t="shared" si="7"/>
        <v>25524</v>
      </c>
      <c r="K26" s="23">
        <f t="shared" si="0"/>
        <v>48602.552952964092</v>
      </c>
      <c r="L26" s="23">
        <f t="shared" si="6"/>
        <v>23530.672011791969</v>
      </c>
      <c r="M26" s="23">
        <f t="shared" si="2"/>
        <v>25071.880941172123</v>
      </c>
      <c r="N26" s="3">
        <f t="shared" si="3"/>
        <v>584004</v>
      </c>
      <c r="O26" s="3">
        <f t="shared" si="4"/>
        <v>563603.59866165358</v>
      </c>
      <c r="P26" s="14">
        <f t="shared" si="8"/>
        <v>-20400.401338346419</v>
      </c>
    </row>
    <row r="27" spans="2:16" x14ac:dyDescent="0.3">
      <c r="F27" s="9">
        <f t="shared" si="5"/>
        <v>24</v>
      </c>
      <c r="G27" s="9" t="s">
        <v>21</v>
      </c>
      <c r="H27" s="20">
        <f>(H26+$C$20)-(H26+$C$20)*$C$17</f>
        <v>36.951686190752682</v>
      </c>
      <c r="I27" s="22">
        <f t="shared" si="9"/>
        <v>55427.529286129022</v>
      </c>
      <c r="J27" s="22">
        <f t="shared" si="7"/>
        <v>25524</v>
      </c>
      <c r="K27" s="23">
        <f t="shared" si="0"/>
        <v>50918.512217821866</v>
      </c>
      <c r="L27" s="23">
        <f t="shared" si="6"/>
        <v>23447.628328129846</v>
      </c>
      <c r="M27" s="23">
        <f t="shared" si="2"/>
        <v>27470.883889692021</v>
      </c>
      <c r="N27" s="3">
        <f t="shared" si="3"/>
        <v>609528</v>
      </c>
      <c r="O27" s="3">
        <f>O26+I27</f>
        <v>619031.12794778263</v>
      </c>
      <c r="P27" s="24">
        <f t="shared" si="8"/>
        <v>9503.127947782632</v>
      </c>
    </row>
    <row r="28" spans="2:16" x14ac:dyDescent="0.3">
      <c r="B28" s="6" t="s">
        <v>37</v>
      </c>
      <c r="C28" s="2">
        <v>150</v>
      </c>
      <c r="F28" s="30"/>
      <c r="G28" s="30"/>
      <c r="H28" s="31"/>
      <c r="I28" s="32"/>
      <c r="J28" s="32"/>
      <c r="K28" s="33"/>
      <c r="L28" s="33"/>
      <c r="M28" s="33"/>
      <c r="N28" s="34"/>
      <c r="O28" s="34"/>
    </row>
    <row r="29" spans="2:16" x14ac:dyDescent="0.3">
      <c r="B29" s="6" t="s">
        <v>38</v>
      </c>
      <c r="C29" s="3">
        <v>10</v>
      </c>
      <c r="F29" s="30"/>
      <c r="G29" s="30"/>
      <c r="H29" s="31"/>
      <c r="I29" s="32"/>
      <c r="J29" s="32"/>
      <c r="K29" s="33"/>
      <c r="L29" s="33"/>
      <c r="M29" s="33"/>
      <c r="N29" s="34"/>
      <c r="O29" s="34"/>
      <c r="P29" s="35"/>
    </row>
    <row r="30" spans="2:16" x14ac:dyDescent="0.3">
      <c r="F30" s="30"/>
      <c r="G30" s="30"/>
      <c r="H30" s="31"/>
      <c r="I30" s="32"/>
      <c r="J30" s="32"/>
      <c r="K30" s="33"/>
      <c r="L30" s="33"/>
      <c r="M30" s="33"/>
      <c r="N30" s="34"/>
      <c r="O30" s="34"/>
      <c r="P30" s="35"/>
    </row>
    <row r="31" spans="2:16" x14ac:dyDescent="0.3">
      <c r="B31" s="1" t="s">
        <v>45</v>
      </c>
      <c r="C31" s="3">
        <v>10000</v>
      </c>
    </row>
    <row r="32" spans="2:16" x14ac:dyDescent="0.3">
      <c r="B32" s="1" t="s">
        <v>44</v>
      </c>
      <c r="C32" s="25">
        <f>SUM(M3:M27)/C31</f>
        <v>-9.9467352583952742E-2</v>
      </c>
    </row>
    <row r="34" spans="2:4" x14ac:dyDescent="0.3">
      <c r="B34" s="36" t="s">
        <v>46</v>
      </c>
      <c r="C34" s="3">
        <f>C9/C20</f>
        <v>400</v>
      </c>
    </row>
    <row r="35" spans="2:4" x14ac:dyDescent="0.3">
      <c r="B35" s="36" t="s">
        <v>47</v>
      </c>
      <c r="C35" s="37">
        <f>C9/C21</f>
        <v>800</v>
      </c>
    </row>
    <row r="37" spans="2:4" x14ac:dyDescent="0.3">
      <c r="B37" s="36" t="s">
        <v>48</v>
      </c>
      <c r="C37" s="14">
        <f>C29/C17</f>
        <v>200</v>
      </c>
      <c r="D37" s="18">
        <f>C37/C29</f>
        <v>20</v>
      </c>
    </row>
    <row r="38" spans="2:4" x14ac:dyDescent="0.3">
      <c r="B38" s="36" t="s">
        <v>49</v>
      </c>
      <c r="C38" s="37">
        <f>C29/C18</f>
        <v>300.30030030030025</v>
      </c>
      <c r="D38" s="38">
        <f>C38/C29</f>
        <v>30.030030030030026</v>
      </c>
    </row>
  </sheetData>
  <mergeCells count="2">
    <mergeCell ref="C23:C24"/>
    <mergeCell ref="C25:C2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Barbosa</dc:creator>
  <cp:lastModifiedBy>Bruno Barbosa</cp:lastModifiedBy>
  <cp:lastPrinted>2021-08-09T15:08:59Z</cp:lastPrinted>
  <dcterms:created xsi:type="dcterms:W3CDTF">2021-08-09T02:28:00Z</dcterms:created>
  <dcterms:modified xsi:type="dcterms:W3CDTF">2021-08-09T15:09:52Z</dcterms:modified>
</cp:coreProperties>
</file>