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t\Global Financial Markets and Products\assignment\"/>
    </mc:Choice>
  </mc:AlternateContent>
  <xr:revisionPtr revIDLastSave="0" documentId="13_ncr:1_{E6E66F3A-EFED-48E5-8047-95E5574470A7}" xr6:coauthVersionLast="47" xr6:coauthVersionMax="47" xr10:uidLastSave="{00000000-0000-0000-0000-000000000000}"/>
  <bookViews>
    <workbookView xWindow="-90" yWindow="-90" windowWidth="19380" windowHeight="10260" xr2:uid="{72827DB5-42B9-4570-BC31-84EDA6CBD4D8}"/>
  </bookViews>
  <sheets>
    <sheet name="FCF OF TATA MOTORS" sheetId="1" r:id="rId1"/>
    <sheet name="PE TATA MOTORS" sheetId="2" r:id="rId2"/>
    <sheet name="EV OF TATA MOTORS" sheetId="3" r:id="rId3"/>
    <sheet name="DDM OF TATA MOTORS" sheetId="4" r:id="rId4"/>
    <sheet name="FCF OF MAHINDRA &amp; MAHINDRA " sheetId="5" r:id="rId5"/>
    <sheet name="PE OF M&amp;M" sheetId="6" r:id="rId6"/>
    <sheet name="EV OF M&amp;M" sheetId="7" r:id="rId7"/>
    <sheet name="DDM OF M&amp;M" sheetId="8" r:id="rId8"/>
    <sheet name="FCF OF MARUTI SUZUKI" sheetId="9" r:id="rId9"/>
    <sheet name="PE OF MARUTI SUZUKI" sheetId="10" r:id="rId10"/>
    <sheet name="EV OF MARUTI SUZUKI" sheetId="11" r:id="rId11"/>
    <sheet name="DDM OF MARUTI SUZUKI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8" l="1"/>
  <c r="F23" i="8"/>
  <c r="F25" i="8"/>
  <c r="E25" i="8"/>
  <c r="D24" i="4"/>
  <c r="F20" i="4"/>
  <c r="F14" i="4"/>
  <c r="E23" i="8"/>
  <c r="E20" i="8"/>
  <c r="F20" i="8" s="1"/>
  <c r="F15" i="8"/>
  <c r="F14" i="8"/>
  <c r="F13" i="8"/>
  <c r="F25" i="12"/>
  <c r="D29" i="12" s="1"/>
  <c r="F23" i="12"/>
  <c r="F20" i="12"/>
  <c r="F14" i="12"/>
  <c r="F15" i="12"/>
  <c r="F13" i="12"/>
  <c r="J11" i="11"/>
  <c r="I11" i="11"/>
  <c r="H11" i="11"/>
  <c r="G20" i="11"/>
  <c r="G21" i="11" s="1"/>
  <c r="I17" i="11"/>
  <c r="I18" i="11" s="1"/>
  <c r="H17" i="11"/>
  <c r="H18" i="11" s="1"/>
  <c r="G17" i="11"/>
  <c r="G18" i="11" s="1"/>
  <c r="J18" i="11" s="1"/>
  <c r="J12" i="11"/>
  <c r="I20" i="11" s="1"/>
  <c r="I21" i="11" s="1"/>
  <c r="I12" i="11"/>
  <c r="H20" i="11" s="1"/>
  <c r="H21" i="11" s="1"/>
  <c r="H12" i="11"/>
  <c r="J6" i="11"/>
  <c r="J7" i="11"/>
  <c r="J8" i="11"/>
  <c r="J9" i="11"/>
  <c r="J5" i="11"/>
  <c r="I6" i="11"/>
  <c r="I7" i="11"/>
  <c r="I8" i="11"/>
  <c r="I9" i="11"/>
  <c r="I5" i="11"/>
  <c r="J21" i="7"/>
  <c r="J18" i="7"/>
  <c r="H21" i="7"/>
  <c r="I21" i="7"/>
  <c r="G21" i="7"/>
  <c r="H20" i="7"/>
  <c r="I20" i="7"/>
  <c r="G20" i="7"/>
  <c r="H18" i="7"/>
  <c r="I18" i="7"/>
  <c r="G18" i="7"/>
  <c r="H17" i="7"/>
  <c r="I17" i="7"/>
  <c r="G17" i="7"/>
  <c r="H12" i="7"/>
  <c r="I11" i="7"/>
  <c r="J11" i="7"/>
  <c r="H11" i="7"/>
  <c r="J6" i="7"/>
  <c r="J7" i="7"/>
  <c r="J8" i="7"/>
  <c r="J9" i="7"/>
  <c r="J5" i="7"/>
  <c r="J12" i="7" s="1"/>
  <c r="I7" i="7"/>
  <c r="I12" i="7" s="1"/>
  <c r="I8" i="7"/>
  <c r="I9" i="7"/>
  <c r="I6" i="7"/>
  <c r="I5" i="7"/>
  <c r="I21" i="3"/>
  <c r="H21" i="3"/>
  <c r="G21" i="3"/>
  <c r="J18" i="3"/>
  <c r="H18" i="3"/>
  <c r="I18" i="3"/>
  <c r="G18" i="3"/>
  <c r="H17" i="3"/>
  <c r="I17" i="3"/>
  <c r="G17" i="3"/>
  <c r="H11" i="3"/>
  <c r="I11" i="3"/>
  <c r="J11" i="3"/>
  <c r="J12" i="3"/>
  <c r="I12" i="3"/>
  <c r="H12" i="3"/>
  <c r="J6" i="3"/>
  <c r="J7" i="3"/>
  <c r="J8" i="3"/>
  <c r="J9" i="3"/>
  <c r="J5" i="3"/>
  <c r="I6" i="3"/>
  <c r="I7" i="3"/>
  <c r="I8" i="3"/>
  <c r="I9" i="3"/>
  <c r="I5" i="3"/>
  <c r="H5" i="10"/>
  <c r="I5" i="10"/>
  <c r="I12" i="10" s="1"/>
  <c r="H20" i="10" s="1"/>
  <c r="J5" i="10"/>
  <c r="H6" i="10"/>
  <c r="J6" i="10"/>
  <c r="H7" i="10"/>
  <c r="I7" i="10"/>
  <c r="J7" i="10"/>
  <c r="H8" i="10"/>
  <c r="I8" i="10"/>
  <c r="J8" i="10"/>
  <c r="H9" i="10"/>
  <c r="I9" i="10"/>
  <c r="J9" i="10"/>
  <c r="I13" i="6"/>
  <c r="H21" i="6" s="1"/>
  <c r="J6" i="6"/>
  <c r="J12" i="6" s="1"/>
  <c r="I20" i="6" s="1"/>
  <c r="J7" i="6"/>
  <c r="J8" i="6"/>
  <c r="J9" i="6"/>
  <c r="J13" i="6" s="1"/>
  <c r="I21" i="6" s="1"/>
  <c r="J5" i="6"/>
  <c r="I7" i="6"/>
  <c r="I8" i="6"/>
  <c r="I9" i="6"/>
  <c r="I5" i="6"/>
  <c r="I12" i="6" s="1"/>
  <c r="H20" i="6" s="1"/>
  <c r="H6" i="6"/>
  <c r="H12" i="6" s="1"/>
  <c r="G20" i="6" s="1"/>
  <c r="H7" i="6"/>
  <c r="H8" i="6"/>
  <c r="H9" i="6"/>
  <c r="H5" i="6"/>
  <c r="H13" i="6" s="1"/>
  <c r="G21" i="6" s="1"/>
  <c r="I14" i="2"/>
  <c r="H22" i="2" s="1"/>
  <c r="H14" i="2"/>
  <c r="G22" i="2" s="1"/>
  <c r="K22" i="2" s="1"/>
  <c r="M22" i="2" s="1"/>
  <c r="J8" i="2"/>
  <c r="J9" i="2"/>
  <c r="J10" i="2"/>
  <c r="J11" i="2"/>
  <c r="J7" i="2"/>
  <c r="J14" i="2" s="1"/>
  <c r="I22" i="2" s="1"/>
  <c r="I8" i="2"/>
  <c r="I9" i="2"/>
  <c r="I10" i="2"/>
  <c r="I11" i="2"/>
  <c r="I7" i="2"/>
  <c r="I13" i="2" s="1"/>
  <c r="H21" i="2" s="1"/>
  <c r="H8" i="2"/>
  <c r="H13" i="2" s="1"/>
  <c r="G21" i="2" s="1"/>
  <c r="H9" i="2"/>
  <c r="H10" i="2"/>
  <c r="H11" i="2"/>
  <c r="H7" i="2"/>
  <c r="B49" i="5"/>
  <c r="B52" i="9"/>
  <c r="B51" i="9"/>
  <c r="B49" i="9"/>
  <c r="I47" i="9"/>
  <c r="J47" i="9"/>
  <c r="K47" i="9"/>
  <c r="L47" i="9"/>
  <c r="H47" i="9"/>
  <c r="M46" i="9"/>
  <c r="L46" i="9"/>
  <c r="K46" i="9"/>
  <c r="J46" i="9"/>
  <c r="I46" i="9"/>
  <c r="H46" i="9"/>
  <c r="L45" i="5"/>
  <c r="K45" i="5"/>
  <c r="J45" i="5"/>
  <c r="I45" i="5"/>
  <c r="H45" i="5"/>
  <c r="L48" i="1"/>
  <c r="K48" i="1"/>
  <c r="J48" i="1"/>
  <c r="I48" i="1"/>
  <c r="H48" i="1"/>
  <c r="C46" i="9"/>
  <c r="D46" i="9"/>
  <c r="E46" i="9"/>
  <c r="F46" i="9"/>
  <c r="G46" i="9"/>
  <c r="B46" i="9"/>
  <c r="C44" i="9"/>
  <c r="D44" i="9"/>
  <c r="E44" i="9"/>
  <c r="F44" i="9"/>
  <c r="G44" i="9"/>
  <c r="C45" i="9"/>
  <c r="D45" i="9"/>
  <c r="E45" i="9"/>
  <c r="F45" i="9"/>
  <c r="G45" i="9"/>
  <c r="B45" i="9"/>
  <c r="B44" i="9"/>
  <c r="C24" i="9"/>
  <c r="D24" i="9"/>
  <c r="E24" i="9"/>
  <c r="F24" i="9"/>
  <c r="G24" i="9"/>
  <c r="B24" i="9"/>
  <c r="C43" i="9"/>
  <c r="D43" i="9"/>
  <c r="E43" i="9"/>
  <c r="F43" i="9"/>
  <c r="G43" i="9"/>
  <c r="B43" i="9"/>
  <c r="C42" i="9"/>
  <c r="D42" i="9"/>
  <c r="E42" i="9"/>
  <c r="F42" i="9"/>
  <c r="G42" i="9"/>
  <c r="B42" i="9"/>
  <c r="C39" i="9"/>
  <c r="D39" i="9"/>
  <c r="E39" i="9"/>
  <c r="F39" i="9"/>
  <c r="G39" i="9"/>
  <c r="B39" i="9"/>
  <c r="C37" i="9"/>
  <c r="D37" i="9"/>
  <c r="E37" i="9"/>
  <c r="F37" i="9"/>
  <c r="G37" i="9"/>
  <c r="B37" i="9"/>
  <c r="C36" i="9"/>
  <c r="D36" i="9"/>
  <c r="E36" i="9"/>
  <c r="F36" i="9"/>
  <c r="G36" i="9"/>
  <c r="B36" i="9"/>
  <c r="C35" i="9"/>
  <c r="D35" i="9"/>
  <c r="E35" i="9"/>
  <c r="F35" i="9"/>
  <c r="G35" i="9"/>
  <c r="B35" i="9"/>
  <c r="C34" i="9"/>
  <c r="D34" i="9"/>
  <c r="E34" i="9"/>
  <c r="F34" i="9"/>
  <c r="G34" i="9"/>
  <c r="B34" i="9"/>
  <c r="C19" i="9"/>
  <c r="D19" i="9"/>
  <c r="E19" i="9"/>
  <c r="F19" i="9"/>
  <c r="G19" i="9"/>
  <c r="B19" i="9"/>
  <c r="C32" i="9"/>
  <c r="D32" i="9"/>
  <c r="E32" i="9"/>
  <c r="F32" i="9"/>
  <c r="G32" i="9"/>
  <c r="B32" i="9"/>
  <c r="C30" i="9"/>
  <c r="D30" i="9"/>
  <c r="E30" i="9"/>
  <c r="F30" i="9"/>
  <c r="G30" i="9"/>
  <c r="C31" i="9"/>
  <c r="D31" i="9"/>
  <c r="E31" i="9"/>
  <c r="F31" i="9"/>
  <c r="G31" i="9"/>
  <c r="B31" i="9"/>
  <c r="B30" i="9"/>
  <c r="C29" i="9"/>
  <c r="D29" i="9"/>
  <c r="E29" i="9"/>
  <c r="F29" i="9"/>
  <c r="G29" i="9"/>
  <c r="B29" i="9"/>
  <c r="B48" i="5"/>
  <c r="M45" i="5"/>
  <c r="C45" i="5"/>
  <c r="D45" i="5"/>
  <c r="E45" i="5"/>
  <c r="F45" i="5"/>
  <c r="G45" i="5"/>
  <c r="B45" i="5"/>
  <c r="C43" i="5"/>
  <c r="D43" i="5"/>
  <c r="E43" i="5"/>
  <c r="F43" i="5"/>
  <c r="G43" i="5"/>
  <c r="C44" i="5"/>
  <c r="D44" i="5"/>
  <c r="E44" i="5"/>
  <c r="F44" i="5"/>
  <c r="G44" i="5"/>
  <c r="B44" i="5"/>
  <c r="B43" i="5"/>
  <c r="C42" i="5"/>
  <c r="D42" i="5"/>
  <c r="E42" i="5"/>
  <c r="F42" i="5"/>
  <c r="G42" i="5"/>
  <c r="B42" i="5"/>
  <c r="C41" i="5"/>
  <c r="D41" i="5"/>
  <c r="E41" i="5"/>
  <c r="F41" i="5"/>
  <c r="G41" i="5"/>
  <c r="B41" i="5"/>
  <c r="C38" i="5"/>
  <c r="D38" i="5"/>
  <c r="E38" i="5"/>
  <c r="F38" i="5"/>
  <c r="G38" i="5"/>
  <c r="B38" i="5"/>
  <c r="C36" i="5"/>
  <c r="D36" i="5"/>
  <c r="E36" i="5"/>
  <c r="F36" i="5"/>
  <c r="G36" i="5"/>
  <c r="B36" i="5"/>
  <c r="C35" i="5"/>
  <c r="D35" i="5"/>
  <c r="E35" i="5"/>
  <c r="F35" i="5"/>
  <c r="G35" i="5"/>
  <c r="B35" i="5"/>
  <c r="C34" i="5"/>
  <c r="D34" i="5"/>
  <c r="E34" i="5"/>
  <c r="F34" i="5"/>
  <c r="G34" i="5"/>
  <c r="B34" i="5"/>
  <c r="C33" i="5"/>
  <c r="D33" i="5"/>
  <c r="E33" i="5"/>
  <c r="F33" i="5"/>
  <c r="G33" i="5"/>
  <c r="B33" i="5"/>
  <c r="C31" i="5"/>
  <c r="D31" i="5"/>
  <c r="E31" i="5"/>
  <c r="F31" i="5"/>
  <c r="G31" i="5"/>
  <c r="B31" i="5"/>
  <c r="C30" i="5"/>
  <c r="D30" i="5"/>
  <c r="E30" i="5"/>
  <c r="F30" i="5"/>
  <c r="G30" i="5"/>
  <c r="C29" i="5"/>
  <c r="D29" i="5"/>
  <c r="E29" i="5"/>
  <c r="F29" i="5"/>
  <c r="G29" i="5"/>
  <c r="B30" i="5"/>
  <c r="B29" i="5"/>
  <c r="C28" i="5"/>
  <c r="D28" i="5"/>
  <c r="E28" i="5"/>
  <c r="F28" i="5"/>
  <c r="G28" i="5"/>
  <c r="B28" i="5"/>
  <c r="C23" i="5"/>
  <c r="D23" i="5"/>
  <c r="E23" i="5"/>
  <c r="F23" i="5"/>
  <c r="G23" i="5"/>
  <c r="B23" i="5"/>
  <c r="C18" i="5"/>
  <c r="D18" i="5"/>
  <c r="E18" i="5"/>
  <c r="F18" i="5"/>
  <c r="G18" i="5"/>
  <c r="B18" i="5"/>
  <c r="B51" i="1"/>
  <c r="B53" i="1" s="1"/>
  <c r="B54" i="1" s="1"/>
  <c r="C48" i="1"/>
  <c r="D48" i="1"/>
  <c r="E48" i="1"/>
  <c r="F48" i="1"/>
  <c r="G48" i="1"/>
  <c r="B48" i="1"/>
  <c r="C46" i="1"/>
  <c r="D46" i="1"/>
  <c r="E46" i="1"/>
  <c r="F46" i="1"/>
  <c r="G46" i="1"/>
  <c r="C47" i="1"/>
  <c r="D47" i="1"/>
  <c r="E47" i="1"/>
  <c r="F47" i="1"/>
  <c r="G47" i="1"/>
  <c r="B47" i="1"/>
  <c r="B46" i="1"/>
  <c r="C45" i="1"/>
  <c r="D45" i="1"/>
  <c r="E45" i="1"/>
  <c r="F45" i="1"/>
  <c r="G45" i="1"/>
  <c r="B45" i="1"/>
  <c r="C44" i="1"/>
  <c r="D44" i="1"/>
  <c r="E44" i="1"/>
  <c r="F44" i="1"/>
  <c r="G44" i="1"/>
  <c r="B44" i="1"/>
  <c r="C41" i="1"/>
  <c r="D41" i="1"/>
  <c r="E41" i="1"/>
  <c r="F41" i="1"/>
  <c r="G41" i="1"/>
  <c r="B41" i="1"/>
  <c r="C26" i="1"/>
  <c r="D26" i="1"/>
  <c r="E26" i="1"/>
  <c r="F26" i="1"/>
  <c r="G26" i="1"/>
  <c r="B26" i="1"/>
  <c r="B21" i="1"/>
  <c r="B36" i="1" s="1"/>
  <c r="C21" i="1"/>
  <c r="C36" i="1" s="1"/>
  <c r="D21" i="1"/>
  <c r="D36" i="1" s="1"/>
  <c r="E21" i="1"/>
  <c r="F21" i="1"/>
  <c r="G21" i="1"/>
  <c r="G36" i="1" s="1"/>
  <c r="B34" i="1"/>
  <c r="C34" i="1"/>
  <c r="D34" i="1"/>
  <c r="E34" i="1"/>
  <c r="F34" i="1"/>
  <c r="G34" i="1"/>
  <c r="B37" i="1"/>
  <c r="C37" i="1"/>
  <c r="D37" i="1"/>
  <c r="E37" i="1"/>
  <c r="F37" i="1"/>
  <c r="G37" i="1"/>
  <c r="B38" i="1"/>
  <c r="C38" i="1"/>
  <c r="D38" i="1"/>
  <c r="E38" i="1"/>
  <c r="F38" i="1"/>
  <c r="G38" i="1"/>
  <c r="K21" i="2" l="1"/>
  <c r="M21" i="2" s="1"/>
  <c r="J13" i="2"/>
  <c r="I21" i="2" s="1"/>
  <c r="J21" i="11"/>
  <c r="J21" i="3"/>
  <c r="J13" i="10"/>
  <c r="I21" i="10" s="1"/>
  <c r="H12" i="10"/>
  <c r="G20" i="10" s="1"/>
  <c r="H13" i="10"/>
  <c r="G21" i="10" s="1"/>
  <c r="J12" i="10"/>
  <c r="I20" i="10" s="1"/>
  <c r="I13" i="10"/>
  <c r="H21" i="10" s="1"/>
  <c r="K21" i="6"/>
  <c r="M21" i="6" s="1"/>
  <c r="K20" i="6"/>
  <c r="M20" i="6" s="1"/>
  <c r="M48" i="1"/>
  <c r="D39" i="1"/>
  <c r="G39" i="1"/>
  <c r="C39" i="1"/>
  <c r="B39" i="1"/>
  <c r="F36" i="1"/>
  <c r="F39" i="1" s="1"/>
  <c r="E36" i="1"/>
  <c r="E39" i="1" s="1"/>
  <c r="K20" i="10" l="1"/>
  <c r="M20" i="10" s="1"/>
  <c r="K21" i="10"/>
  <c r="M21" i="10" s="1"/>
</calcChain>
</file>

<file path=xl/sharedStrings.xml><?xml version="1.0" encoding="utf-8"?>
<sst xmlns="http://schemas.openxmlformats.org/spreadsheetml/2006/main" count="437" uniqueCount="192">
  <si>
    <t>Operating Profit</t>
  </si>
  <si>
    <t>OPM %</t>
  </si>
  <si>
    <t>Interest</t>
  </si>
  <si>
    <t>Depreciation</t>
  </si>
  <si>
    <t>EPS in Rs</t>
  </si>
  <si>
    <t>Dividend Payout %</t>
  </si>
  <si>
    <t>P&amp;L Account data (from Screener.in)</t>
  </si>
  <si>
    <t>Profit before tax (PBT)</t>
  </si>
  <si>
    <t>Tax in Rs</t>
  </si>
  <si>
    <t>Tax %  (Effective Tax Rate)</t>
  </si>
  <si>
    <t>NOPLAT</t>
  </si>
  <si>
    <t>PBT</t>
  </si>
  <si>
    <t>Other Income </t>
  </si>
  <si>
    <t>Sales </t>
  </si>
  <si>
    <t>Expenses </t>
  </si>
  <si>
    <t>Net Profit </t>
  </si>
  <si>
    <t>ADD: INTEREST</t>
  </si>
  <si>
    <t xml:space="preserve">EBIT </t>
  </si>
  <si>
    <t>TAX PAID</t>
  </si>
  <si>
    <t>TAX ON INTEREST</t>
  </si>
  <si>
    <t>TAX ADJUSTMENT</t>
  </si>
  <si>
    <t>TAX ON NON OPERATING INCOME</t>
  </si>
  <si>
    <t>LESS:NON OPERATING INCOME</t>
  </si>
  <si>
    <t>Fixed assets purchased</t>
  </si>
  <si>
    <t>Fixed assets sold</t>
  </si>
  <si>
    <t>FROM CASH FLOW</t>
  </si>
  <si>
    <t>Net capex</t>
  </si>
  <si>
    <t>Working capital change</t>
  </si>
  <si>
    <t>FCF</t>
  </si>
  <si>
    <t>ADD:DEPRECIATION</t>
  </si>
  <si>
    <t>NET CAPEX</t>
  </si>
  <si>
    <t>WORKING CAPITAL CHANGES</t>
  </si>
  <si>
    <t>FCFF</t>
  </si>
  <si>
    <t>TERMINAL YEAR</t>
  </si>
  <si>
    <t>PV of FCF</t>
  </si>
  <si>
    <t xml:space="preserve">Total value of operation </t>
  </si>
  <si>
    <t>Enterprise value</t>
  </si>
  <si>
    <t>Equity value</t>
  </si>
  <si>
    <t>CRORES</t>
  </si>
  <si>
    <t>CRORES       (from screener value of non operating asset= 22971 crore)</t>
  </si>
  <si>
    <t>CRORES       (from screener value of non equity claim)= 107262crore)</t>
  </si>
  <si>
    <t>CRORES       (from screener value of non operating asset= 57296 crore)</t>
  </si>
  <si>
    <t>CRORES       (from screener value of non operating asset= 119 crore)</t>
  </si>
  <si>
    <t>This negative EV indicates that the company's liabilities might significantly outweigh its operating and non-operating assets</t>
  </si>
  <si>
    <t>crores (Value of non operating asset=35208 crores)</t>
  </si>
  <si>
    <t>Ashok Leyland</t>
  </si>
  <si>
    <t>Olectra Greentec</t>
  </si>
  <si>
    <t>Force Motors</t>
  </si>
  <si>
    <t>SML ISUZU</t>
  </si>
  <si>
    <t>S.No.</t>
  </si>
  <si>
    <t>Name</t>
  </si>
  <si>
    <t>CMP Rs.</t>
  </si>
  <si>
    <t>PAT 12M Rs.Cr.</t>
  </si>
  <si>
    <t>Eicher Motors</t>
  </si>
  <si>
    <t>P\E</t>
  </si>
  <si>
    <t>P\B</t>
  </si>
  <si>
    <t>P\S</t>
  </si>
  <si>
    <t>INDUSTRY AVERAGE</t>
  </si>
  <si>
    <t>INDUSTRY MEDIAN</t>
  </si>
  <si>
    <t xml:space="preserve">VALUATION OF </t>
  </si>
  <si>
    <t>TATA MOTORS</t>
  </si>
  <si>
    <t>PAT</t>
  </si>
  <si>
    <t>BOOK VALUE</t>
  </si>
  <si>
    <t>SALES</t>
  </si>
  <si>
    <t>Range</t>
  </si>
  <si>
    <t>Average Valuation Equity Value</t>
  </si>
  <si>
    <t>Number of outstanding shares (crores)</t>
  </si>
  <si>
    <t>Price per equity share</t>
  </si>
  <si>
    <t>USING AVERAGE</t>
  </si>
  <si>
    <t>1963 to 1921909 crores</t>
  </si>
  <si>
    <t>USING MEDIAN</t>
  </si>
  <si>
    <t>1924 TO 833057 crores</t>
  </si>
  <si>
    <t>GIVEN</t>
  </si>
  <si>
    <t>S NO</t>
  </si>
  <si>
    <t>Maruti Suzuki</t>
  </si>
  <si>
    <t>Hyundai Motor I</t>
  </si>
  <si>
    <t>Mercury EV-Tech</t>
  </si>
  <si>
    <t>Hindustan Motors</t>
  </si>
  <si>
    <t>Hero Motocorp</t>
  </si>
  <si>
    <t>M&amp;M LTD</t>
  </si>
  <si>
    <t>5836 TO 350954 crores</t>
  </si>
  <si>
    <t>6568 to 6292511 crores</t>
  </si>
  <si>
    <t>MARUTI SUZUKI LTD</t>
  </si>
  <si>
    <t>M &amp; M</t>
  </si>
  <si>
    <t>Wardwizard Inno.</t>
  </si>
  <si>
    <t>37811 TO 492435 crores</t>
  </si>
  <si>
    <t>Implied Equity value OF M&amp;M LTD</t>
  </si>
  <si>
    <t>Implied Equity value of MARUTI SUZUKI Ltd</t>
  </si>
  <si>
    <t xml:space="preserve">Implied Equity value of TATA MOTORS </t>
  </si>
  <si>
    <t>Sales Annual Rs.Cr.</t>
  </si>
  <si>
    <t>Market Cap Rs.Cr.</t>
  </si>
  <si>
    <t>Book  Value Rs.</t>
  </si>
  <si>
    <t>Sales Annual Rs.Cr.</t>
  </si>
  <si>
    <t>Market  Cap Rs.Cr.</t>
  </si>
  <si>
    <t>Book Value Rs.</t>
  </si>
  <si>
    <t>Book Value  Rs.</t>
  </si>
  <si>
    <t>38111 to 6451369 crores</t>
  </si>
  <si>
    <t>SNO</t>
  </si>
  <si>
    <t>EV / EBITDA</t>
  </si>
  <si>
    <t>ENTERPRISE VALUE EV RS CR.</t>
  </si>
  <si>
    <t>EV/ BOOK VALUE</t>
  </si>
  <si>
    <t>EV/ SALES</t>
  </si>
  <si>
    <t>AVERAGE</t>
  </si>
  <si>
    <t>MEDIAN</t>
  </si>
  <si>
    <t>SALES ANNUAL</t>
  </si>
  <si>
    <t>BOOK VALUE RS.</t>
  </si>
  <si>
    <t>EBITDA IN CR</t>
  </si>
  <si>
    <t xml:space="preserve">AVERAGE </t>
  </si>
  <si>
    <t>ENTERPRISE VALUE</t>
  </si>
  <si>
    <t>AVERAGE IN CR</t>
  </si>
  <si>
    <t>AVERAGE OF 3 ESTIMATE OF EV = 1186195 CRORES</t>
  </si>
  <si>
    <t>MEDIAN  OF 3 ESTIMATE OF EV = 620559 CRORES</t>
  </si>
  <si>
    <t>TVS Motor Co.</t>
  </si>
  <si>
    <t xml:space="preserve"> MAHIDRA &amp;MAHINDRA</t>
  </si>
  <si>
    <t>SALES ANNUAL IN CR</t>
  </si>
  <si>
    <t>AVERAGE OF 3 ESTIMATE OF EV = 3048435 CRORES</t>
  </si>
  <si>
    <t>MEDIAN  OF 3 ESTIMATE OF EV = 354521 CRORES</t>
  </si>
  <si>
    <t>MARUTI SUZUKI INDIA</t>
  </si>
  <si>
    <t>MEDIAN  OF 3 ESTIMATE OF EV = 942761 CRORES</t>
  </si>
  <si>
    <t>AVERAGE OF 3 ESTIMATE OF EV = 3404358 CRORES</t>
  </si>
  <si>
    <t>Value per share = P0=(D0 (1+g))/(Ke-g)</t>
  </si>
  <si>
    <t xml:space="preserve">Using Perpetual constant growth model </t>
  </si>
  <si>
    <t>Cost of Equity Ke= Risk free rate +(beta* Market risk premium)</t>
  </si>
  <si>
    <t>Given:</t>
  </si>
  <si>
    <t>Beta= 0.08</t>
  </si>
  <si>
    <t>Market risk premium = 4.06%</t>
  </si>
  <si>
    <t>Risk free rate = 6.94 %</t>
  </si>
  <si>
    <t xml:space="preserve"> Cost of Equity Ke= 6.94 + (0.08*4.06)</t>
  </si>
  <si>
    <t xml:space="preserve">                                =7.2%</t>
  </si>
  <si>
    <t>FOR FY 23-24</t>
  </si>
  <si>
    <t>FOR FY 22-23</t>
  </si>
  <si>
    <t>FOR FY 21-22</t>
  </si>
  <si>
    <t xml:space="preserve">DIVIDEND </t>
  </si>
  <si>
    <t>FINANCIAL YEAR</t>
  </si>
  <si>
    <t>FOR FY 20-21</t>
  </si>
  <si>
    <t>VALUE PER SHARE</t>
  </si>
  <si>
    <t>GROWTH IN %</t>
  </si>
  <si>
    <t>GROWTH  (g) RS.</t>
  </si>
  <si>
    <t xml:space="preserve"> 50%     INCREASE</t>
  </si>
  <si>
    <t>33%       INCREASE</t>
  </si>
  <si>
    <t>25%       DECREASE</t>
  </si>
  <si>
    <t>Another method to calculate Growth</t>
  </si>
  <si>
    <t>Growth = Retention* ROE</t>
  </si>
  <si>
    <t xml:space="preserve">                                   = 1- 0.29</t>
  </si>
  <si>
    <t xml:space="preserve">                                   =0.71</t>
  </si>
  <si>
    <t xml:space="preserve"> ROE= 16.8%</t>
  </si>
  <si>
    <t>DIVIDEND FY 23-24</t>
  </si>
  <si>
    <t>GROWTH %</t>
  </si>
  <si>
    <t>DIVIDEND PAYOUT FOR FY 23-24 = 29%</t>
  </si>
  <si>
    <t xml:space="preserve">RETENTION VALUE= 1- DIVIDEND PAYOUT   </t>
  </si>
  <si>
    <t>Growth = 0.71*0.168   = 0.119    = 11.9%</t>
  </si>
  <si>
    <t>GROWTH USING</t>
  </si>
  <si>
    <t>RETENTION VALUE</t>
  </si>
  <si>
    <t>DIVIDEND VALUE</t>
  </si>
  <si>
    <t>VALUE IS NEGATIVE  INVALID  TO CALCULATE  VALUE PER SHARE</t>
  </si>
  <si>
    <t>Assume GROWTH</t>
  </si>
  <si>
    <t>NO OF SHARES OUTSTANDING OF MARUTI SUZUKI = 314 CRORES</t>
  </si>
  <si>
    <t>VALUE OF EQUITY</t>
  </si>
  <si>
    <t>Beta= 1.27</t>
  </si>
  <si>
    <t>DIVIDEND PAYOUT FOR FY 23-24 = 21%</t>
  </si>
  <si>
    <t xml:space="preserve"> Cost of Equity Ke= 6.94 + (1.27*4.06)</t>
  </si>
  <si>
    <t xml:space="preserve">                                =12%</t>
  </si>
  <si>
    <t xml:space="preserve"> 40%     INCREASE</t>
  </si>
  <si>
    <t>32%       INCREASE</t>
  </si>
  <si>
    <t>272.3%  INCREASE</t>
  </si>
  <si>
    <t xml:space="preserve">                                   = 1- 0.21</t>
  </si>
  <si>
    <t xml:space="preserve">                                   =0.79</t>
  </si>
  <si>
    <t>NO OF SHARES OUTSTANDING OF MARUTI SUZUKI =  111 CRORES</t>
  </si>
  <si>
    <t>(VALUE OF EQUITY = VALUE PER SHARE *NO.OF OUTSTANDING SHARES)</t>
  </si>
  <si>
    <t>Risk free rate = 7 %</t>
  </si>
  <si>
    <t>Market risk premium = 6%</t>
  </si>
  <si>
    <t>Beta= 1.10</t>
  </si>
  <si>
    <t xml:space="preserve"> Cost of Equity Ke= 7 + (1.1*6)</t>
  </si>
  <si>
    <t xml:space="preserve">                                =13.6%</t>
  </si>
  <si>
    <t xml:space="preserve"> ROE= 49.4%</t>
  </si>
  <si>
    <t>DIVIDEND PAYOUT FOR FY 23-24 = 7%</t>
  </si>
  <si>
    <t>DIVIDEND</t>
  </si>
  <si>
    <t xml:space="preserve"> ( FROM MONEY CONTROL)</t>
  </si>
  <si>
    <t>(FROM MONEY CONTROL)</t>
  </si>
  <si>
    <t xml:space="preserve"> ROE= 18%</t>
  </si>
  <si>
    <t>Growth = 0.79*0.18   = 0.1422    = 14.2%</t>
  </si>
  <si>
    <t>ASSUME GROWTH</t>
  </si>
  <si>
    <t>(FROM MONEYCONTROL)</t>
  </si>
  <si>
    <t>Industry PE * PAT</t>
  </si>
  <si>
    <t>Industry PB * BV</t>
  </si>
  <si>
    <t>Industry PS * Sales</t>
  </si>
  <si>
    <t xml:space="preserve">Tata motors value wrt industry </t>
  </si>
  <si>
    <t>GROWTH  (g) % (Assumption)</t>
  </si>
  <si>
    <t>NO OF SHARES OUTSTANDING OF TATAMOTORS = 383 CRORES</t>
  </si>
  <si>
    <t>VALUE OF TOTAL EQUITY</t>
  </si>
  <si>
    <t xml:space="preserve">M&amp;M value wrt industry </t>
  </si>
  <si>
    <t xml:space="preserve">Maruti Suzuki value wrt industry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</si>
</sst>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0" applyFont="1"/>
    <xf numFmtId="17" fontId="1" fillId="0" borderId="0" xfId="0" applyNumberFormat="1" applyFont="1"/>
    <xf numFmtId="3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2" borderId="1" xfId="0" applyFont="1" applyFill="1" applyBorder="1"/>
    <xf numFmtId="3" fontId="0" fillId="2" borderId="0" xfId="0" applyNumberForma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" fontId="0" fillId="0" borderId="0" xfId="0" applyNumberFormat="1"/>
    <xf numFmtId="0" fontId="0" fillId="3" borderId="0" xfId="0" applyFill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left" indent="5"/>
    </xf>
    <xf numFmtId="10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0" fillId="2" borderId="0" xfId="0" applyNumberFormat="1" applyFill="1"/>
    <xf numFmtId="165" fontId="0" fillId="2" borderId="0" xfId="0" applyNumberFormat="1" applyFill="1"/>
    <xf numFmtId="0" fontId="0" fillId="0" borderId="1" xfId="0" applyBorder="1"/>
    <xf numFmtId="1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1796097</xdr:colOff>
      <xdr:row>0</xdr:row>
      <xdr:rowOff>0</xdr:rowOff>
    </xdr:from>
    <xdr:to>
      <xdr:col>8</xdr:col>
      <xdr:colOff>349544</xdr:colOff>
      <xdr:row>5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EE1D264-2ECF-B9F7-079E-8E3D962FF2D4}"/>
            </a:ext>
          </a:extLst>
        </xdr:cNvPr>
        <xdr:cNvSpPr/>
      </xdr:nvSpPr>
      <xdr:spPr>
        <a:xfrm>
          <a:off x="1796097" y="0"/>
          <a:ext cx="5049185" cy="9368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NAME                    </a:t>
          </a:r>
          <a:r>
            <a:rPr lang="en-IN" sz="1400" kern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 NAVEENKUMAR DHAMODHARAN</a:t>
          </a:r>
        </a:p>
        <a:p>
          <a:pPr algn="l"/>
          <a:r>
            <a:rPr lang="en-IN" sz="1400" kern="120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ROLL NO               :  2024PD53007</a:t>
          </a: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COMPANY NAME: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IN" sz="1400" b="1" i="1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TATA MOTORS LIMITED</a:t>
          </a:r>
          <a:r>
            <a:rPr lang="en-IN" sz="1400" b="1" i="1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7</xdr:col>
      <xdr:colOff>127306</xdr:colOff>
      <xdr:row>34</xdr:row>
      <xdr:rowOff>161131</xdr:rowOff>
    </xdr:from>
    <xdr:to>
      <xdr:col>14</xdr:col>
      <xdr:colOff>82151</xdr:colOff>
      <xdr:row>43</xdr:row>
      <xdr:rowOff>81860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50851C-0209-46E8-97A9-E42B16FEAC27}"/>
            </a:ext>
          </a:extLst>
        </xdr:cNvPr>
        <xdr:cNvSpPr/>
      </xdr:nvSpPr>
      <xdr:spPr>
        <a:xfrm>
          <a:off x="6001056" y="6539995"/>
          <a:ext cx="4681265" cy="16092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Here FCF of March 2019 is negative.so i Calculate CAGR using March 2021 FCF value.</a:t>
          </a:r>
        </a:p>
        <a:p>
          <a:pPr algn="l"/>
          <a:endParaRPr lang="en-IN" sz="1400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By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CAGR=((40198\ 10243)^(1\3))-1</a:t>
          </a:r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  =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0.5773= 57.7%</a:t>
          </a:r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endParaRPr lang="en-IN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CAGR=57.7%</a:t>
          </a: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Terminal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growth rate= 8% (Assumption)</a:t>
          </a:r>
        </a:p>
        <a:p>
          <a:pPr algn="l"/>
          <a:endParaRPr lang="en-IN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</a:p>
      </xdr:txBody>
    </xdr:sp>
    <xdr:clientData/>
  </xdr:twoCellAnchor>
  <xdr:twoCellAnchor>
    <xdr:from>
      <xdr:col>14</xdr:col>
      <xdr:colOff>100033</xdr:colOff>
      <xdr:row>34</xdr:row>
      <xdr:rowOff>113081</xdr:rowOff>
    </xdr:from>
    <xdr:to>
      <xdr:col>21</xdr:col>
      <xdr:colOff>328883</xdr:colOff>
      <xdr:row>59</xdr:row>
      <xdr:rowOff>26095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7CA3D79-24C9-4551-A6CC-392595A2A058}"/>
            </a:ext>
          </a:extLst>
        </xdr:cNvPr>
        <xdr:cNvSpPr/>
      </xdr:nvSpPr>
      <xdr:spPr>
        <a:xfrm>
          <a:off x="12399896" y="6471780"/>
          <a:ext cx="4491179" cy="458852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WACC</a:t>
          </a:r>
          <a:r>
            <a:rPr lang="en-IN" sz="14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endParaRPr lang="en-IN" sz="1400" b="1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Risk free rate=7%, Market risk premium=6% (FROM GURUFOCUS)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Beta=1.10 (FROM MONEYCONTROL)</a:t>
          </a:r>
          <a:endParaRPr lang="en-IN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IN" sz="1400" b="1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Cost of Debt</a:t>
          </a:r>
          <a:r>
            <a:rPr lang="en-U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7.7% </a:t>
          </a: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(FROM GURUFOCUS</a:t>
          </a: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  <a:endParaRPr lang="en-IN" sz="1400" b="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Cost of equity (CAPM)= Risk free rate+(beta *market premium)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=7+(1.1*6)   = 13.6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4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eaLnBrk="1" fontAlgn="auto" latinLnBrk="0" hangingPunct="1"/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D/E ratio=</a:t>
          </a: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1.05</a:t>
          </a:r>
        </a:p>
        <a:p>
          <a:pPr eaLnBrk="1" fontAlgn="auto" latinLnBrk="0" hangingPunct="1"/>
          <a:endParaRPr lang="en-IN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WACC=((1.05\2.05)*7.7%)+((1\2.05)*13.6%)</a:t>
          </a: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= 10.57%</a:t>
          </a: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Present value of CV(t)= FCF(t+1)\(wacc-g)</a:t>
          </a: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= 423429.9\(10.57%-8%)</a:t>
          </a: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= 16475871</a:t>
          </a:r>
        </a:p>
        <a:p>
          <a:pPr eaLnBrk="1" fontAlgn="auto" latinLnBrk="0" hangingPunct="1"/>
          <a:r>
            <a:rPr lang="en-IN" sz="1400" u="none" kern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PV</a:t>
          </a:r>
          <a:r>
            <a:rPr lang="en-IN" sz="1400" u="none" kern="120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of CV= 16475871\(1.1057)^5</a:t>
          </a:r>
        </a:p>
        <a:p>
          <a:pPr eaLnBrk="1" fontAlgn="auto" latinLnBrk="0" hangingPunct="1"/>
          <a:r>
            <a:rPr lang="en-IN" sz="1400" u="none" kern="120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              = 9969235</a:t>
          </a:r>
          <a:endParaRPr lang="en-IN" sz="1400" u="none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568325</xdr:colOff>
      <xdr:row>0</xdr:row>
      <xdr:rowOff>3175</xdr:rowOff>
    </xdr:from>
    <xdr:to>
      <xdr:col>8</xdr:col>
      <xdr:colOff>552450</xdr:colOff>
      <xdr:row>2</xdr:row>
      <xdr:rowOff>149225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5EDA87F-4E37-40F9-A4B9-269E571A5AA6}"/>
            </a:ext>
          </a:extLst>
        </xdr:cNvPr>
        <xdr:cNvSpPr/>
      </xdr:nvSpPr>
      <xdr:spPr>
        <a:xfrm>
          <a:off x="3327400" y="3175"/>
          <a:ext cx="4829175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               </a:t>
          </a:r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RELATIVE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VALUATION OF P\E RATIO</a:t>
          </a:r>
        </a:p>
        <a:p>
          <a:pPr algn="l"/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MARUTI SUZUKI LTD</a:t>
          </a:r>
          <a:endParaRPr lang="en-IN" sz="12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0</xdr:row>
      <xdr:rowOff>50800</xdr:rowOff>
    </xdr:from>
    <xdr:to>
      <xdr:col>6</xdr:col>
      <xdr:colOff>917575</xdr:colOff>
      <xdr:row>2</xdr:row>
      <xdr:rowOff>136858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6B5FDB-AF5C-4106-A290-01A1A74437D0}"/>
            </a:ext>
          </a:extLst>
        </xdr:cNvPr>
        <xdr:cNvSpPr/>
      </xdr:nvSpPr>
      <xdr:spPr>
        <a:xfrm>
          <a:off x="2762250" y="50800"/>
          <a:ext cx="5048250" cy="4607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     </a:t>
          </a:r>
          <a:r>
            <a:rPr lang="en-IN" sz="1100" kern="1200" baseline="0"/>
            <a:t>                     </a:t>
          </a:r>
          <a:r>
            <a:rPr lang="en-IN" sz="1100" kern="1200"/>
            <a:t> </a:t>
          </a:r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RELATIVE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VALUATION OF  EV/ E</a:t>
          </a:r>
          <a:r>
            <a:rPr lang="en-IN" sz="1200" b="1" i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ITA  RATIO     </a:t>
          </a:r>
        </a:p>
        <a:p>
          <a:pPr algn="l"/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            MARUTI SUZUKI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2219325</xdr:colOff>
      <xdr:row>0</xdr:row>
      <xdr:rowOff>88900</xdr:rowOff>
    </xdr:from>
    <xdr:to>
      <xdr:col>5</xdr:col>
      <xdr:colOff>909205</xdr:colOff>
      <xdr:row>2</xdr:row>
      <xdr:rowOff>174958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BC4E2D1-8C1C-4B84-9223-FE3B1AF9939C}"/>
            </a:ext>
          </a:extLst>
        </xdr:cNvPr>
        <xdr:cNvSpPr/>
      </xdr:nvSpPr>
      <xdr:spPr>
        <a:xfrm>
          <a:off x="2829069" y="88900"/>
          <a:ext cx="5757863" cy="461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     </a:t>
          </a:r>
          <a:r>
            <a:rPr lang="en-IN" sz="1100" kern="1200" baseline="0"/>
            <a:t>                     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</a:p>
        <a:p>
          <a:pPr algn="l"/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                 DIVIDEND DISCOUNT MODEL  (DDM)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</a:t>
          </a:r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MARUTI SUZUKI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0</xdr:row>
      <xdr:rowOff>136525</xdr:rowOff>
    </xdr:from>
    <xdr:to>
      <xdr:col>9</xdr:col>
      <xdr:colOff>1247775</xdr:colOff>
      <xdr:row>2</xdr:row>
      <xdr:rowOff>146050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70A79B-9918-D27E-1172-949E895B83D1}"/>
            </a:ext>
          </a:extLst>
        </xdr:cNvPr>
        <xdr:cNvSpPr/>
      </xdr:nvSpPr>
      <xdr:spPr>
        <a:xfrm>
          <a:off x="3835400" y="136525"/>
          <a:ext cx="6080125" cy="3841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               </a:t>
          </a:r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RELATIVE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VALUATION OF P\E RATIO     TATA MOTORS</a:t>
          </a:r>
          <a:endParaRPr lang="en-IN" sz="12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227211</xdr:colOff>
      <xdr:row>0</xdr:row>
      <xdr:rowOff>111720</xdr:rowOff>
    </xdr:from>
    <xdr:to>
      <xdr:col>8</xdr:col>
      <xdr:colOff>932656</xdr:colOff>
      <xdr:row>3</xdr:row>
      <xdr:rowOff>4961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1A539C-4734-42E7-A549-66FF799040E3}"/>
            </a:ext>
          </a:extLst>
        </xdr:cNvPr>
        <xdr:cNvSpPr/>
      </xdr:nvSpPr>
      <xdr:spPr>
        <a:xfrm>
          <a:off x="4062016" y="111720"/>
          <a:ext cx="5790406" cy="45878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     </a:t>
          </a:r>
        </a:p>
        <a:p>
          <a:pPr algn="l"/>
          <a:r>
            <a:rPr lang="en-IN" sz="1100" kern="1200"/>
            <a:t>          </a:t>
          </a:r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RELATIVE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VALUATION OF  EV/ EBITA  RATIO     TATA MOTORS</a:t>
          </a:r>
          <a:endParaRPr lang="en-IN" sz="12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2219325</xdr:colOff>
      <xdr:row>0</xdr:row>
      <xdr:rowOff>88900</xdr:rowOff>
    </xdr:from>
    <xdr:to>
      <xdr:col>5</xdr:col>
      <xdr:colOff>909205</xdr:colOff>
      <xdr:row>2</xdr:row>
      <xdr:rowOff>174958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48B72F-6336-4632-9B0F-21DB1D5C7C83}"/>
            </a:ext>
          </a:extLst>
        </xdr:cNvPr>
        <xdr:cNvSpPr/>
      </xdr:nvSpPr>
      <xdr:spPr>
        <a:xfrm>
          <a:off x="2828925" y="88900"/>
          <a:ext cx="5757430" cy="4607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     </a:t>
          </a:r>
          <a:r>
            <a:rPr lang="en-IN" sz="1100" kern="1200" baseline="0"/>
            <a:t>                     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</a:p>
        <a:p>
          <a:pPr algn="l"/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                 DIVIDEND DISCOUNT MODEL  (DDM)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TATA MOTORS</a:t>
          </a:r>
          <a:endParaRPr lang="en-IN" sz="12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0</xdr:rowOff>
    </xdr:from>
    <xdr:to>
      <xdr:col>10</xdr:col>
      <xdr:colOff>234950</xdr:colOff>
      <xdr:row>2</xdr:row>
      <xdr:rowOff>127000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CA09F27-EDD4-3C74-F14E-FF2381F908E2}"/>
            </a:ext>
          </a:extLst>
        </xdr:cNvPr>
        <xdr:cNvSpPr/>
      </xdr:nvSpPr>
      <xdr:spPr>
        <a:xfrm>
          <a:off x="3244850" y="0"/>
          <a:ext cx="4921250" cy="501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1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                 COMPANY NAME:  Mahidra and Mahindra Limited</a:t>
          </a:r>
        </a:p>
      </xdr:txBody>
    </xdr:sp>
    <xdr:clientData/>
  </xdr:twoCellAnchor>
  <xdr:twoCellAnchor>
    <xdr:from>
      <xdr:col>7</xdr:col>
      <xdr:colOff>474991</xdr:colOff>
      <xdr:row>29</xdr:row>
      <xdr:rowOff>57207</xdr:rowOff>
    </xdr:from>
    <xdr:to>
      <xdr:col>13</xdr:col>
      <xdr:colOff>139196</xdr:colOff>
      <xdr:row>38</xdr:row>
      <xdr:rowOff>21661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C8D8327-453A-4211-8462-1473AB5F1669}"/>
            </a:ext>
          </a:extLst>
        </xdr:cNvPr>
        <xdr:cNvSpPr/>
      </xdr:nvSpPr>
      <xdr:spPr>
        <a:xfrm>
          <a:off x="8685127" y="5461609"/>
          <a:ext cx="5624232" cy="164168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Here FCF of March 2019 is negative.so i Calculate CAGR using March 2021 FCF value.</a:t>
          </a:r>
        </a:p>
        <a:p>
          <a:pPr algn="l"/>
          <a:endParaRPr lang="en-IN" sz="1400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By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CAGR=((8595\ 8102)^(1\5))-1</a:t>
          </a:r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  =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1.18%</a:t>
          </a:r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endParaRPr lang="en-IN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CAGR=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1.18%</a:t>
          </a:r>
          <a:endParaRPr lang="en-IN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Terminal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growth rate= 8%</a:t>
          </a:r>
          <a:endParaRPr lang="en-IN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</a:p>
      </xdr:txBody>
    </xdr:sp>
    <xdr:clientData/>
  </xdr:twoCellAnchor>
  <xdr:twoCellAnchor>
    <xdr:from>
      <xdr:col>13</xdr:col>
      <xdr:colOff>539166</xdr:colOff>
      <xdr:row>29</xdr:row>
      <xdr:rowOff>123705</xdr:rowOff>
    </xdr:from>
    <xdr:to>
      <xdr:col>21</xdr:col>
      <xdr:colOff>122401</xdr:colOff>
      <xdr:row>54</xdr:row>
      <xdr:rowOff>157336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4662EBD-DE5B-4249-BEB8-F60155E8ADEF}"/>
            </a:ext>
          </a:extLst>
        </xdr:cNvPr>
        <xdr:cNvSpPr/>
      </xdr:nvSpPr>
      <xdr:spPr>
        <a:xfrm>
          <a:off x="14709329" y="5528107"/>
          <a:ext cx="4469974" cy="469259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WACC</a:t>
          </a:r>
          <a:r>
            <a:rPr lang="en-IN" sz="14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endParaRPr lang="en-IN" sz="1400" b="1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Risk free rate=6.94%, Market risk premium=4.06% (FROM ALPHASPREAD.COM)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Beta=1.27 (FROM MONEYCONTROL)</a:t>
          </a:r>
          <a:endParaRPr lang="en-IN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IN" sz="1400" b="1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Cost of Debt</a:t>
          </a:r>
          <a:r>
            <a:rPr lang="en-U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7.13% </a:t>
          </a: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(FROM ALPHASPREAD.COM</a:t>
          </a: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  <a:endParaRPr lang="en-IN" sz="1400" b="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Cost of equity (CAPM) = Risk free rate+(beta *market premium)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 =6.94+(1.27*4.06)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CAPM = 12%</a:t>
          </a:r>
          <a:endParaRPr lang="en-IN" sz="14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eaLnBrk="1" fontAlgn="auto" latinLnBrk="0" hangingPunct="1"/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D/E ratio=</a:t>
          </a: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1.66</a:t>
          </a:r>
        </a:p>
        <a:p>
          <a:pPr eaLnBrk="1" fontAlgn="auto" latinLnBrk="0" hangingPunct="1"/>
          <a:endParaRPr lang="en-IN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WACC=((1.66\2.66)*7.13%)+((1\2.66)*12%)</a:t>
          </a: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= 8.9%</a:t>
          </a:r>
        </a:p>
        <a:p>
          <a:pPr eaLnBrk="1" fontAlgn="auto" latinLnBrk="0" hangingPunct="1"/>
          <a:endParaRPr lang="en-US" sz="1400" b="1" u="none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Present value of CV(t)= FCF(t+1)\(wacc-g)</a:t>
          </a: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= -9750\(8.9%-8%)</a:t>
          </a: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=-1083333.3</a:t>
          </a:r>
        </a:p>
        <a:p>
          <a:pPr eaLnBrk="1" fontAlgn="auto" latinLnBrk="0" hangingPunct="1"/>
          <a:r>
            <a:rPr lang="en-IN" sz="1400" u="none" kern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PV</a:t>
          </a:r>
          <a:r>
            <a:rPr lang="en-IN" sz="1400" u="none" kern="120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of CV= -1083333.3\(1.089)^5</a:t>
          </a:r>
        </a:p>
        <a:p>
          <a:pPr eaLnBrk="1" fontAlgn="auto" latinLnBrk="0" hangingPunct="1"/>
          <a:r>
            <a:rPr lang="en-IN" sz="1400" u="none" kern="120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               = -707331</a:t>
          </a:r>
          <a:endParaRPr lang="en-IN" sz="1400" u="none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568325</xdr:colOff>
      <xdr:row>0</xdr:row>
      <xdr:rowOff>3175</xdr:rowOff>
    </xdr:from>
    <xdr:to>
      <xdr:col>8</xdr:col>
      <xdr:colOff>552450</xdr:colOff>
      <xdr:row>2</xdr:row>
      <xdr:rowOff>149225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2A84ABF-D82A-441B-8761-34BDA2B8472C}"/>
            </a:ext>
          </a:extLst>
        </xdr:cNvPr>
        <xdr:cNvSpPr/>
      </xdr:nvSpPr>
      <xdr:spPr>
        <a:xfrm>
          <a:off x="3327400" y="3175"/>
          <a:ext cx="4784725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               </a:t>
          </a:r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RELATIVE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VALUATION OF P\E RATIO</a:t>
          </a:r>
        </a:p>
        <a:p>
          <a:pPr algn="l"/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MAHINDRA &amp;MAHINDRA LIMITED</a:t>
          </a:r>
          <a:endParaRPr lang="en-IN" sz="12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344672</xdr:colOff>
      <xdr:row>0</xdr:row>
      <xdr:rowOff>96063</xdr:rowOff>
    </xdr:from>
    <xdr:to>
      <xdr:col>7</xdr:col>
      <xdr:colOff>328576</xdr:colOff>
      <xdr:row>2</xdr:row>
      <xdr:rowOff>180201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F07C2F-4631-4EDF-8973-719934D12448}"/>
            </a:ext>
          </a:extLst>
        </xdr:cNvPr>
        <xdr:cNvSpPr/>
      </xdr:nvSpPr>
      <xdr:spPr>
        <a:xfrm>
          <a:off x="3113567" y="96063"/>
          <a:ext cx="5089747" cy="4607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     </a:t>
          </a:r>
          <a:r>
            <a:rPr lang="en-IN" sz="1100" kern="1200" baseline="0"/>
            <a:t>                     </a:t>
          </a:r>
          <a:r>
            <a:rPr lang="en-IN" sz="1100" kern="1200"/>
            <a:t> </a:t>
          </a:r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RELATIVE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VALUATION OF  EV/ E</a:t>
          </a:r>
          <a:r>
            <a:rPr lang="en-IN" sz="1200" b="1" i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ITA  RATIO     </a:t>
          </a:r>
        </a:p>
        <a:p>
          <a:pPr algn="l"/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       MAHINDRA &amp; MAHINDRA LIMITED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2219325</xdr:colOff>
      <xdr:row>0</xdr:row>
      <xdr:rowOff>88900</xdr:rowOff>
    </xdr:from>
    <xdr:to>
      <xdr:col>5</xdr:col>
      <xdr:colOff>909205</xdr:colOff>
      <xdr:row>2</xdr:row>
      <xdr:rowOff>174958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67A8C4-1A87-4BA5-A7A2-DC0E2320500F}"/>
            </a:ext>
          </a:extLst>
        </xdr:cNvPr>
        <xdr:cNvSpPr/>
      </xdr:nvSpPr>
      <xdr:spPr>
        <a:xfrm>
          <a:off x="2828925" y="88900"/>
          <a:ext cx="5757430" cy="46070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kern="1200"/>
            <a:t>       </a:t>
          </a:r>
          <a:r>
            <a:rPr lang="en-IN" sz="1100" kern="1200" baseline="0"/>
            <a:t>                     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  </a:t>
          </a:r>
        </a:p>
        <a:p>
          <a:pPr algn="l"/>
          <a:r>
            <a:rPr lang="en-IN" sz="12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                 DIVIDEND DISCOUNT MODEL  (DDM)</a:t>
          </a:r>
          <a:r>
            <a:rPr lang="en-IN" sz="12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 MAHINDRA &amp; MAHINDRA</a:t>
          </a:r>
          <a:endParaRPr lang="en-IN" sz="12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295276</xdr:colOff>
      <xdr:row>0</xdr:row>
      <xdr:rowOff>73025</xdr:rowOff>
    </xdr:from>
    <xdr:to>
      <xdr:col>12</xdr:col>
      <xdr:colOff>377826</xdr:colOff>
      <xdr:row>3</xdr:row>
      <xdr:rowOff>9154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DBDC7C-0D0F-4E09-983B-523E3291CAE5}"/>
            </a:ext>
          </a:extLst>
        </xdr:cNvPr>
        <xdr:cNvSpPr/>
      </xdr:nvSpPr>
      <xdr:spPr>
        <a:xfrm>
          <a:off x="2124076" y="73025"/>
          <a:ext cx="5568950" cy="4981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1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                 COMPANY NAME</a:t>
          </a:r>
          <a:r>
            <a:rPr lang="en-IN" sz="13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:      Maruti Suzuki India Ltd</a:t>
          </a:r>
        </a:p>
        <a:p>
          <a:pPr algn="l"/>
          <a:br>
            <a:rPr lang="en-IN" sz="1300" b="1" kern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IN" sz="1300" b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197070</xdr:colOff>
      <xdr:row>28</xdr:row>
      <xdr:rowOff>16422</xdr:rowOff>
    </xdr:from>
    <xdr:to>
      <xdr:col>14</xdr:col>
      <xdr:colOff>305385</xdr:colOff>
      <xdr:row>36</xdr:row>
      <xdr:rowOff>153050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BB1AE5-6602-402A-A927-1BF6F9206539}"/>
            </a:ext>
          </a:extLst>
        </xdr:cNvPr>
        <xdr:cNvSpPr/>
      </xdr:nvSpPr>
      <xdr:spPr>
        <a:xfrm>
          <a:off x="8933794" y="5227801"/>
          <a:ext cx="5713832" cy="162559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400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By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CAGR=((8118\2790)^(1\5))-1</a:t>
          </a:r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  =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23.8%</a:t>
          </a:r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endParaRPr lang="en-IN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CAGR=23.8%</a:t>
          </a: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Terminal</a:t>
          </a:r>
          <a:r>
            <a:rPr lang="en-IN" sz="1400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growth rate= 8%</a:t>
          </a:r>
          <a:endParaRPr lang="en-IN" sz="1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IN" sz="1400" kern="1200">
              <a:latin typeface="Times New Roman" panose="02020603050405020304" pitchFamily="18" charset="0"/>
              <a:cs typeface="Times New Roman" panose="02020603050405020304" pitchFamily="18" charset="0"/>
            </a:rPr>
            <a:t>      </a:t>
          </a:r>
        </a:p>
      </xdr:txBody>
    </xdr:sp>
    <xdr:clientData/>
  </xdr:twoCellAnchor>
  <xdr:twoCellAnchor>
    <xdr:from>
      <xdr:col>15</xdr:col>
      <xdr:colOff>10948</xdr:colOff>
      <xdr:row>24</xdr:row>
      <xdr:rowOff>5474</xdr:rowOff>
    </xdr:from>
    <xdr:to>
      <xdr:col>22</xdr:col>
      <xdr:colOff>206873</xdr:colOff>
      <xdr:row>48</xdr:row>
      <xdr:rowOff>165432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520BF8B-8DEA-4955-A0C9-8D7B10A36CD4}"/>
            </a:ext>
          </a:extLst>
        </xdr:cNvPr>
        <xdr:cNvSpPr/>
      </xdr:nvSpPr>
      <xdr:spPr>
        <a:xfrm>
          <a:off x="14960819" y="4472371"/>
          <a:ext cx="4449330" cy="462685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400" b="1" kern="1200">
              <a:latin typeface="Times New Roman" panose="02020603050405020304" pitchFamily="18" charset="0"/>
              <a:cs typeface="Times New Roman" panose="02020603050405020304" pitchFamily="18" charset="0"/>
            </a:rPr>
            <a:t>WACC</a:t>
          </a:r>
          <a:r>
            <a:rPr lang="en-IN" sz="1400" b="1" kern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pPr algn="l"/>
          <a:endParaRPr lang="en-IN" sz="1400" b="1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Risk free rate=6.94%, Market risk premium=4.06% (ALPHA SPREAD)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Beta=0.80 (FROM MONEYCONTROL)</a:t>
          </a:r>
          <a:endParaRPr lang="en-IN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endParaRPr lang="en-IN" sz="1400" b="1" kern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Cost of Debt</a:t>
          </a:r>
          <a:r>
            <a:rPr lang="en-US" sz="140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= 40% </a:t>
          </a: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(FROM ALPHASPREAD</a:t>
          </a: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  <a:endParaRPr lang="en-IN" sz="1400" b="0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Cost of equity (CAPM)= Risk free rate+(beta *market premium)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     =6.94+(.80*4.06) =7.2%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4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eaLnBrk="1" fontAlgn="auto" latinLnBrk="0" hangingPunct="1"/>
          <a:r>
            <a:rPr lang="en-US" sz="1400" b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D/E ratio=</a:t>
          </a:r>
          <a:r>
            <a:rPr lang="en-US" sz="14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0.0</a:t>
          </a:r>
        </a:p>
        <a:p>
          <a:pPr eaLnBrk="1" fontAlgn="auto" latinLnBrk="0" hangingPunct="1"/>
          <a:endParaRPr lang="en-IN" sz="14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WACC=(0*40%)+(0*7.2%)</a:t>
          </a: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= 0%</a:t>
          </a:r>
        </a:p>
        <a:p>
          <a:pPr eaLnBrk="1" fontAlgn="auto" latinLnBrk="0" hangingPunct="1"/>
          <a:endParaRPr lang="en-US" sz="1400" b="1" u="none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Present value of CV(t)= FCF(t+1)\(wacc-g)</a:t>
          </a:r>
        </a:p>
        <a:p>
          <a:pPr eaLnBrk="1" fontAlgn="auto" latinLnBrk="0" hangingPunct="1"/>
          <a:r>
            <a:rPr lang="en-US" sz="1400" b="1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=25495 </a:t>
          </a:r>
          <a:r>
            <a:rPr lang="en-US" sz="1400" b="0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\(0%-8%)</a:t>
          </a:r>
        </a:p>
        <a:p>
          <a:pPr eaLnBrk="1" fontAlgn="auto" latinLnBrk="0" hangingPunct="1"/>
          <a:r>
            <a:rPr lang="en-US" sz="1400" b="0" u="non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                 =318688</a:t>
          </a:r>
        </a:p>
        <a:p>
          <a:pPr eaLnBrk="1" fontAlgn="auto" latinLnBrk="0" hangingPunct="1"/>
          <a:endParaRPr lang="en-US" sz="1400" b="1" u="none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eaLnBrk="1" fontAlgn="auto" latinLnBrk="0" hangingPunct="1"/>
          <a:r>
            <a:rPr lang="en-IN" sz="1400" u="none" kern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PV</a:t>
          </a:r>
          <a:r>
            <a:rPr lang="en-IN" sz="1400" u="none" kern="120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of CV= 318688\(1)^5</a:t>
          </a:r>
        </a:p>
        <a:p>
          <a:pPr eaLnBrk="1" fontAlgn="auto" latinLnBrk="0" hangingPunct="1"/>
          <a:r>
            <a:rPr lang="en-IN" sz="1400" u="none" kern="1200" baseline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               =318688</a:t>
          </a:r>
          <a:endParaRPr lang="en-IN" sz="1400" u="none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4A93-3A72-4BBD-AB96-3C867DEEB2D8}">
  <dimension ref="A7:M54"/>
  <sheetViews>
    <sheetView tabSelected="1" topLeftCell="A39" zoomScale="83" zoomScaleNormal="83" workbookViewId="0">
      <selection activeCell="D49" sqref="D49"/>
    </sheetView>
  </sheetViews>
  <sheetFormatPr defaultRowHeight="14.75" x14ac:dyDescent="0.75"/>
  <cols>
    <col min="1" max="1" width="32" customWidth="1"/>
    <col min="2" max="2" width="16.76953125" customWidth="1"/>
    <col min="3" max="3" width="17.26953125" customWidth="1"/>
    <col min="4" max="4" width="11.26953125" customWidth="1"/>
    <col min="5" max="5" width="11.76953125" customWidth="1"/>
    <col min="6" max="6" width="10.453125" customWidth="1"/>
    <col min="13" max="13" width="15.58984375" customWidth="1"/>
  </cols>
  <sheetData>
    <row r="7" spans="1:7" x14ac:dyDescent="0.75">
      <c r="A7" s="8" t="s">
        <v>6</v>
      </c>
      <c r="B7" s="4">
        <v>43525</v>
      </c>
      <c r="C7" s="4">
        <v>43891</v>
      </c>
      <c r="D7" s="4">
        <v>44256</v>
      </c>
      <c r="E7" s="4">
        <v>44621</v>
      </c>
      <c r="F7" s="4">
        <v>44986</v>
      </c>
      <c r="G7" s="4">
        <v>45352</v>
      </c>
    </row>
    <row r="8" spans="1:7" x14ac:dyDescent="0.75">
      <c r="A8" t="s">
        <v>13</v>
      </c>
      <c r="B8" s="1">
        <v>301938</v>
      </c>
      <c r="C8" s="1">
        <v>261068</v>
      </c>
      <c r="D8" s="1">
        <v>249795</v>
      </c>
      <c r="E8" s="1">
        <v>278454</v>
      </c>
      <c r="F8" s="1">
        <v>345967</v>
      </c>
      <c r="G8" s="1">
        <v>437928</v>
      </c>
    </row>
    <row r="9" spans="1:7" x14ac:dyDescent="0.75">
      <c r="A9" t="s">
        <v>14</v>
      </c>
      <c r="B9" s="1">
        <v>277274</v>
      </c>
      <c r="C9" s="1">
        <v>243081</v>
      </c>
      <c r="D9" s="1">
        <v>217507</v>
      </c>
      <c r="E9" s="1">
        <v>253734</v>
      </c>
      <c r="F9" s="1">
        <v>314151</v>
      </c>
      <c r="G9" s="1">
        <v>378389</v>
      </c>
    </row>
    <row r="10" spans="1:7" x14ac:dyDescent="0.75">
      <c r="A10" t="s">
        <v>0</v>
      </c>
      <c r="B10" s="1">
        <v>24664</v>
      </c>
      <c r="C10" s="1">
        <v>17987</v>
      </c>
      <c r="D10" s="1">
        <v>32287</v>
      </c>
      <c r="E10" s="1">
        <v>24720</v>
      </c>
      <c r="F10" s="1">
        <v>31816</v>
      </c>
      <c r="G10" s="1">
        <v>59538</v>
      </c>
    </row>
    <row r="11" spans="1:7" x14ac:dyDescent="0.75">
      <c r="A11" t="s">
        <v>1</v>
      </c>
      <c r="B11" s="2">
        <v>0.08</v>
      </c>
      <c r="C11" s="2">
        <v>7.0000000000000007E-2</v>
      </c>
      <c r="D11" s="2">
        <v>0.13</v>
      </c>
      <c r="E11" s="2">
        <v>0.09</v>
      </c>
      <c r="F11" s="2">
        <v>0.09</v>
      </c>
      <c r="G11" s="2">
        <v>0.14000000000000001</v>
      </c>
    </row>
    <row r="12" spans="1:7" x14ac:dyDescent="0.75">
      <c r="A12" s="3" t="s">
        <v>12</v>
      </c>
      <c r="B12" s="5">
        <v>-26686</v>
      </c>
      <c r="C12" s="3">
        <v>102</v>
      </c>
      <c r="D12" s="5">
        <v>-11118</v>
      </c>
      <c r="E12" s="5">
        <v>2424</v>
      </c>
      <c r="F12" s="5">
        <v>6664</v>
      </c>
      <c r="G12" s="5">
        <v>5673</v>
      </c>
    </row>
    <row r="13" spans="1:7" x14ac:dyDescent="0.75">
      <c r="A13" s="3" t="s">
        <v>2</v>
      </c>
      <c r="B13" s="5">
        <v>5759</v>
      </c>
      <c r="C13" s="5">
        <v>7243</v>
      </c>
      <c r="D13" s="5">
        <v>8097</v>
      </c>
      <c r="E13" s="5">
        <v>9312</v>
      </c>
      <c r="F13" s="5">
        <v>10225</v>
      </c>
      <c r="G13" s="5">
        <v>9986</v>
      </c>
    </row>
    <row r="14" spans="1:7" x14ac:dyDescent="0.75">
      <c r="A14" s="3" t="s">
        <v>3</v>
      </c>
      <c r="B14" s="5">
        <v>23591</v>
      </c>
      <c r="C14" s="5">
        <v>21425</v>
      </c>
      <c r="D14" s="5">
        <v>23547</v>
      </c>
      <c r="E14" s="5">
        <v>24836</v>
      </c>
      <c r="F14" s="5">
        <v>24860</v>
      </c>
      <c r="G14" s="5">
        <v>27270</v>
      </c>
    </row>
    <row r="15" spans="1:7" x14ac:dyDescent="0.75">
      <c r="A15" s="3" t="s">
        <v>7</v>
      </c>
      <c r="B15" s="5">
        <v>-31371</v>
      </c>
      <c r="C15" s="5">
        <v>-10580</v>
      </c>
      <c r="D15" s="5">
        <v>-10474</v>
      </c>
      <c r="E15" s="5">
        <v>-7003</v>
      </c>
      <c r="F15" s="5">
        <v>3394</v>
      </c>
      <c r="G15" s="5">
        <v>27955</v>
      </c>
    </row>
    <row r="16" spans="1:7" x14ac:dyDescent="0.75">
      <c r="A16" t="s">
        <v>9</v>
      </c>
      <c r="B16" s="2">
        <v>-0.08</v>
      </c>
      <c r="C16" s="2">
        <v>0.04</v>
      </c>
      <c r="D16" s="2">
        <v>0.24</v>
      </c>
      <c r="E16" s="2">
        <v>0.6</v>
      </c>
      <c r="F16" s="2">
        <v>0.21</v>
      </c>
      <c r="G16" s="2">
        <v>-0.14000000000000001</v>
      </c>
    </row>
    <row r="17" spans="1:7" x14ac:dyDescent="0.75">
      <c r="A17" t="s">
        <v>15</v>
      </c>
      <c r="B17" s="1">
        <v>-28724</v>
      </c>
      <c r="C17" s="1">
        <v>-11975</v>
      </c>
      <c r="D17" s="1">
        <v>-13395</v>
      </c>
      <c r="E17" s="1">
        <v>-11309</v>
      </c>
      <c r="F17" s="1">
        <v>2690</v>
      </c>
      <c r="G17" s="1">
        <v>31807</v>
      </c>
    </row>
    <row r="18" spans="1:7" x14ac:dyDescent="0.75">
      <c r="A18" t="s">
        <v>4</v>
      </c>
      <c r="B18">
        <v>-99.84</v>
      </c>
      <c r="C18">
        <v>-39.08</v>
      </c>
      <c r="D18">
        <v>-40.51</v>
      </c>
      <c r="E18">
        <v>-34.46</v>
      </c>
      <c r="F18">
        <v>7.27</v>
      </c>
      <c r="G18">
        <v>94.47</v>
      </c>
    </row>
    <row r="19" spans="1:7" x14ac:dyDescent="0.75">
      <c r="A19" t="s">
        <v>5</v>
      </c>
      <c r="B19" s="2">
        <v>0</v>
      </c>
      <c r="C19" s="2">
        <v>0</v>
      </c>
      <c r="D19" s="2">
        <v>0</v>
      </c>
      <c r="E19" s="2">
        <v>0</v>
      </c>
      <c r="F19" s="2">
        <v>0.32</v>
      </c>
      <c r="G19" s="2">
        <v>7.0000000000000007E-2</v>
      </c>
    </row>
    <row r="21" spans="1:7" x14ac:dyDescent="0.75">
      <c r="A21" t="s">
        <v>8</v>
      </c>
      <c r="B21">
        <f t="shared" ref="B21:G21" si="0">B15*B16</f>
        <v>2509.6799999999998</v>
      </c>
      <c r="C21">
        <f t="shared" si="0"/>
        <v>-423.2</v>
      </c>
      <c r="D21">
        <f t="shared" si="0"/>
        <v>-2513.7599999999998</v>
      </c>
      <c r="E21">
        <f t="shared" si="0"/>
        <v>-4201.8</v>
      </c>
      <c r="F21">
        <f t="shared" si="0"/>
        <v>712.74</v>
      </c>
      <c r="G21">
        <f t="shared" si="0"/>
        <v>-3913.7000000000003</v>
      </c>
    </row>
    <row r="23" spans="1:7" x14ac:dyDescent="0.75">
      <c r="A23" s="7" t="s">
        <v>25</v>
      </c>
    </row>
    <row r="24" spans="1:7" x14ac:dyDescent="0.75">
      <c r="A24" t="s">
        <v>23</v>
      </c>
      <c r="B24" s="1">
        <v>-35304</v>
      </c>
      <c r="C24" s="1">
        <v>-29702</v>
      </c>
      <c r="D24" s="1">
        <v>-20205</v>
      </c>
      <c r="E24" s="1">
        <v>-15168</v>
      </c>
      <c r="F24" s="1">
        <v>-19230</v>
      </c>
      <c r="G24" s="1">
        <v>-31414</v>
      </c>
    </row>
    <row r="25" spans="1:7" x14ac:dyDescent="0.75">
      <c r="A25" t="s">
        <v>24</v>
      </c>
      <c r="B25">
        <v>67</v>
      </c>
      <c r="C25">
        <v>171</v>
      </c>
      <c r="D25">
        <v>351</v>
      </c>
      <c r="E25">
        <v>230</v>
      </c>
      <c r="F25">
        <v>285</v>
      </c>
      <c r="G25">
        <v>231</v>
      </c>
    </row>
    <row r="26" spans="1:7" x14ac:dyDescent="0.75">
      <c r="A26" s="3" t="s">
        <v>26</v>
      </c>
      <c r="B26" s="1">
        <f>B24+ B25</f>
        <v>-35237</v>
      </c>
      <c r="C26" s="1">
        <f t="shared" ref="C26:G26" si="1">C24+ C25</f>
        <v>-29531</v>
      </c>
      <c r="D26" s="1">
        <f t="shared" si="1"/>
        <v>-19854</v>
      </c>
      <c r="E26" s="1">
        <f t="shared" si="1"/>
        <v>-14938</v>
      </c>
      <c r="F26" s="1">
        <f t="shared" si="1"/>
        <v>-18945</v>
      </c>
      <c r="G26" s="1">
        <f t="shared" si="1"/>
        <v>-31183</v>
      </c>
    </row>
    <row r="27" spans="1:7" x14ac:dyDescent="0.75">
      <c r="A27" s="3" t="s">
        <v>27</v>
      </c>
      <c r="B27" s="1">
        <v>-7221</v>
      </c>
      <c r="C27" s="1">
        <v>5065</v>
      </c>
      <c r="D27" s="1">
        <v>-93</v>
      </c>
      <c r="E27" s="1">
        <v>-10750</v>
      </c>
      <c r="F27" s="1">
        <v>-3127</v>
      </c>
      <c r="G27" s="1">
        <v>7325</v>
      </c>
    </row>
    <row r="29" spans="1:7" x14ac:dyDescent="0.75">
      <c r="A29" s="3"/>
      <c r="B29" s="5"/>
      <c r="C29" s="5"/>
      <c r="D29" s="5"/>
      <c r="E29" s="5"/>
      <c r="F29" s="5"/>
      <c r="G29" s="5"/>
    </row>
    <row r="30" spans="1:7" x14ac:dyDescent="0.75">
      <c r="A30" s="7" t="s">
        <v>10</v>
      </c>
    </row>
    <row r="31" spans="1:7" x14ac:dyDescent="0.75">
      <c r="A31" t="s">
        <v>11</v>
      </c>
      <c r="B31" s="1">
        <v>-31371</v>
      </c>
      <c r="C31" s="1">
        <v>-10580</v>
      </c>
      <c r="D31" s="1">
        <v>-10474</v>
      </c>
      <c r="E31" s="1">
        <v>-7003</v>
      </c>
      <c r="F31" s="1">
        <v>3394</v>
      </c>
      <c r="G31" s="1">
        <v>27955</v>
      </c>
    </row>
    <row r="32" spans="1:7" x14ac:dyDescent="0.75">
      <c r="A32" t="s">
        <v>22</v>
      </c>
      <c r="B32" s="1">
        <v>-26686</v>
      </c>
      <c r="C32">
        <v>102</v>
      </c>
      <c r="D32" s="1">
        <v>-11118</v>
      </c>
      <c r="E32" s="1">
        <v>2424</v>
      </c>
      <c r="F32" s="1">
        <v>6664</v>
      </c>
      <c r="G32" s="1">
        <v>5673</v>
      </c>
    </row>
    <row r="33" spans="1:13" x14ac:dyDescent="0.75">
      <c r="A33" t="s">
        <v>16</v>
      </c>
      <c r="B33" s="1">
        <v>5759</v>
      </c>
      <c r="C33" s="1">
        <v>7243</v>
      </c>
      <c r="D33" s="1">
        <v>8097</v>
      </c>
      <c r="E33" s="1">
        <v>9312</v>
      </c>
      <c r="F33" s="1">
        <v>10225</v>
      </c>
      <c r="G33" s="1">
        <v>9986</v>
      </c>
    </row>
    <row r="34" spans="1:13" x14ac:dyDescent="0.75">
      <c r="A34" s="3" t="s">
        <v>17</v>
      </c>
      <c r="B34" s="5">
        <f>B31-(B32)+B33</f>
        <v>1074</v>
      </c>
      <c r="C34" s="5">
        <f t="shared" ref="C34" si="2">C31-(C32)+C33</f>
        <v>-3439</v>
      </c>
      <c r="D34" s="5">
        <f t="shared" ref="D34" si="3">D31-(D32)+D33</f>
        <v>8741</v>
      </c>
      <c r="E34" s="5">
        <f t="shared" ref="E34" si="4">E31-(E32)+E33</f>
        <v>-115</v>
      </c>
      <c r="F34" s="5">
        <f t="shared" ref="F34" si="5">F31-(F32)+F33</f>
        <v>6955</v>
      </c>
      <c r="G34" s="5">
        <f t="shared" ref="G34" si="6">G31-(G32)+G33</f>
        <v>32268</v>
      </c>
    </row>
    <row r="36" spans="1:13" x14ac:dyDescent="0.75">
      <c r="A36" t="s">
        <v>18</v>
      </c>
      <c r="B36">
        <f t="shared" ref="B36:G36" si="7">B21</f>
        <v>2509.6799999999998</v>
      </c>
      <c r="C36">
        <f t="shared" si="7"/>
        <v>-423.2</v>
      </c>
      <c r="D36">
        <f t="shared" si="7"/>
        <v>-2513.7599999999998</v>
      </c>
      <c r="E36">
        <f t="shared" si="7"/>
        <v>-4201.8</v>
      </c>
      <c r="F36">
        <f t="shared" si="7"/>
        <v>712.74</v>
      </c>
      <c r="G36">
        <f t="shared" si="7"/>
        <v>-3913.7000000000003</v>
      </c>
    </row>
    <row r="37" spans="1:13" x14ac:dyDescent="0.75">
      <c r="A37" t="s">
        <v>21</v>
      </c>
      <c r="B37">
        <f t="shared" ref="B37:G37" si="8">B12*B16</f>
        <v>2134.88</v>
      </c>
      <c r="C37">
        <f t="shared" si="8"/>
        <v>4.08</v>
      </c>
      <c r="D37">
        <f t="shared" si="8"/>
        <v>-2668.3199999999997</v>
      </c>
      <c r="E37">
        <f t="shared" si="8"/>
        <v>1454.3999999999999</v>
      </c>
      <c r="F37">
        <f t="shared" si="8"/>
        <v>1399.44</v>
      </c>
      <c r="G37">
        <f t="shared" si="8"/>
        <v>-794.22</v>
      </c>
    </row>
    <row r="38" spans="1:13" x14ac:dyDescent="0.75">
      <c r="A38" t="s">
        <v>19</v>
      </c>
      <c r="B38" s="1">
        <f t="shared" ref="B38:G38" si="9">B13*B16</f>
        <v>-460.72</v>
      </c>
      <c r="C38" s="1">
        <f t="shared" si="9"/>
        <v>289.72000000000003</v>
      </c>
      <c r="D38" s="1">
        <f t="shared" si="9"/>
        <v>1943.28</v>
      </c>
      <c r="E38" s="1">
        <f t="shared" si="9"/>
        <v>5587.2</v>
      </c>
      <c r="F38" s="1">
        <f t="shared" si="9"/>
        <v>2147.25</v>
      </c>
      <c r="G38" s="1">
        <f t="shared" si="9"/>
        <v>-1398.0400000000002</v>
      </c>
    </row>
    <row r="39" spans="1:13" x14ac:dyDescent="0.75">
      <c r="A39" s="3" t="s">
        <v>20</v>
      </c>
      <c r="B39" s="5">
        <f>B36-(B37)+B38</f>
        <v>-85.9200000000003</v>
      </c>
      <c r="C39" s="5">
        <f t="shared" ref="C39" si="10">C36-(C37)+C38</f>
        <v>-137.55999999999995</v>
      </c>
      <c r="D39" s="5">
        <f t="shared" ref="D39" si="11">D36-(D37)+D38</f>
        <v>2097.84</v>
      </c>
      <c r="E39" s="5">
        <f t="shared" ref="E39" si="12">E36-(E37)+E38</f>
        <v>-69</v>
      </c>
      <c r="F39" s="5">
        <f t="shared" ref="F39" si="13">F36-(F37)+F38</f>
        <v>1460.55</v>
      </c>
      <c r="G39" s="5">
        <f t="shared" ref="G39" si="14">G36-(G37)+G38</f>
        <v>-4517.5200000000004</v>
      </c>
    </row>
    <row r="41" spans="1:13" x14ac:dyDescent="0.75">
      <c r="A41" s="7" t="s">
        <v>10</v>
      </c>
      <c r="B41" s="9">
        <f>B34-B39</f>
        <v>1159.9200000000003</v>
      </c>
      <c r="C41" s="9">
        <f t="shared" ref="C41:G41" si="15">C34-C39</f>
        <v>-3301.44</v>
      </c>
      <c r="D41" s="9">
        <f t="shared" si="15"/>
        <v>6643.16</v>
      </c>
      <c r="E41" s="9">
        <f t="shared" si="15"/>
        <v>-46</v>
      </c>
      <c r="F41" s="9">
        <f t="shared" si="15"/>
        <v>5494.45</v>
      </c>
      <c r="G41" s="9">
        <f t="shared" si="15"/>
        <v>36785.520000000004</v>
      </c>
    </row>
    <row r="43" spans="1:13" x14ac:dyDescent="0.75">
      <c r="A43" s="3" t="s">
        <v>28</v>
      </c>
    </row>
    <row r="44" spans="1:13" x14ac:dyDescent="0.75">
      <c r="A44" t="s">
        <v>10</v>
      </c>
      <c r="B44" s="1">
        <f>B41</f>
        <v>1159.9200000000003</v>
      </c>
      <c r="C44" s="1">
        <f t="shared" ref="C44:G44" si="16">C41</f>
        <v>-3301.44</v>
      </c>
      <c r="D44" s="1">
        <f t="shared" si="16"/>
        <v>6643.16</v>
      </c>
      <c r="E44" s="1">
        <f t="shared" si="16"/>
        <v>-46</v>
      </c>
      <c r="F44" s="1">
        <f t="shared" si="16"/>
        <v>5494.45</v>
      </c>
      <c r="G44" s="1">
        <f t="shared" si="16"/>
        <v>36785.520000000004</v>
      </c>
    </row>
    <row r="45" spans="1:13" x14ac:dyDescent="0.75">
      <c r="A45" t="s">
        <v>29</v>
      </c>
      <c r="B45" s="1">
        <f>B14</f>
        <v>23591</v>
      </c>
      <c r="C45" s="1">
        <f t="shared" ref="C45:G45" si="17">C14</f>
        <v>21425</v>
      </c>
      <c r="D45" s="1">
        <f t="shared" si="17"/>
        <v>23547</v>
      </c>
      <c r="E45" s="1">
        <f t="shared" si="17"/>
        <v>24836</v>
      </c>
      <c r="F45" s="1">
        <f t="shared" si="17"/>
        <v>24860</v>
      </c>
      <c r="G45" s="1">
        <f t="shared" si="17"/>
        <v>27270</v>
      </c>
      <c r="H45" s="4">
        <v>45717</v>
      </c>
      <c r="I45" s="4">
        <v>46082</v>
      </c>
      <c r="J45" s="4">
        <v>46447</v>
      </c>
      <c r="K45" s="4">
        <v>46813</v>
      </c>
      <c r="L45" s="4">
        <v>47178</v>
      </c>
      <c r="M45" s="4" t="s">
        <v>33</v>
      </c>
    </row>
    <row r="46" spans="1:13" x14ac:dyDescent="0.75">
      <c r="A46" t="s">
        <v>30</v>
      </c>
      <c r="B46" s="1">
        <f>B26</f>
        <v>-35237</v>
      </c>
      <c r="C46" s="1">
        <f t="shared" ref="C46:G46" si="18">C26</f>
        <v>-29531</v>
      </c>
      <c r="D46" s="1">
        <f t="shared" si="18"/>
        <v>-19854</v>
      </c>
      <c r="E46" s="1">
        <f t="shared" si="18"/>
        <v>-14938</v>
      </c>
      <c r="F46" s="1">
        <f t="shared" si="18"/>
        <v>-18945</v>
      </c>
      <c r="G46" s="1">
        <f t="shared" si="18"/>
        <v>-31183</v>
      </c>
    </row>
    <row r="47" spans="1:13" x14ac:dyDescent="0.75">
      <c r="A47" t="s">
        <v>31</v>
      </c>
      <c r="B47" s="1">
        <f>B27</f>
        <v>-7221</v>
      </c>
      <c r="C47" s="1">
        <f t="shared" ref="C47:G47" si="19">C27</f>
        <v>5065</v>
      </c>
      <c r="D47" s="1">
        <f t="shared" si="19"/>
        <v>-93</v>
      </c>
      <c r="E47" s="1">
        <f t="shared" si="19"/>
        <v>-10750</v>
      </c>
      <c r="F47" s="1">
        <f t="shared" si="19"/>
        <v>-3127</v>
      </c>
      <c r="G47" s="1">
        <f t="shared" si="19"/>
        <v>7325</v>
      </c>
    </row>
    <row r="48" spans="1:13" x14ac:dyDescent="0.75">
      <c r="A48" s="6" t="s">
        <v>32</v>
      </c>
      <c r="B48" s="9">
        <f>SUM(B44,B45,B46,B47)</f>
        <v>-17707.079999999998</v>
      </c>
      <c r="C48" s="9">
        <f t="shared" ref="C48:G48" si="20">SUM(C44,C45,C46,C47)</f>
        <v>-6342.4399999999987</v>
      </c>
      <c r="D48" s="9">
        <f t="shared" si="20"/>
        <v>10243.16</v>
      </c>
      <c r="E48" s="9">
        <f t="shared" si="20"/>
        <v>-898</v>
      </c>
      <c r="F48" s="9">
        <f t="shared" si="20"/>
        <v>8282.4500000000007</v>
      </c>
      <c r="G48" s="9">
        <f t="shared" si="20"/>
        <v>40197.520000000004</v>
      </c>
      <c r="H48" s="9">
        <f>(G48*57.7%)+G48</f>
        <v>63391.489040000008</v>
      </c>
      <c r="I48" s="9">
        <f>(H48*57.7%)+H48</f>
        <v>99968.378216080018</v>
      </c>
      <c r="J48" s="6">
        <f>(I48*57.7%)+I48</f>
        <v>157650.13244675819</v>
      </c>
      <c r="K48" s="6">
        <f>(J48*57.7%)+J48</f>
        <v>248614.25886853767</v>
      </c>
      <c r="L48" s="6">
        <f>(K48*57.7%)+K48</f>
        <v>392064.68623568391</v>
      </c>
      <c r="M48" s="21">
        <f>(L48*8%)+L48</f>
        <v>423429.8611345386</v>
      </c>
    </row>
    <row r="49" spans="1:13" x14ac:dyDescent="0.75">
      <c r="A49" t="s">
        <v>34</v>
      </c>
      <c r="H49">
        <v>57331</v>
      </c>
      <c r="I49">
        <v>81768.5</v>
      </c>
      <c r="J49">
        <v>116622</v>
      </c>
      <c r="K49">
        <v>166332</v>
      </c>
      <c r="L49">
        <v>237231</v>
      </c>
      <c r="M49">
        <v>9969235</v>
      </c>
    </row>
    <row r="51" spans="1:13" x14ac:dyDescent="0.75">
      <c r="A51" t="s">
        <v>35</v>
      </c>
      <c r="B51">
        <f>H49+I49+J49+K49+L49+M49</f>
        <v>10628519.5</v>
      </c>
      <c r="C51" t="s">
        <v>38</v>
      </c>
    </row>
    <row r="53" spans="1:13" x14ac:dyDescent="0.75">
      <c r="A53" t="s">
        <v>36</v>
      </c>
      <c r="B53">
        <f>B51+22971</f>
        <v>10651490.5</v>
      </c>
      <c r="C53" t="s">
        <v>39</v>
      </c>
    </row>
    <row r="54" spans="1:13" x14ac:dyDescent="0.75">
      <c r="A54" t="s">
        <v>37</v>
      </c>
      <c r="B54">
        <f>B53-107262</f>
        <v>10544228.5</v>
      </c>
      <c r="C54" t="s">
        <v>40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54FD-5052-4E36-8AB4-2282E7A1D11F}">
  <dimension ref="A4:M21"/>
  <sheetViews>
    <sheetView zoomScale="60" zoomScaleNormal="60" workbookViewId="0">
      <selection activeCell="F18" sqref="F18:M21"/>
    </sheetView>
  </sheetViews>
  <sheetFormatPr defaultRowHeight="14.75" x14ac:dyDescent="0.75"/>
  <cols>
    <col min="2" max="2" width="16.2265625" customWidth="1"/>
    <col min="3" max="3" width="14.7265625" customWidth="1"/>
    <col min="4" max="4" width="12.7265625" customWidth="1"/>
    <col min="5" max="5" width="13.36328125" customWidth="1"/>
    <col min="6" max="6" width="15.90625" customWidth="1"/>
    <col min="7" max="7" width="17.31640625" customWidth="1"/>
    <col min="8" max="8" width="10.953125" customWidth="1"/>
    <col min="9" max="9" width="12.36328125" customWidth="1"/>
    <col min="10" max="10" width="20.26953125" customWidth="1"/>
    <col min="11" max="11" width="13.6796875" customWidth="1"/>
    <col min="12" max="12" width="13.31640625" customWidth="1"/>
  </cols>
  <sheetData>
    <row r="4" spans="1:10" x14ac:dyDescent="0.75">
      <c r="A4" s="3" t="s">
        <v>73</v>
      </c>
      <c r="B4" s="3" t="s">
        <v>50</v>
      </c>
      <c r="C4" s="3" t="s">
        <v>51</v>
      </c>
      <c r="D4" s="3" t="s">
        <v>52</v>
      </c>
      <c r="E4" s="3" t="s">
        <v>95</v>
      </c>
      <c r="F4" s="3" t="s">
        <v>90</v>
      </c>
      <c r="G4" s="3" t="s">
        <v>89</v>
      </c>
      <c r="H4" s="3" t="s">
        <v>54</v>
      </c>
      <c r="I4" s="3" t="s">
        <v>55</v>
      </c>
      <c r="J4" s="3" t="s">
        <v>56</v>
      </c>
    </row>
    <row r="5" spans="1:10" x14ac:dyDescent="0.75">
      <c r="A5">
        <v>1</v>
      </c>
      <c r="B5" t="s">
        <v>83</v>
      </c>
      <c r="C5">
        <v>2936.25</v>
      </c>
      <c r="D5">
        <v>11865.83</v>
      </c>
      <c r="E5">
        <v>566.95000000000005</v>
      </c>
      <c r="F5">
        <v>365131.15</v>
      </c>
      <c r="G5">
        <v>139078.26999999999</v>
      </c>
      <c r="H5">
        <f>F5/D5</f>
        <v>30.771648506678421</v>
      </c>
      <c r="I5">
        <f>C5/E5</f>
        <v>5.1790281329923271</v>
      </c>
      <c r="J5">
        <f>F5/G5</f>
        <v>2.6253644800154623</v>
      </c>
    </row>
    <row r="6" spans="1:10" x14ac:dyDescent="0.75">
      <c r="A6">
        <v>2</v>
      </c>
      <c r="B6" t="s">
        <v>75</v>
      </c>
      <c r="C6">
        <v>1825.55</v>
      </c>
      <c r="D6">
        <v>5950.01</v>
      </c>
      <c r="F6">
        <v>148333.44</v>
      </c>
      <c r="G6">
        <v>68538.61</v>
      </c>
      <c r="H6">
        <f t="shared" ref="H6:H9" si="0">F6/D6</f>
        <v>24.929948016894087</v>
      </c>
      <c r="J6">
        <f t="shared" ref="J6:J9" si="1">F6/G6</f>
        <v>2.1642318103620717</v>
      </c>
    </row>
    <row r="7" spans="1:10" x14ac:dyDescent="0.75">
      <c r="A7">
        <v>3</v>
      </c>
      <c r="B7" t="s">
        <v>76</v>
      </c>
      <c r="C7">
        <v>99.3</v>
      </c>
      <c r="D7">
        <v>2.85</v>
      </c>
      <c r="E7">
        <v>4.53</v>
      </c>
      <c r="F7">
        <v>1743.19</v>
      </c>
      <c r="G7">
        <v>22.02</v>
      </c>
      <c r="H7">
        <f t="shared" si="0"/>
        <v>611.64561403508776</v>
      </c>
      <c r="I7">
        <f t="shared" ref="I7:I9" si="2">C7/E7</f>
        <v>21.920529801324502</v>
      </c>
      <c r="J7">
        <f t="shared" si="1"/>
        <v>79.163941871026339</v>
      </c>
    </row>
    <row r="8" spans="1:10" x14ac:dyDescent="0.75">
      <c r="A8">
        <v>4</v>
      </c>
      <c r="B8" t="s">
        <v>77</v>
      </c>
      <c r="C8">
        <v>21.8</v>
      </c>
      <c r="D8">
        <v>40.26</v>
      </c>
      <c r="E8">
        <v>1.4</v>
      </c>
      <c r="F8">
        <v>454.88</v>
      </c>
      <c r="G8">
        <v>3.25</v>
      </c>
      <c r="H8">
        <f t="shared" si="0"/>
        <v>11.298559364133135</v>
      </c>
      <c r="I8">
        <f t="shared" si="2"/>
        <v>15.571428571428573</v>
      </c>
      <c r="J8">
        <f t="shared" si="1"/>
        <v>139.96307692307693</v>
      </c>
    </row>
    <row r="9" spans="1:10" x14ac:dyDescent="0.75">
      <c r="A9">
        <v>5</v>
      </c>
      <c r="B9" t="s">
        <v>84</v>
      </c>
      <c r="C9">
        <v>42.2</v>
      </c>
      <c r="D9">
        <v>6.44</v>
      </c>
      <c r="E9">
        <v>3.8</v>
      </c>
      <c r="F9">
        <v>1100.1300000000001</v>
      </c>
      <c r="G9">
        <v>316.92</v>
      </c>
      <c r="H9">
        <f t="shared" si="0"/>
        <v>170.82763975155279</v>
      </c>
      <c r="I9">
        <f t="shared" si="2"/>
        <v>11.105263157894738</v>
      </c>
      <c r="J9">
        <f t="shared" si="1"/>
        <v>3.4713176826959486</v>
      </c>
    </row>
    <row r="12" spans="1:10" x14ac:dyDescent="0.75">
      <c r="G12" s="14" t="s">
        <v>57</v>
      </c>
      <c r="H12" s="14">
        <f>AVERAGE(H5:H9)</f>
        <v>169.89468193486923</v>
      </c>
      <c r="I12" s="14">
        <f>AVERAGE(I5:I9)</f>
        <v>13.444062415910036</v>
      </c>
      <c r="J12" s="14">
        <f>AVERAGE(J5:J9)</f>
        <v>45.477586553435344</v>
      </c>
    </row>
    <row r="13" spans="1:10" x14ac:dyDescent="0.75">
      <c r="G13" t="s">
        <v>58</v>
      </c>
      <c r="H13">
        <f>MEDIAN(H5:H9)</f>
        <v>30.771648506678421</v>
      </c>
      <c r="I13">
        <f>MEDIAN(I5:I9)</f>
        <v>13.338345864661655</v>
      </c>
      <c r="J13">
        <f>MEDIAN(J5:J9)</f>
        <v>3.4713176826959486</v>
      </c>
    </row>
    <row r="15" spans="1:10" x14ac:dyDescent="0.75">
      <c r="B15" t="s">
        <v>59</v>
      </c>
      <c r="G15" s="3" t="s">
        <v>72</v>
      </c>
      <c r="H15" s="3" t="s">
        <v>61</v>
      </c>
      <c r="I15" s="3" t="s">
        <v>62</v>
      </c>
      <c r="J15" s="3" t="s">
        <v>63</v>
      </c>
    </row>
    <row r="16" spans="1:10" x14ac:dyDescent="0.75">
      <c r="B16" t="s">
        <v>82</v>
      </c>
      <c r="H16">
        <v>14021.3</v>
      </c>
      <c r="I16">
        <v>2834.77</v>
      </c>
      <c r="J16">
        <v>141858.20000000001</v>
      </c>
    </row>
    <row r="18" spans="6:13" ht="59" x14ac:dyDescent="0.75">
      <c r="F18" s="10"/>
      <c r="G18" s="19" t="s">
        <v>87</v>
      </c>
      <c r="H18" s="19"/>
      <c r="I18" s="19"/>
      <c r="J18" s="11" t="s">
        <v>64</v>
      </c>
      <c r="K18" s="12" t="s">
        <v>65</v>
      </c>
      <c r="L18" s="12" t="s">
        <v>66</v>
      </c>
      <c r="M18" s="12" t="s">
        <v>67</v>
      </c>
    </row>
    <row r="19" spans="6:13" ht="44.25" x14ac:dyDescent="0.75">
      <c r="F19" s="12" t="s">
        <v>191</v>
      </c>
      <c r="G19" s="18" t="s">
        <v>183</v>
      </c>
      <c r="H19" s="18" t="s">
        <v>184</v>
      </c>
      <c r="I19" s="18" t="s">
        <v>185</v>
      </c>
      <c r="J19" s="11"/>
      <c r="K19" s="12"/>
      <c r="L19" s="12"/>
      <c r="M19" s="12"/>
    </row>
    <row r="20" spans="6:13" x14ac:dyDescent="0.75">
      <c r="F20" s="22" t="s">
        <v>68</v>
      </c>
      <c r="G20" s="23">
        <f>H12*H16</f>
        <v>2382144.3038133816</v>
      </c>
      <c r="H20" s="23">
        <f t="shared" ref="H20:I20" si="3">I12*I16</f>
        <v>38110.824814749292</v>
      </c>
      <c r="I20" s="23">
        <f t="shared" si="3"/>
        <v>6451368.5688145421</v>
      </c>
      <c r="J20" s="22" t="s">
        <v>96</v>
      </c>
      <c r="K20" s="23">
        <f>AVERAGE(G20:I20)</f>
        <v>2957207.8991475576</v>
      </c>
      <c r="L20" s="23">
        <v>314</v>
      </c>
      <c r="M20" s="22">
        <f>K20/L20</f>
        <v>9417.8595514253429</v>
      </c>
    </row>
    <row r="21" spans="6:13" x14ac:dyDescent="0.75">
      <c r="F21" s="22" t="s">
        <v>70</v>
      </c>
      <c r="G21" s="23">
        <f>H13*H16</f>
        <v>431458.51520669012</v>
      </c>
      <c r="H21" s="23">
        <f t="shared" ref="H21:I21" si="4">I13*I16</f>
        <v>37811.142706766921</v>
      </c>
      <c r="I21" s="23">
        <f t="shared" si="4"/>
        <v>492434.87809541845</v>
      </c>
      <c r="J21" s="22" t="s">
        <v>85</v>
      </c>
      <c r="K21" s="23">
        <f>AVERAGE(G21:I21)</f>
        <v>320568.17866962514</v>
      </c>
      <c r="L21" s="22">
        <v>314</v>
      </c>
      <c r="M21" s="22">
        <f>K21/L21</f>
        <v>1020.9177664637743</v>
      </c>
    </row>
  </sheetData>
  <mergeCells count="1">
    <mergeCell ref="G18:I1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683-B18F-436F-B907-ED09FC8B5EEA}">
  <dimension ref="A4:J23"/>
  <sheetViews>
    <sheetView topLeftCell="A4" workbookViewId="0">
      <selection activeCell="H2" sqref="H2"/>
    </sheetView>
  </sheetViews>
  <sheetFormatPr defaultRowHeight="14.75" x14ac:dyDescent="0.75"/>
  <cols>
    <col min="1" max="1" width="7" customWidth="1"/>
    <col min="2" max="2" width="20.953125" customWidth="1"/>
    <col min="3" max="3" width="14.26953125" customWidth="1"/>
    <col min="4" max="4" width="16.58984375" customWidth="1"/>
    <col min="5" max="5" width="24.08984375" customWidth="1"/>
    <col min="6" max="6" width="16.6796875" customWidth="1"/>
    <col min="7" max="7" width="16.54296875" customWidth="1"/>
    <col min="8" max="8" width="16.08984375" customWidth="1"/>
    <col min="9" max="9" width="16" customWidth="1"/>
    <col min="10" max="10" width="12.2265625" customWidth="1"/>
  </cols>
  <sheetData>
    <row r="4" spans="1:10" x14ac:dyDescent="0.75">
      <c r="A4" s="3" t="s">
        <v>97</v>
      </c>
      <c r="B4" s="3" t="s">
        <v>50</v>
      </c>
      <c r="C4" s="3" t="s">
        <v>51</v>
      </c>
      <c r="D4" s="3" t="s">
        <v>90</v>
      </c>
      <c r="E4" s="3" t="s">
        <v>99</v>
      </c>
      <c r="F4" s="3" t="s">
        <v>91</v>
      </c>
      <c r="G4" s="3" t="s">
        <v>89</v>
      </c>
      <c r="H4" s="15" t="s">
        <v>98</v>
      </c>
      <c r="I4" s="3" t="s">
        <v>100</v>
      </c>
      <c r="J4" s="3" t="s">
        <v>101</v>
      </c>
    </row>
    <row r="5" spans="1:10" x14ac:dyDescent="0.75">
      <c r="A5">
        <v>1</v>
      </c>
      <c r="B5" t="s">
        <v>83</v>
      </c>
      <c r="C5">
        <v>3024.5</v>
      </c>
      <c r="D5">
        <v>376105.24</v>
      </c>
      <c r="E5">
        <v>476641.6</v>
      </c>
      <c r="F5">
        <v>566.95000000000005</v>
      </c>
      <c r="G5">
        <v>139078.26999999999</v>
      </c>
      <c r="H5">
        <v>15.59</v>
      </c>
      <c r="I5">
        <f>E5/F5</f>
        <v>840.71187935444027</v>
      </c>
      <c r="J5">
        <f>E5/G5</f>
        <v>3.4271464550141442</v>
      </c>
    </row>
    <row r="6" spans="1:10" x14ac:dyDescent="0.75">
      <c r="A6">
        <v>2</v>
      </c>
      <c r="B6" t="s">
        <v>112</v>
      </c>
      <c r="C6">
        <v>2418.85</v>
      </c>
      <c r="D6">
        <v>114919.54</v>
      </c>
      <c r="E6">
        <v>125968.54</v>
      </c>
      <c r="F6">
        <v>163.32</v>
      </c>
      <c r="G6">
        <v>39144.74</v>
      </c>
      <c r="H6">
        <v>20.78</v>
      </c>
      <c r="I6">
        <f t="shared" ref="I6:I9" si="0">E6/F6</f>
        <v>771.29892236100909</v>
      </c>
      <c r="J6">
        <f t="shared" ref="J6:J9" si="1">E6/G6</f>
        <v>3.2180195857732099</v>
      </c>
    </row>
    <row r="7" spans="1:10" x14ac:dyDescent="0.75">
      <c r="A7">
        <v>3</v>
      </c>
      <c r="B7" t="s">
        <v>53</v>
      </c>
      <c r="C7">
        <v>4965</v>
      </c>
      <c r="D7">
        <v>136106.74</v>
      </c>
      <c r="E7">
        <v>136302.72</v>
      </c>
      <c r="F7">
        <v>692.53</v>
      </c>
      <c r="G7">
        <v>16535.78</v>
      </c>
      <c r="H7">
        <v>21.98</v>
      </c>
      <c r="I7">
        <f t="shared" si="0"/>
        <v>196.81850605749932</v>
      </c>
      <c r="J7">
        <f t="shared" si="1"/>
        <v>8.2428963133278259</v>
      </c>
    </row>
    <row r="8" spans="1:10" x14ac:dyDescent="0.75">
      <c r="A8">
        <v>4</v>
      </c>
      <c r="B8" t="s">
        <v>76</v>
      </c>
      <c r="C8">
        <v>100</v>
      </c>
      <c r="D8">
        <v>1755.49</v>
      </c>
      <c r="E8">
        <v>1828.4</v>
      </c>
      <c r="F8">
        <v>4.53</v>
      </c>
      <c r="G8">
        <v>22.02</v>
      </c>
      <c r="H8">
        <v>391.52</v>
      </c>
      <c r="I8">
        <f t="shared" si="0"/>
        <v>403.62030905077262</v>
      </c>
      <c r="J8">
        <f t="shared" si="1"/>
        <v>83.033605812897378</v>
      </c>
    </row>
    <row r="9" spans="1:10" x14ac:dyDescent="0.75">
      <c r="A9">
        <v>5</v>
      </c>
      <c r="B9" t="s">
        <v>77</v>
      </c>
      <c r="C9">
        <v>21.65</v>
      </c>
      <c r="D9">
        <v>451.75</v>
      </c>
      <c r="E9">
        <v>427.12</v>
      </c>
      <c r="F9">
        <v>1.4</v>
      </c>
      <c r="G9">
        <v>3.25</v>
      </c>
      <c r="H9">
        <v>10.08</v>
      </c>
      <c r="I9">
        <f t="shared" si="0"/>
        <v>305.08571428571429</v>
      </c>
      <c r="J9">
        <f t="shared" si="1"/>
        <v>131.42153846153846</v>
      </c>
    </row>
    <row r="11" spans="1:10" x14ac:dyDescent="0.75">
      <c r="G11" s="6" t="s">
        <v>102</v>
      </c>
      <c r="H11" s="6">
        <f>AVERAGE(H5:H9)</f>
        <v>91.99</v>
      </c>
      <c r="I11" s="6">
        <f>AVERAGE(I5:I9)</f>
        <v>503.5070662218871</v>
      </c>
      <c r="J11" s="6">
        <f>AVERAGE(J5:J9)</f>
        <v>45.8686413257102</v>
      </c>
    </row>
    <row r="12" spans="1:10" x14ac:dyDescent="0.75">
      <c r="G12" t="s">
        <v>103</v>
      </c>
      <c r="H12">
        <f>MEDIAN(H5:H9)</f>
        <v>20.78</v>
      </c>
      <c r="I12">
        <f t="shared" ref="I12:J12" si="2">MEDIAN(I5:I9)</f>
        <v>403.62030905077262</v>
      </c>
      <c r="J12">
        <f t="shared" si="2"/>
        <v>8.2428963133278259</v>
      </c>
    </row>
    <row r="14" spans="1:10" x14ac:dyDescent="0.75">
      <c r="C14" s="15" t="s">
        <v>106</v>
      </c>
      <c r="D14" s="3" t="s">
        <v>105</v>
      </c>
      <c r="E14" s="3" t="s">
        <v>114</v>
      </c>
    </row>
    <row r="15" spans="1:10" x14ac:dyDescent="0.75">
      <c r="B15" t="s">
        <v>117</v>
      </c>
      <c r="C15">
        <v>24773.38</v>
      </c>
      <c r="D15">
        <v>2834.77</v>
      </c>
      <c r="E15">
        <v>141858.20000000001</v>
      </c>
    </row>
    <row r="16" spans="1:10" x14ac:dyDescent="0.75">
      <c r="G16" s="15" t="s">
        <v>98</v>
      </c>
      <c r="H16" s="3" t="s">
        <v>100</v>
      </c>
      <c r="I16" s="3" t="s">
        <v>101</v>
      </c>
      <c r="J16" s="3" t="s">
        <v>109</v>
      </c>
    </row>
    <row r="17" spans="3:10" x14ac:dyDescent="0.75">
      <c r="F17" s="3" t="s">
        <v>107</v>
      </c>
      <c r="G17">
        <f>H11</f>
        <v>91.99</v>
      </c>
      <c r="H17">
        <f t="shared" ref="H17:I17" si="3">I11</f>
        <v>503.5070662218871</v>
      </c>
      <c r="I17">
        <f t="shared" si="3"/>
        <v>45.8686413257102</v>
      </c>
    </row>
    <row r="18" spans="3:10" x14ac:dyDescent="0.75">
      <c r="F18" s="3" t="s">
        <v>108</v>
      </c>
      <c r="G18">
        <f>C15*G17</f>
        <v>2278903.2261999999</v>
      </c>
      <c r="H18">
        <f t="shared" ref="H18:I18" si="4">D15*H17</f>
        <v>1427326.7261138188</v>
      </c>
      <c r="I18">
        <f t="shared" si="4"/>
        <v>6506842.8949108636</v>
      </c>
      <c r="J18" s="13">
        <f>AVERAGE(G18:I18)</f>
        <v>3404357.6157415607</v>
      </c>
    </row>
    <row r="20" spans="3:10" x14ac:dyDescent="0.75">
      <c r="F20" s="3" t="s">
        <v>103</v>
      </c>
      <c r="G20">
        <f>H12</f>
        <v>20.78</v>
      </c>
      <c r="H20">
        <f t="shared" ref="H20:I20" si="5">I12</f>
        <v>403.62030905077262</v>
      </c>
      <c r="I20">
        <f t="shared" si="5"/>
        <v>8.2428963133278259</v>
      </c>
    </row>
    <row r="21" spans="3:10" x14ac:dyDescent="0.75">
      <c r="F21" s="3" t="s">
        <v>108</v>
      </c>
      <c r="G21">
        <f>C15*G20</f>
        <v>514790.83640000003</v>
      </c>
      <c r="H21">
        <f t="shared" ref="H21:I21" si="6">D15*H20</f>
        <v>1144170.7434878587</v>
      </c>
      <c r="I21">
        <f t="shared" si="6"/>
        <v>1169322.4337953215</v>
      </c>
      <c r="J21" s="13">
        <f>AVERAGE(G21:I21)</f>
        <v>942761.33789439348</v>
      </c>
    </row>
    <row r="22" spans="3:10" x14ac:dyDescent="0.75">
      <c r="C22" t="s">
        <v>119</v>
      </c>
    </row>
    <row r="23" spans="3:10" x14ac:dyDescent="0.75">
      <c r="C23" t="s">
        <v>118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6C853-A377-4210-8C80-1CD809EC3611}">
  <dimension ref="B6:H29"/>
  <sheetViews>
    <sheetView zoomScale="60" zoomScaleNormal="60" workbookViewId="0">
      <selection activeCell="F24" sqref="F24"/>
    </sheetView>
  </sheetViews>
  <sheetFormatPr defaultRowHeight="14.75" x14ac:dyDescent="0.75"/>
  <cols>
    <col min="2" max="2" width="51.453125" customWidth="1"/>
    <col min="3" max="3" width="15.6328125" customWidth="1"/>
    <col min="4" max="4" width="16.6328125" customWidth="1"/>
    <col min="5" max="5" width="17.453125" customWidth="1"/>
    <col min="6" max="6" width="17.36328125" customWidth="1"/>
    <col min="7" max="7" width="18.54296875" customWidth="1"/>
  </cols>
  <sheetData>
    <row r="6" spans="2:8" x14ac:dyDescent="0.75">
      <c r="B6" s="6" t="s">
        <v>121</v>
      </c>
    </row>
    <row r="8" spans="2:8" x14ac:dyDescent="0.75">
      <c r="B8" t="s">
        <v>120</v>
      </c>
    </row>
    <row r="10" spans="2:8" x14ac:dyDescent="0.75">
      <c r="B10" t="s">
        <v>122</v>
      </c>
    </row>
    <row r="12" spans="2:8" x14ac:dyDescent="0.75">
      <c r="B12" t="s">
        <v>123</v>
      </c>
      <c r="D12" s="3" t="s">
        <v>133</v>
      </c>
      <c r="E12" s="3" t="s">
        <v>132</v>
      </c>
      <c r="F12" s="3" t="s">
        <v>137</v>
      </c>
      <c r="G12" s="3" t="s">
        <v>136</v>
      </c>
      <c r="H12" s="3" t="s">
        <v>182</v>
      </c>
    </row>
    <row r="13" spans="2:8" x14ac:dyDescent="0.75">
      <c r="B13" t="s">
        <v>126</v>
      </c>
      <c r="D13" t="s">
        <v>129</v>
      </c>
      <c r="E13">
        <v>90</v>
      </c>
      <c r="F13">
        <f>E13-E14</f>
        <v>30</v>
      </c>
      <c r="G13" t="s">
        <v>138</v>
      </c>
    </row>
    <row r="14" spans="2:8" x14ac:dyDescent="0.75">
      <c r="B14" t="s">
        <v>124</v>
      </c>
      <c r="D14" t="s">
        <v>130</v>
      </c>
      <c r="E14">
        <v>60</v>
      </c>
      <c r="F14">
        <f>E14-E15</f>
        <v>15</v>
      </c>
      <c r="G14" t="s">
        <v>139</v>
      </c>
    </row>
    <row r="15" spans="2:8" x14ac:dyDescent="0.75">
      <c r="B15" t="s">
        <v>125</v>
      </c>
      <c r="D15" t="s">
        <v>131</v>
      </c>
      <c r="E15">
        <v>45</v>
      </c>
      <c r="F15">
        <f>E15-E16</f>
        <v>-15</v>
      </c>
      <c r="G15" t="s">
        <v>140</v>
      </c>
    </row>
    <row r="16" spans="2:8" x14ac:dyDescent="0.75">
      <c r="B16" t="s">
        <v>145</v>
      </c>
      <c r="D16" t="s">
        <v>134</v>
      </c>
      <c r="E16">
        <v>60</v>
      </c>
    </row>
    <row r="17" spans="2:7" x14ac:dyDescent="0.75">
      <c r="B17" t="s">
        <v>148</v>
      </c>
    </row>
    <row r="18" spans="2:7" x14ac:dyDescent="0.75">
      <c r="D18" s="7" t="s">
        <v>147</v>
      </c>
      <c r="E18" s="7" t="s">
        <v>146</v>
      </c>
      <c r="F18" s="7" t="s">
        <v>135</v>
      </c>
    </row>
    <row r="19" spans="2:7" x14ac:dyDescent="0.75">
      <c r="B19" t="s">
        <v>127</v>
      </c>
      <c r="C19" t="s">
        <v>151</v>
      </c>
    </row>
    <row r="20" spans="2:7" x14ac:dyDescent="0.75">
      <c r="B20" t="s">
        <v>128</v>
      </c>
      <c r="C20" t="s">
        <v>153</v>
      </c>
      <c r="D20" s="2">
        <v>0.5</v>
      </c>
      <c r="E20">
        <v>90</v>
      </c>
      <c r="F20" s="13">
        <f>(E20*(1+D20))/(7.2%-D20)</f>
        <v>-315.42056074766356</v>
      </c>
      <c r="G20" t="s">
        <v>154</v>
      </c>
    </row>
    <row r="21" spans="2:7" x14ac:dyDescent="0.75">
      <c r="F21" s="13"/>
    </row>
    <row r="22" spans="2:7" x14ac:dyDescent="0.75">
      <c r="B22" t="s">
        <v>141</v>
      </c>
      <c r="C22" t="s">
        <v>151</v>
      </c>
      <c r="F22" s="13"/>
    </row>
    <row r="23" spans="2:7" x14ac:dyDescent="0.75">
      <c r="B23" t="s">
        <v>142</v>
      </c>
      <c r="C23" t="s">
        <v>152</v>
      </c>
      <c r="D23" s="17">
        <v>0.11899999999999999</v>
      </c>
      <c r="E23">
        <v>90</v>
      </c>
      <c r="F23" s="13">
        <f t="shared" ref="F23" si="0">(E23*(1+D23))/(7.2%-D23)</f>
        <v>-2142.7659574468089</v>
      </c>
      <c r="G23" t="s">
        <v>154</v>
      </c>
    </row>
    <row r="24" spans="2:7" x14ac:dyDescent="0.75">
      <c r="F24" s="13"/>
    </row>
    <row r="25" spans="2:7" x14ac:dyDescent="0.75">
      <c r="B25" t="s">
        <v>149</v>
      </c>
      <c r="C25" t="s">
        <v>155</v>
      </c>
      <c r="D25" s="2">
        <v>0</v>
      </c>
      <c r="E25">
        <v>90</v>
      </c>
      <c r="F25" s="13">
        <f>(E25*(1+D25))/(7.2%-D25)</f>
        <v>1249.9999999999998</v>
      </c>
    </row>
    <row r="26" spans="2:7" x14ac:dyDescent="0.75">
      <c r="B26" t="s">
        <v>143</v>
      </c>
    </row>
    <row r="27" spans="2:7" x14ac:dyDescent="0.75">
      <c r="B27" t="s">
        <v>144</v>
      </c>
      <c r="C27" t="s">
        <v>156</v>
      </c>
    </row>
    <row r="28" spans="2:7" x14ac:dyDescent="0.75">
      <c r="B28" t="s">
        <v>150</v>
      </c>
    </row>
    <row r="29" spans="2:7" x14ac:dyDescent="0.75">
      <c r="C29" s="6" t="s">
        <v>157</v>
      </c>
      <c r="D29" s="6">
        <f>F25* 314</f>
        <v>392499.99999999994</v>
      </c>
      <c r="E29" s="6" t="s">
        <v>38</v>
      </c>
      <c r="F29" t="s">
        <v>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40D9-7A3F-4EB9-913A-972FF448F01D}">
  <dimension ref="A6:M22"/>
  <sheetViews>
    <sheetView topLeftCell="B6" zoomScale="81" zoomScaleNormal="54" workbookViewId="0">
      <selection activeCell="F20" sqref="F20:M20"/>
    </sheetView>
  </sheetViews>
  <sheetFormatPr defaultRowHeight="14.75" x14ac:dyDescent="0.75"/>
  <cols>
    <col min="1" max="1" width="8.7265625" customWidth="1"/>
    <col min="2" max="2" width="16.6796875" customWidth="1"/>
    <col min="3" max="3" width="12.953125" customWidth="1"/>
    <col min="4" max="4" width="15" customWidth="1"/>
    <col min="5" max="5" width="14.6796875" customWidth="1"/>
    <col min="6" max="6" width="16.7265625" customWidth="1"/>
    <col min="7" max="7" width="17.7265625" customWidth="1"/>
    <col min="8" max="8" width="20.86328125" customWidth="1"/>
    <col min="9" max="9" width="19.1328125" customWidth="1"/>
    <col min="10" max="10" width="21.6796875" customWidth="1"/>
    <col min="12" max="12" width="12.04296875" customWidth="1"/>
    <col min="13" max="13" width="9.6328125" customWidth="1"/>
  </cols>
  <sheetData>
    <row r="6" spans="1:10" x14ac:dyDescent="0.75">
      <c r="A6" t="s">
        <v>49</v>
      </c>
      <c r="B6" s="3" t="s">
        <v>50</v>
      </c>
      <c r="C6" s="3" t="s">
        <v>51</v>
      </c>
      <c r="D6" s="3" t="s">
        <v>52</v>
      </c>
      <c r="E6" s="3" t="s">
        <v>91</v>
      </c>
      <c r="F6" s="3" t="s">
        <v>90</v>
      </c>
      <c r="G6" s="3" t="s">
        <v>89</v>
      </c>
      <c r="H6" s="3" t="s">
        <v>54</v>
      </c>
      <c r="I6" s="3" t="s">
        <v>55</v>
      </c>
      <c r="J6" s="3" t="s">
        <v>56</v>
      </c>
    </row>
    <row r="7" spans="1:10" x14ac:dyDescent="0.75">
      <c r="A7">
        <v>1</v>
      </c>
      <c r="B7" t="s">
        <v>45</v>
      </c>
      <c r="C7">
        <v>218.9</v>
      </c>
      <c r="D7">
        <v>2581.9299999999998</v>
      </c>
      <c r="E7">
        <v>35.119999999999997</v>
      </c>
      <c r="F7">
        <v>64275.49</v>
      </c>
      <c r="G7">
        <v>45790.64</v>
      </c>
      <c r="H7">
        <f>F7/D7</f>
        <v>24.894358096462724</v>
      </c>
      <c r="I7">
        <f>C7/E7</f>
        <v>6.2329157175398642</v>
      </c>
      <c r="J7">
        <f>F7/G7</f>
        <v>1.4036818441498087</v>
      </c>
    </row>
    <row r="8" spans="1:10" x14ac:dyDescent="0.75">
      <c r="A8">
        <v>2</v>
      </c>
      <c r="B8" t="s">
        <v>46</v>
      </c>
      <c r="C8">
        <v>1426.25</v>
      </c>
      <c r="D8">
        <v>112.26</v>
      </c>
      <c r="E8">
        <v>119.61</v>
      </c>
      <c r="F8">
        <v>11709.65</v>
      </c>
      <c r="G8">
        <v>1154.1400000000001</v>
      </c>
      <c r="H8">
        <f t="shared" ref="H8:H11" si="0">F8/D8</f>
        <v>104.30830215570995</v>
      </c>
      <c r="I8">
        <f t="shared" ref="I8:I11" si="1">C8/E8</f>
        <v>11.924170219881281</v>
      </c>
      <c r="J8">
        <f t="shared" ref="J8:J11" si="2">F8/G8</f>
        <v>10.14577954147677</v>
      </c>
    </row>
    <row r="9" spans="1:10" x14ac:dyDescent="0.75">
      <c r="A9">
        <v>3</v>
      </c>
      <c r="B9" t="s">
        <v>47</v>
      </c>
      <c r="C9">
        <v>6647.3</v>
      </c>
      <c r="D9">
        <v>476.38</v>
      </c>
      <c r="E9">
        <v>1883.4</v>
      </c>
      <c r="F9">
        <v>8737.1</v>
      </c>
      <c r="G9">
        <v>6992.13</v>
      </c>
      <c r="H9">
        <f t="shared" si="0"/>
        <v>18.340610437046056</v>
      </c>
      <c r="I9">
        <f t="shared" si="1"/>
        <v>3.5294148879685676</v>
      </c>
      <c r="J9">
        <f t="shared" si="2"/>
        <v>1.2495620075713696</v>
      </c>
    </row>
    <row r="10" spans="1:10" x14ac:dyDescent="0.75">
      <c r="A10">
        <v>4</v>
      </c>
      <c r="B10" t="s">
        <v>48</v>
      </c>
      <c r="C10">
        <v>1600.55</v>
      </c>
      <c r="D10">
        <v>123.19</v>
      </c>
      <c r="E10">
        <v>228.38</v>
      </c>
      <c r="F10">
        <v>2308.98</v>
      </c>
      <c r="G10">
        <v>2195.9299999999998</v>
      </c>
      <c r="H10">
        <f t="shared" si="0"/>
        <v>18.743242146278106</v>
      </c>
      <c r="I10">
        <f t="shared" si="1"/>
        <v>7.0082756808827389</v>
      </c>
      <c r="J10">
        <f t="shared" si="2"/>
        <v>1.0514816046048827</v>
      </c>
    </row>
    <row r="11" spans="1:10" x14ac:dyDescent="0.75">
      <c r="A11">
        <v>5</v>
      </c>
      <c r="B11" t="s">
        <v>53</v>
      </c>
      <c r="C11">
        <v>4882.1000000000004</v>
      </c>
      <c r="D11">
        <v>4268.21</v>
      </c>
      <c r="E11">
        <v>692.53</v>
      </c>
      <c r="F11">
        <v>133819.4</v>
      </c>
      <c r="G11">
        <v>16535.78</v>
      </c>
      <c r="H11">
        <f t="shared" si="0"/>
        <v>31.35258105857022</v>
      </c>
      <c r="I11">
        <f t="shared" si="1"/>
        <v>7.0496584985488004</v>
      </c>
      <c r="J11">
        <f t="shared" si="2"/>
        <v>8.0927177308841802</v>
      </c>
    </row>
    <row r="13" spans="1:10" x14ac:dyDescent="0.75">
      <c r="G13" s="14" t="s">
        <v>57</v>
      </c>
      <c r="H13" s="14">
        <f>AVERAGE(H7:H11)</f>
        <v>39.527818778813412</v>
      </c>
      <c r="I13" s="14">
        <f t="shared" ref="I13:J13" si="3">AVERAGE(I7:I11)</f>
        <v>7.1488870009642493</v>
      </c>
      <c r="J13" s="14">
        <f t="shared" si="3"/>
        <v>4.3886445457374021</v>
      </c>
    </row>
    <row r="14" spans="1:10" x14ac:dyDescent="0.75">
      <c r="G14" t="s">
        <v>58</v>
      </c>
      <c r="H14">
        <f>MEDIAN(H7:H11)</f>
        <v>24.894358096462724</v>
      </c>
      <c r="I14">
        <f t="shared" ref="I14:J14" si="4">MEDIAN(I7:I11)</f>
        <v>7.0082756808827389</v>
      </c>
      <c r="J14">
        <f t="shared" si="4"/>
        <v>1.4036818441498087</v>
      </c>
    </row>
    <row r="16" spans="1:10" x14ac:dyDescent="0.75">
      <c r="F16" t="s">
        <v>59</v>
      </c>
      <c r="G16" s="3" t="s">
        <v>72</v>
      </c>
      <c r="H16" s="3" t="s">
        <v>61</v>
      </c>
      <c r="I16" s="3" t="s">
        <v>62</v>
      </c>
      <c r="J16" s="3" t="s">
        <v>63</v>
      </c>
    </row>
    <row r="17" spans="6:13" x14ac:dyDescent="0.75">
      <c r="F17" t="s">
        <v>60</v>
      </c>
      <c r="H17">
        <v>33463.67</v>
      </c>
      <c r="I17">
        <v>274.56</v>
      </c>
      <c r="J17">
        <v>437927.77</v>
      </c>
    </row>
    <row r="19" spans="6:13" ht="59" x14ac:dyDescent="0.75">
      <c r="F19" s="10"/>
      <c r="G19" s="19" t="s">
        <v>88</v>
      </c>
      <c r="H19" s="19"/>
      <c r="I19" s="19"/>
      <c r="J19" s="11" t="s">
        <v>64</v>
      </c>
      <c r="K19" s="12" t="s">
        <v>65</v>
      </c>
      <c r="L19" s="12" t="s">
        <v>66</v>
      </c>
      <c r="M19" s="12" t="s">
        <v>67</v>
      </c>
    </row>
    <row r="20" spans="6:13" ht="29.5" x14ac:dyDescent="0.75">
      <c r="F20" s="12" t="s">
        <v>186</v>
      </c>
      <c r="G20" s="18" t="s">
        <v>183</v>
      </c>
      <c r="H20" s="18" t="s">
        <v>184</v>
      </c>
      <c r="I20" s="18" t="s">
        <v>185</v>
      </c>
      <c r="J20" s="11"/>
      <c r="K20" s="12"/>
      <c r="L20" s="12"/>
      <c r="M20" s="12"/>
    </row>
    <row r="21" spans="6:13" x14ac:dyDescent="0.75">
      <c r="F21" s="22" t="s">
        <v>68</v>
      </c>
      <c r="G21" s="23">
        <f>H13*H17</f>
        <v>1322745.8834340149</v>
      </c>
      <c r="H21" s="23">
        <f t="shared" ref="H21" si="5">I13*I17</f>
        <v>1962.7984149847443</v>
      </c>
      <c r="I21" s="23">
        <f>J13*J17</f>
        <v>1921909.3192374436</v>
      </c>
      <c r="J21" s="22" t="s">
        <v>69</v>
      </c>
      <c r="K21" s="23">
        <f>AVERAGE(G21:I21)</f>
        <v>1082206.0003621478</v>
      </c>
      <c r="L21" s="23">
        <v>383</v>
      </c>
      <c r="M21" s="22">
        <f>K21/L21</f>
        <v>2825.6031341048247</v>
      </c>
    </row>
    <row r="22" spans="6:13" x14ac:dyDescent="0.75">
      <c r="F22" s="22" t="s">
        <v>70</v>
      </c>
      <c r="G22" s="23">
        <f>H14*H17</f>
        <v>833056.58420185675</v>
      </c>
      <c r="H22" s="23">
        <f t="shared" ref="H22:I22" si="6">I14*I17</f>
        <v>1924.1921709431649</v>
      </c>
      <c r="I22" s="23">
        <f t="shared" si="6"/>
        <v>614711.25979801326</v>
      </c>
      <c r="J22" s="22" t="s">
        <v>71</v>
      </c>
      <c r="K22" s="23">
        <f>AVERAGE(G22:I22)</f>
        <v>483230.67872360442</v>
      </c>
      <c r="L22" s="22">
        <v>383</v>
      </c>
      <c r="M22" s="22">
        <f>K22/L22</f>
        <v>1261.6989000616304</v>
      </c>
    </row>
  </sheetData>
  <mergeCells count="1">
    <mergeCell ref="G19:I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9E7C-36F9-4344-8F35-D95661DA9A7A}">
  <dimension ref="A4:J26"/>
  <sheetViews>
    <sheetView zoomScale="64" zoomScaleNormal="64" workbookViewId="0">
      <selection activeCell="E25" sqref="E25"/>
    </sheetView>
  </sheetViews>
  <sheetFormatPr defaultRowHeight="14.75" x14ac:dyDescent="0.75"/>
  <cols>
    <col min="2" max="2" width="18.6328125" customWidth="1"/>
    <col min="3" max="3" width="11.54296875" customWidth="1"/>
    <col min="4" max="4" width="16" customWidth="1"/>
    <col min="5" max="5" width="24.86328125" customWidth="1"/>
    <col min="6" max="6" width="16.36328125" customWidth="1"/>
    <col min="7" max="7" width="13.7265625" customWidth="1"/>
    <col min="8" max="8" width="17.86328125" customWidth="1"/>
    <col min="9" max="9" width="15.26953125" customWidth="1"/>
    <col min="10" max="10" width="13.6328125" customWidth="1"/>
    <col min="11" max="11" width="14.31640625" customWidth="1"/>
    <col min="12" max="12" width="12.81640625" customWidth="1"/>
  </cols>
  <sheetData>
    <row r="4" spans="1:10" x14ac:dyDescent="0.75">
      <c r="A4" s="3" t="s">
        <v>97</v>
      </c>
      <c r="B4" s="3" t="s">
        <v>50</v>
      </c>
      <c r="C4" s="3" t="s">
        <v>51</v>
      </c>
      <c r="D4" s="3" t="s">
        <v>90</v>
      </c>
      <c r="E4" s="3" t="s">
        <v>99</v>
      </c>
      <c r="F4" s="3" t="s">
        <v>91</v>
      </c>
      <c r="G4" s="3" t="s">
        <v>89</v>
      </c>
      <c r="H4" s="15" t="s">
        <v>98</v>
      </c>
      <c r="I4" s="3" t="s">
        <v>100</v>
      </c>
      <c r="J4" s="3" t="s">
        <v>101</v>
      </c>
    </row>
    <row r="5" spans="1:10" x14ac:dyDescent="0.75">
      <c r="A5">
        <v>1</v>
      </c>
      <c r="B5" t="s">
        <v>45</v>
      </c>
      <c r="C5">
        <v>218.9</v>
      </c>
      <c r="D5">
        <v>64275.49</v>
      </c>
      <c r="E5">
        <v>106185.63</v>
      </c>
      <c r="F5">
        <v>35.119999999999997</v>
      </c>
      <c r="G5">
        <v>45790.64</v>
      </c>
      <c r="H5">
        <v>12.2</v>
      </c>
      <c r="I5" s="24">
        <f>E5/F5</f>
        <v>3023.5088268792715</v>
      </c>
      <c r="J5" s="24">
        <f>E5/G5</f>
        <v>2.3189374509725131</v>
      </c>
    </row>
    <row r="6" spans="1:10" x14ac:dyDescent="0.75">
      <c r="A6">
        <v>2</v>
      </c>
      <c r="B6" t="s">
        <v>46</v>
      </c>
      <c r="C6">
        <v>1426.25</v>
      </c>
      <c r="D6">
        <v>11709.65</v>
      </c>
      <c r="E6">
        <v>11478.58</v>
      </c>
      <c r="F6">
        <v>119.61</v>
      </c>
      <c r="G6">
        <v>1154.1400000000001</v>
      </c>
      <c r="H6">
        <v>48.82</v>
      </c>
      <c r="I6" s="24">
        <f t="shared" ref="I6:I9" si="0">E6/F6</f>
        <v>95.966725190201487</v>
      </c>
      <c r="J6" s="24">
        <f t="shared" ref="J6:J9" si="1">E6/G6</f>
        <v>9.9455698615419266</v>
      </c>
    </row>
    <row r="7" spans="1:10" x14ac:dyDescent="0.75">
      <c r="A7">
        <v>3</v>
      </c>
      <c r="B7" t="s">
        <v>47</v>
      </c>
      <c r="C7">
        <v>6647.3</v>
      </c>
      <c r="D7">
        <v>8737.1</v>
      </c>
      <c r="E7">
        <v>8800.9599999999991</v>
      </c>
      <c r="F7">
        <v>1883.4</v>
      </c>
      <c r="G7">
        <v>6992.13</v>
      </c>
      <c r="H7">
        <v>8.2899999999999991</v>
      </c>
      <c r="I7" s="24">
        <f t="shared" si="0"/>
        <v>4.6729106934267808</v>
      </c>
      <c r="J7" s="24">
        <f t="shared" si="1"/>
        <v>1.2586951329566241</v>
      </c>
    </row>
    <row r="8" spans="1:10" x14ac:dyDescent="0.75">
      <c r="A8">
        <v>4</v>
      </c>
      <c r="B8" t="s">
        <v>48</v>
      </c>
      <c r="C8">
        <v>1600.55</v>
      </c>
      <c r="D8">
        <v>2308.98</v>
      </c>
      <c r="E8">
        <v>2556.37</v>
      </c>
      <c r="F8">
        <v>228.38</v>
      </c>
      <c r="G8">
        <v>2195.9299999999998</v>
      </c>
      <c r="H8">
        <v>11.39</v>
      </c>
      <c r="I8" s="24">
        <f t="shared" si="0"/>
        <v>11.193493300639284</v>
      </c>
      <c r="J8" s="24">
        <f t="shared" si="1"/>
        <v>1.1641400226783185</v>
      </c>
    </row>
    <row r="9" spans="1:10" x14ac:dyDescent="0.75">
      <c r="A9">
        <v>5</v>
      </c>
      <c r="B9" t="s">
        <v>53</v>
      </c>
      <c r="C9">
        <v>4882.1000000000004</v>
      </c>
      <c r="D9">
        <v>133819.4</v>
      </c>
      <c r="E9">
        <v>134615.44</v>
      </c>
      <c r="F9">
        <v>692.53</v>
      </c>
      <c r="G9">
        <v>16535.78</v>
      </c>
      <c r="H9">
        <v>21.71</v>
      </c>
      <c r="I9" s="24">
        <f t="shared" si="0"/>
        <v>194.38210619034555</v>
      </c>
      <c r="J9" s="24">
        <f t="shared" si="1"/>
        <v>8.1408581875182193</v>
      </c>
    </row>
    <row r="10" spans="1:10" x14ac:dyDescent="0.75">
      <c r="I10" s="24"/>
      <c r="J10" s="24"/>
    </row>
    <row r="11" spans="1:10" x14ac:dyDescent="0.75">
      <c r="G11" s="6" t="s">
        <v>102</v>
      </c>
      <c r="H11" s="6">
        <f>AVERAGE(H5:H9)</f>
        <v>20.481999999999999</v>
      </c>
      <c r="I11" s="20">
        <f t="shared" ref="I11:J11" si="2">AVERAGE(I5:I9)</f>
        <v>665.94481245077691</v>
      </c>
      <c r="J11" s="20">
        <f t="shared" si="2"/>
        <v>4.5656401311335202</v>
      </c>
    </row>
    <row r="12" spans="1:10" x14ac:dyDescent="0.75">
      <c r="G12" t="s">
        <v>103</v>
      </c>
      <c r="H12">
        <f>MEDIAN(H5:H9)</f>
        <v>12.2</v>
      </c>
      <c r="I12" s="24">
        <f>MEDIAN(I5:I9)</f>
        <v>95.966725190201487</v>
      </c>
      <c r="J12" s="24">
        <f>MEDIAN(J5:J9)</f>
        <v>2.3189374509725131</v>
      </c>
    </row>
    <row r="14" spans="1:10" x14ac:dyDescent="0.75">
      <c r="C14" s="15" t="s">
        <v>106</v>
      </c>
      <c r="D14" s="3" t="s">
        <v>105</v>
      </c>
      <c r="E14" s="3" t="s">
        <v>104</v>
      </c>
    </row>
    <row r="15" spans="1:10" x14ac:dyDescent="0.75">
      <c r="B15" s="3" t="s">
        <v>60</v>
      </c>
      <c r="C15">
        <v>67196.740000000005</v>
      </c>
      <c r="D15">
        <v>274.56</v>
      </c>
      <c r="E15">
        <v>437927.77</v>
      </c>
    </row>
    <row r="16" spans="1:10" x14ac:dyDescent="0.75">
      <c r="G16" s="15" t="s">
        <v>98</v>
      </c>
      <c r="H16" s="3" t="s">
        <v>100</v>
      </c>
      <c r="I16" s="3" t="s">
        <v>101</v>
      </c>
      <c r="J16" s="3" t="s">
        <v>109</v>
      </c>
    </row>
    <row r="17" spans="4:10" x14ac:dyDescent="0.75">
      <c r="F17" s="3" t="s">
        <v>107</v>
      </c>
      <c r="G17" s="24">
        <f>H11</f>
        <v>20.481999999999999</v>
      </c>
      <c r="H17" s="24">
        <f t="shared" ref="H17:I17" si="3">I11</f>
        <v>665.94481245077691</v>
      </c>
      <c r="I17" s="24">
        <f t="shared" si="3"/>
        <v>4.5656401311335202</v>
      </c>
    </row>
    <row r="18" spans="4:10" x14ac:dyDescent="0.75">
      <c r="F18" s="3" t="s">
        <v>108</v>
      </c>
      <c r="G18" s="24">
        <f>C15*G17</f>
        <v>1376323.6286800001</v>
      </c>
      <c r="H18" s="24">
        <f t="shared" ref="H18:I18" si="4">D15*H17</f>
        <v>182841.8077064853</v>
      </c>
      <c r="I18" s="24">
        <f t="shared" si="4"/>
        <v>1999420.6012498101</v>
      </c>
      <c r="J18" s="13">
        <f>AVERAGE(G18:I18)</f>
        <v>1186195.3458787652</v>
      </c>
    </row>
    <row r="19" spans="4:10" x14ac:dyDescent="0.75">
      <c r="G19" s="24"/>
      <c r="H19" s="24"/>
      <c r="I19" s="24"/>
    </row>
    <row r="20" spans="4:10" x14ac:dyDescent="0.75">
      <c r="F20" s="3" t="s">
        <v>103</v>
      </c>
      <c r="G20" s="24">
        <v>12.2</v>
      </c>
      <c r="H20" s="24">
        <v>95.966725190201487</v>
      </c>
      <c r="I20" s="24">
        <v>2.3189374509725131</v>
      </c>
    </row>
    <row r="21" spans="4:10" x14ac:dyDescent="0.75">
      <c r="F21" s="3" t="s">
        <v>108</v>
      </c>
      <c r="G21" s="24">
        <f>C15*G20</f>
        <v>819800.228</v>
      </c>
      <c r="H21" s="24">
        <f t="shared" ref="H21:I21" si="5">D15*H20</f>
        <v>26348.624068221721</v>
      </c>
      <c r="I21" s="24">
        <f t="shared" si="5"/>
        <v>1015527.1066738771</v>
      </c>
      <c r="J21" s="16">
        <f>AVERAGE(G21:I21)</f>
        <v>620558.65291403292</v>
      </c>
    </row>
    <row r="25" spans="4:10" x14ac:dyDescent="0.75">
      <c r="D25" t="s">
        <v>110</v>
      </c>
    </row>
    <row r="26" spans="4:10" x14ac:dyDescent="0.75">
      <c r="D26" t="s">
        <v>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F3AF-DAC1-401B-8CD3-3E52AFCD9B20}">
  <dimension ref="B6:G25"/>
  <sheetViews>
    <sheetView topLeftCell="A2" zoomScale="70" zoomScaleNormal="70" workbookViewId="0">
      <selection activeCell="D11" sqref="D11"/>
    </sheetView>
  </sheetViews>
  <sheetFormatPr defaultRowHeight="14.75" x14ac:dyDescent="0.75"/>
  <cols>
    <col min="2" max="2" width="51.453125" customWidth="1"/>
    <col min="3" max="3" width="36.7265625" customWidth="1"/>
    <col min="4" max="4" width="16.6328125" customWidth="1"/>
    <col min="5" max="5" width="17.453125" customWidth="1"/>
    <col min="6" max="6" width="26.58984375" customWidth="1"/>
    <col min="7" max="7" width="18.54296875" customWidth="1"/>
  </cols>
  <sheetData>
    <row r="6" spans="2:7" x14ac:dyDescent="0.75">
      <c r="B6" s="6" t="s">
        <v>121</v>
      </c>
    </row>
    <row r="8" spans="2:7" x14ac:dyDescent="0.75">
      <c r="B8" t="s">
        <v>120</v>
      </c>
    </row>
    <row r="10" spans="2:7" x14ac:dyDescent="0.75">
      <c r="B10" t="s">
        <v>122</v>
      </c>
    </row>
    <row r="12" spans="2:7" x14ac:dyDescent="0.75">
      <c r="B12" t="s">
        <v>123</v>
      </c>
    </row>
    <row r="13" spans="2:7" x14ac:dyDescent="0.75">
      <c r="B13" t="s">
        <v>169</v>
      </c>
      <c r="D13" s="3" t="s">
        <v>133</v>
      </c>
      <c r="E13" s="3" t="s">
        <v>176</v>
      </c>
      <c r="F13" s="3" t="s">
        <v>187</v>
      </c>
      <c r="G13" t="s">
        <v>177</v>
      </c>
    </row>
    <row r="14" spans="2:7" x14ac:dyDescent="0.75">
      <c r="B14" t="s">
        <v>171</v>
      </c>
      <c r="D14" t="s">
        <v>129</v>
      </c>
      <c r="E14">
        <v>2</v>
      </c>
      <c r="F14">
        <f>E14-E15</f>
        <v>2</v>
      </c>
    </row>
    <row r="15" spans="2:7" x14ac:dyDescent="0.75">
      <c r="B15" t="s">
        <v>170</v>
      </c>
    </row>
    <row r="16" spans="2:7" x14ac:dyDescent="0.75">
      <c r="B16" t="s">
        <v>174</v>
      </c>
    </row>
    <row r="17" spans="2:6" x14ac:dyDescent="0.75">
      <c r="B17" t="s">
        <v>175</v>
      </c>
    </row>
    <row r="18" spans="2:6" x14ac:dyDescent="0.75">
      <c r="D18" s="7" t="s">
        <v>147</v>
      </c>
      <c r="E18" s="7" t="s">
        <v>146</v>
      </c>
      <c r="F18" s="7" t="s">
        <v>135</v>
      </c>
    </row>
    <row r="19" spans="2:6" x14ac:dyDescent="0.75">
      <c r="B19" t="s">
        <v>172</v>
      </c>
      <c r="C19" t="s">
        <v>151</v>
      </c>
    </row>
    <row r="20" spans="2:6" x14ac:dyDescent="0.75">
      <c r="B20" t="s">
        <v>173</v>
      </c>
      <c r="C20" t="s">
        <v>153</v>
      </c>
      <c r="D20" s="2">
        <v>0.02</v>
      </c>
      <c r="E20">
        <v>2</v>
      </c>
      <c r="F20" s="13">
        <f>(E20*(1+D20))/(0.136-D20)</f>
        <v>17.586206896551722</v>
      </c>
    </row>
    <row r="21" spans="2:6" x14ac:dyDescent="0.75">
      <c r="F21" s="13"/>
    </row>
    <row r="22" spans="2:6" x14ac:dyDescent="0.75">
      <c r="C22" s="25" t="s">
        <v>188</v>
      </c>
      <c r="D22" s="25"/>
      <c r="E22" s="25"/>
      <c r="F22" s="25"/>
    </row>
    <row r="23" spans="2:6" x14ac:dyDescent="0.75">
      <c r="D23" s="17"/>
      <c r="F23" s="13"/>
    </row>
    <row r="24" spans="2:6" x14ac:dyDescent="0.75">
      <c r="C24" s="6" t="s">
        <v>189</v>
      </c>
      <c r="D24" s="6">
        <f>F20* 383</f>
        <v>6735.5172413793098</v>
      </c>
      <c r="E24" s="6" t="s">
        <v>38</v>
      </c>
      <c r="F24" s="13" t="s">
        <v>168</v>
      </c>
    </row>
    <row r="25" spans="2:6" x14ac:dyDescent="0.75">
      <c r="D25" s="2"/>
      <c r="F25" s="13"/>
    </row>
  </sheetData>
  <mergeCells count="1">
    <mergeCell ref="C22:F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06CA-74F0-44D5-9915-6E2A00BD9C70}">
  <dimension ref="A4:M51"/>
  <sheetViews>
    <sheetView topLeftCell="A37" zoomScale="92" zoomScaleNormal="92" workbookViewId="0">
      <selection activeCell="J41" sqref="J41"/>
    </sheetView>
  </sheetViews>
  <sheetFormatPr defaultRowHeight="14.75" x14ac:dyDescent="0.75"/>
  <cols>
    <col min="1" max="1" width="32.58984375" customWidth="1"/>
    <col min="2" max="2" width="15.36328125" customWidth="1"/>
    <col min="3" max="3" width="14.953125" customWidth="1"/>
    <col min="4" max="4" width="13.86328125" customWidth="1"/>
    <col min="5" max="5" width="12.40625" customWidth="1"/>
    <col min="6" max="6" width="14.36328125" customWidth="1"/>
    <col min="7" max="7" width="13.90625" customWidth="1"/>
    <col min="8" max="8" width="13.04296875" customWidth="1"/>
    <col min="9" max="9" width="13.08984375" customWidth="1"/>
    <col min="10" max="10" width="13.31640625" customWidth="1"/>
    <col min="11" max="11" width="14.81640625" customWidth="1"/>
    <col min="12" max="12" width="15.26953125" customWidth="1"/>
    <col min="13" max="13" width="15.76953125" customWidth="1"/>
  </cols>
  <sheetData>
    <row r="4" spans="1:7" x14ac:dyDescent="0.75">
      <c r="A4" s="8" t="s">
        <v>6</v>
      </c>
      <c r="B4" s="4">
        <v>43525</v>
      </c>
      <c r="C4" s="4">
        <v>43891</v>
      </c>
      <c r="D4" s="4">
        <v>44256</v>
      </c>
      <c r="E4" s="4">
        <v>44621</v>
      </c>
      <c r="F4" s="4">
        <v>44986</v>
      </c>
      <c r="G4" s="4">
        <v>45352</v>
      </c>
    </row>
    <row r="5" spans="1:7" x14ac:dyDescent="0.75">
      <c r="A5" t="s">
        <v>13</v>
      </c>
      <c r="B5" s="1">
        <v>104721</v>
      </c>
      <c r="C5" s="1">
        <v>75382</v>
      </c>
      <c r="D5" s="1">
        <v>74278</v>
      </c>
      <c r="E5" s="1">
        <v>90171</v>
      </c>
      <c r="F5" s="1">
        <v>121269</v>
      </c>
      <c r="G5" s="1">
        <v>139078</v>
      </c>
    </row>
    <row r="6" spans="1:7" x14ac:dyDescent="0.75">
      <c r="A6" t="s">
        <v>14</v>
      </c>
      <c r="B6" s="1">
        <v>89514</v>
      </c>
      <c r="C6" s="1">
        <v>65224</v>
      </c>
      <c r="D6" s="1">
        <v>62791</v>
      </c>
      <c r="E6" s="1">
        <v>75488</v>
      </c>
      <c r="F6" s="1">
        <v>100983</v>
      </c>
      <c r="G6" s="1">
        <v>114186</v>
      </c>
    </row>
    <row r="7" spans="1:7" x14ac:dyDescent="0.75">
      <c r="A7" t="s">
        <v>0</v>
      </c>
      <c r="B7" s="1">
        <v>15207</v>
      </c>
      <c r="C7" s="1">
        <v>10158</v>
      </c>
      <c r="D7" s="1">
        <v>11487</v>
      </c>
      <c r="E7" s="1">
        <v>14683</v>
      </c>
      <c r="F7" s="1">
        <v>20285</v>
      </c>
      <c r="G7" s="1">
        <v>24892</v>
      </c>
    </row>
    <row r="8" spans="1:7" x14ac:dyDescent="0.75">
      <c r="A8" t="s">
        <v>1</v>
      </c>
      <c r="B8" s="2">
        <v>0.15</v>
      </c>
      <c r="C8" s="2">
        <v>0.13</v>
      </c>
      <c r="D8" s="2">
        <v>0.15</v>
      </c>
      <c r="E8" s="2">
        <v>0.16</v>
      </c>
      <c r="F8" s="2">
        <v>0.17</v>
      </c>
      <c r="G8" s="2">
        <v>0.18</v>
      </c>
    </row>
    <row r="9" spans="1:7" x14ac:dyDescent="0.75">
      <c r="A9" s="3" t="s">
        <v>12</v>
      </c>
      <c r="B9" s="1">
        <v>2676</v>
      </c>
      <c r="C9">
        <v>885</v>
      </c>
      <c r="D9" s="1">
        <v>1152</v>
      </c>
      <c r="E9" s="1">
        <v>3204</v>
      </c>
      <c r="F9" s="1">
        <v>3961</v>
      </c>
      <c r="G9" s="1">
        <v>3298</v>
      </c>
    </row>
    <row r="10" spans="1:7" x14ac:dyDescent="0.75">
      <c r="A10" s="3" t="s">
        <v>2</v>
      </c>
      <c r="B10" s="1">
        <v>5021</v>
      </c>
      <c r="C10" s="1">
        <v>6021</v>
      </c>
      <c r="D10" s="1">
        <v>6102</v>
      </c>
      <c r="E10" s="1">
        <v>5018</v>
      </c>
      <c r="F10" s="1">
        <v>5830</v>
      </c>
      <c r="G10" s="1">
        <v>7488</v>
      </c>
    </row>
    <row r="11" spans="1:7" x14ac:dyDescent="0.75">
      <c r="A11" s="3" t="s">
        <v>3</v>
      </c>
      <c r="B11" s="1">
        <v>3991</v>
      </c>
      <c r="C11" s="1">
        <v>3367</v>
      </c>
      <c r="D11" s="1">
        <v>3378</v>
      </c>
      <c r="E11" s="1">
        <v>3508</v>
      </c>
      <c r="F11" s="1">
        <v>4357</v>
      </c>
      <c r="G11" s="1">
        <v>4724</v>
      </c>
    </row>
    <row r="12" spans="1:7" x14ac:dyDescent="0.75">
      <c r="A12" s="3" t="s">
        <v>7</v>
      </c>
      <c r="B12" s="1">
        <v>8871</v>
      </c>
      <c r="C12" s="1">
        <v>1655</v>
      </c>
      <c r="D12" s="1">
        <v>3158</v>
      </c>
      <c r="E12" s="1">
        <v>9362</v>
      </c>
      <c r="F12" s="1">
        <v>14060</v>
      </c>
      <c r="G12" s="1">
        <v>15978</v>
      </c>
    </row>
    <row r="13" spans="1:7" x14ac:dyDescent="0.75">
      <c r="A13" t="s">
        <v>9</v>
      </c>
      <c r="B13" s="2">
        <v>0.32</v>
      </c>
      <c r="C13" s="2">
        <v>1.19</v>
      </c>
      <c r="D13" s="2">
        <v>0.52</v>
      </c>
      <c r="E13" s="2">
        <v>0.23</v>
      </c>
      <c r="F13" s="2">
        <v>0.19</v>
      </c>
      <c r="G13" s="2">
        <v>0.23</v>
      </c>
    </row>
    <row r="14" spans="1:7" x14ac:dyDescent="0.75">
      <c r="A14" t="s">
        <v>15</v>
      </c>
      <c r="B14" s="1">
        <v>6017</v>
      </c>
      <c r="C14">
        <v>-321</v>
      </c>
      <c r="D14" s="1">
        <v>1512</v>
      </c>
      <c r="E14" s="1">
        <v>7253</v>
      </c>
      <c r="F14" s="1">
        <v>11374</v>
      </c>
      <c r="G14" s="1">
        <v>12270</v>
      </c>
    </row>
    <row r="15" spans="1:7" x14ac:dyDescent="0.75">
      <c r="A15" t="s">
        <v>4</v>
      </c>
      <c r="B15">
        <v>42.76</v>
      </c>
      <c r="C15">
        <v>1.02</v>
      </c>
      <c r="D15">
        <v>14.58</v>
      </c>
      <c r="E15">
        <v>52.91</v>
      </c>
      <c r="F15">
        <v>82.68</v>
      </c>
      <c r="G15">
        <v>90.62</v>
      </c>
    </row>
    <row r="16" spans="1:7" x14ac:dyDescent="0.75">
      <c r="A16" t="s">
        <v>5</v>
      </c>
      <c r="B16" s="2">
        <v>0.17</v>
      </c>
      <c r="C16" s="2">
        <v>2.0499999999999998</v>
      </c>
      <c r="D16" s="2">
        <v>0.54</v>
      </c>
      <c r="E16" s="2">
        <v>0.2</v>
      </c>
      <c r="F16" s="2">
        <v>0.18</v>
      </c>
      <c r="G16" s="2">
        <v>0.21</v>
      </c>
    </row>
    <row r="18" spans="1:7" x14ac:dyDescent="0.75">
      <c r="A18" t="s">
        <v>8</v>
      </c>
      <c r="B18">
        <f>B12*B13</f>
        <v>2838.7200000000003</v>
      </c>
      <c r="C18">
        <f t="shared" ref="C18:G18" si="0">C12*C13</f>
        <v>1969.4499999999998</v>
      </c>
      <c r="D18">
        <f t="shared" si="0"/>
        <v>1642.16</v>
      </c>
      <c r="E18">
        <f t="shared" si="0"/>
        <v>2153.2600000000002</v>
      </c>
      <c r="F18">
        <f t="shared" si="0"/>
        <v>2671.4</v>
      </c>
      <c r="G18">
        <f t="shared" si="0"/>
        <v>3674.94</v>
      </c>
    </row>
    <row r="20" spans="1:7" x14ac:dyDescent="0.75">
      <c r="A20" s="7" t="s">
        <v>25</v>
      </c>
    </row>
    <row r="21" spans="1:7" x14ac:dyDescent="0.75">
      <c r="A21" t="s">
        <v>23</v>
      </c>
      <c r="B21" s="1">
        <v>-7340</v>
      </c>
      <c r="C21" s="1">
        <v>-6896</v>
      </c>
      <c r="D21" s="1">
        <v>-5989</v>
      </c>
      <c r="E21" s="1">
        <v>-6040</v>
      </c>
      <c r="F21" s="1">
        <v>-6305</v>
      </c>
      <c r="G21" s="1">
        <v>-9946</v>
      </c>
    </row>
    <row r="22" spans="1:7" x14ac:dyDescent="0.75">
      <c r="A22" t="s">
        <v>24</v>
      </c>
      <c r="B22">
        <v>142</v>
      </c>
      <c r="C22">
        <v>102</v>
      </c>
      <c r="D22" s="1">
        <v>1364</v>
      </c>
      <c r="E22">
        <v>120</v>
      </c>
      <c r="F22">
        <v>138</v>
      </c>
      <c r="G22">
        <v>273</v>
      </c>
    </row>
    <row r="23" spans="1:7" x14ac:dyDescent="0.75">
      <c r="A23" s="3" t="s">
        <v>26</v>
      </c>
      <c r="B23" s="1">
        <f>B21+B22</f>
        <v>-7198</v>
      </c>
      <c r="C23" s="1">
        <f t="shared" ref="C23:G23" si="1">C21+C22</f>
        <v>-6794</v>
      </c>
      <c r="D23" s="1">
        <f t="shared" si="1"/>
        <v>-4625</v>
      </c>
      <c r="E23" s="1">
        <f t="shared" si="1"/>
        <v>-5920</v>
      </c>
      <c r="F23" s="1">
        <f t="shared" si="1"/>
        <v>-6167</v>
      </c>
      <c r="G23" s="1">
        <f t="shared" si="1"/>
        <v>-9673</v>
      </c>
    </row>
    <row r="24" spans="1:7" x14ac:dyDescent="0.75">
      <c r="A24" s="3" t="s">
        <v>27</v>
      </c>
      <c r="B24" s="1">
        <v>-12522</v>
      </c>
      <c r="C24" s="1">
        <v>-6974</v>
      </c>
      <c r="D24" s="1">
        <v>12171</v>
      </c>
      <c r="E24">
        <v>293</v>
      </c>
      <c r="F24" s="1">
        <v>-19941</v>
      </c>
      <c r="G24" s="1">
        <v>-19175</v>
      </c>
    </row>
    <row r="27" spans="1:7" x14ac:dyDescent="0.75">
      <c r="A27" s="7" t="s">
        <v>10</v>
      </c>
    </row>
    <row r="28" spans="1:7" x14ac:dyDescent="0.75">
      <c r="A28" t="s">
        <v>11</v>
      </c>
      <c r="B28" s="1">
        <f>B12</f>
        <v>8871</v>
      </c>
      <c r="C28" s="1">
        <f t="shared" ref="C28:G28" si="2">C12</f>
        <v>1655</v>
      </c>
      <c r="D28" s="1">
        <f t="shared" si="2"/>
        <v>3158</v>
      </c>
      <c r="E28" s="1">
        <f t="shared" si="2"/>
        <v>9362</v>
      </c>
      <c r="F28" s="1">
        <f t="shared" si="2"/>
        <v>14060</v>
      </c>
      <c r="G28" s="1">
        <f t="shared" si="2"/>
        <v>15978</v>
      </c>
    </row>
    <row r="29" spans="1:7" x14ac:dyDescent="0.75">
      <c r="A29" t="s">
        <v>22</v>
      </c>
      <c r="B29" s="1">
        <f>B9</f>
        <v>2676</v>
      </c>
      <c r="C29" s="1">
        <f t="shared" ref="C29:G29" si="3">C9</f>
        <v>885</v>
      </c>
      <c r="D29" s="1">
        <f t="shared" si="3"/>
        <v>1152</v>
      </c>
      <c r="E29" s="1">
        <f t="shared" si="3"/>
        <v>3204</v>
      </c>
      <c r="F29" s="1">
        <f t="shared" si="3"/>
        <v>3961</v>
      </c>
      <c r="G29" s="1">
        <f t="shared" si="3"/>
        <v>3298</v>
      </c>
    </row>
    <row r="30" spans="1:7" x14ac:dyDescent="0.75">
      <c r="A30" t="s">
        <v>16</v>
      </c>
      <c r="B30" s="1">
        <f>B10</f>
        <v>5021</v>
      </c>
      <c r="C30" s="1">
        <f t="shared" ref="C30:G30" si="4">C10</f>
        <v>6021</v>
      </c>
      <c r="D30" s="1">
        <f t="shared" si="4"/>
        <v>6102</v>
      </c>
      <c r="E30" s="1">
        <f t="shared" si="4"/>
        <v>5018</v>
      </c>
      <c r="F30" s="1">
        <f t="shared" si="4"/>
        <v>5830</v>
      </c>
      <c r="G30" s="1">
        <f t="shared" si="4"/>
        <v>7488</v>
      </c>
    </row>
    <row r="31" spans="1:7" x14ac:dyDescent="0.75">
      <c r="A31" s="3" t="s">
        <v>17</v>
      </c>
      <c r="B31" s="1">
        <f>B28-(B29)+B30</f>
        <v>11216</v>
      </c>
      <c r="C31" s="1">
        <f t="shared" ref="C31:G31" si="5">C28-(C29)+C30</f>
        <v>6791</v>
      </c>
      <c r="D31" s="1">
        <f t="shared" si="5"/>
        <v>8108</v>
      </c>
      <c r="E31" s="1">
        <f t="shared" si="5"/>
        <v>11176</v>
      </c>
      <c r="F31" s="1">
        <f t="shared" si="5"/>
        <v>15929</v>
      </c>
      <c r="G31" s="1">
        <f t="shared" si="5"/>
        <v>20168</v>
      </c>
    </row>
    <row r="33" spans="1:13" x14ac:dyDescent="0.75">
      <c r="A33" t="s">
        <v>18</v>
      </c>
      <c r="B33">
        <f>B18</f>
        <v>2838.7200000000003</v>
      </c>
      <c r="C33">
        <f t="shared" ref="C33:G33" si="6">C18</f>
        <v>1969.4499999999998</v>
      </c>
      <c r="D33">
        <f t="shared" si="6"/>
        <v>1642.16</v>
      </c>
      <c r="E33">
        <f t="shared" si="6"/>
        <v>2153.2600000000002</v>
      </c>
      <c r="F33">
        <f t="shared" si="6"/>
        <v>2671.4</v>
      </c>
      <c r="G33">
        <f t="shared" si="6"/>
        <v>3674.94</v>
      </c>
    </row>
    <row r="34" spans="1:13" x14ac:dyDescent="0.75">
      <c r="A34" t="s">
        <v>21</v>
      </c>
      <c r="B34">
        <f>B9*B13</f>
        <v>856.32</v>
      </c>
      <c r="C34">
        <f t="shared" ref="C34:G34" si="7">C9*C13</f>
        <v>1053.1499999999999</v>
      </c>
      <c r="D34">
        <f t="shared" si="7"/>
        <v>599.04</v>
      </c>
      <c r="E34">
        <f t="shared" si="7"/>
        <v>736.92000000000007</v>
      </c>
      <c r="F34">
        <f t="shared" si="7"/>
        <v>752.59</v>
      </c>
      <c r="G34">
        <f t="shared" si="7"/>
        <v>758.54000000000008</v>
      </c>
    </row>
    <row r="35" spans="1:13" x14ac:dyDescent="0.75">
      <c r="A35" t="s">
        <v>19</v>
      </c>
      <c r="B35">
        <f>B10*B13</f>
        <v>1606.72</v>
      </c>
      <c r="C35">
        <f t="shared" ref="C35:G35" si="8">C10*C13</f>
        <v>7164.99</v>
      </c>
      <c r="D35">
        <f t="shared" si="8"/>
        <v>3173.04</v>
      </c>
      <c r="E35">
        <f t="shared" si="8"/>
        <v>1154.1400000000001</v>
      </c>
      <c r="F35">
        <f t="shared" si="8"/>
        <v>1107.7</v>
      </c>
      <c r="G35">
        <f t="shared" si="8"/>
        <v>1722.24</v>
      </c>
    </row>
    <row r="36" spans="1:13" x14ac:dyDescent="0.75">
      <c r="A36" s="3" t="s">
        <v>20</v>
      </c>
      <c r="B36">
        <f>B33-(B34)+B35</f>
        <v>3589.12</v>
      </c>
      <c r="C36">
        <f t="shared" ref="C36:G36" si="9">C33-(C34)+C35</f>
        <v>8081.29</v>
      </c>
      <c r="D36">
        <f t="shared" si="9"/>
        <v>4216.16</v>
      </c>
      <c r="E36">
        <f t="shared" si="9"/>
        <v>2570.4800000000005</v>
      </c>
      <c r="F36">
        <f t="shared" si="9"/>
        <v>3026.51</v>
      </c>
      <c r="G36">
        <f t="shared" si="9"/>
        <v>4638.6400000000003</v>
      </c>
    </row>
    <row r="38" spans="1:13" x14ac:dyDescent="0.75">
      <c r="A38" s="7" t="s">
        <v>10</v>
      </c>
      <c r="B38" s="9">
        <f>B31-B36</f>
        <v>7626.88</v>
      </c>
      <c r="C38" s="9">
        <f t="shared" ref="C38:G38" si="10">C31-C36</f>
        <v>-1290.29</v>
      </c>
      <c r="D38" s="9">
        <f t="shared" si="10"/>
        <v>3891.84</v>
      </c>
      <c r="E38" s="9">
        <f t="shared" si="10"/>
        <v>8605.52</v>
      </c>
      <c r="F38" s="9">
        <f t="shared" si="10"/>
        <v>12902.49</v>
      </c>
      <c r="G38" s="9">
        <f t="shared" si="10"/>
        <v>15529.36</v>
      </c>
    </row>
    <row r="40" spans="1:13" x14ac:dyDescent="0.75">
      <c r="A40" s="3" t="s">
        <v>28</v>
      </c>
    </row>
    <row r="41" spans="1:13" x14ac:dyDescent="0.75">
      <c r="A41" t="s">
        <v>10</v>
      </c>
      <c r="B41" s="1">
        <f>B38</f>
        <v>7626.88</v>
      </c>
      <c r="C41" s="1">
        <f t="shared" ref="C41:G41" si="11">C38</f>
        <v>-1290.29</v>
      </c>
      <c r="D41" s="1">
        <f t="shared" si="11"/>
        <v>3891.84</v>
      </c>
      <c r="E41" s="1">
        <f t="shared" si="11"/>
        <v>8605.52</v>
      </c>
      <c r="F41" s="1">
        <f t="shared" si="11"/>
        <v>12902.49</v>
      </c>
      <c r="G41" s="1">
        <f t="shared" si="11"/>
        <v>15529.36</v>
      </c>
    </row>
    <row r="42" spans="1:13" x14ac:dyDescent="0.75">
      <c r="A42" t="s">
        <v>29</v>
      </c>
      <c r="B42" s="1">
        <f>B11</f>
        <v>3991</v>
      </c>
      <c r="C42" s="1">
        <f t="shared" ref="C42:G42" si="12">C11</f>
        <v>3367</v>
      </c>
      <c r="D42" s="1">
        <f t="shared" si="12"/>
        <v>3378</v>
      </c>
      <c r="E42" s="1">
        <f t="shared" si="12"/>
        <v>3508</v>
      </c>
      <c r="F42" s="1">
        <f t="shared" si="12"/>
        <v>4357</v>
      </c>
      <c r="G42" s="1">
        <f t="shared" si="12"/>
        <v>4724</v>
      </c>
    </row>
    <row r="43" spans="1:13" x14ac:dyDescent="0.75">
      <c r="A43" t="s">
        <v>30</v>
      </c>
      <c r="B43" s="1">
        <f>B23</f>
        <v>-7198</v>
      </c>
      <c r="C43" s="1">
        <f t="shared" ref="C43:G43" si="13">C23</f>
        <v>-6794</v>
      </c>
      <c r="D43" s="1">
        <f t="shared" si="13"/>
        <v>-4625</v>
      </c>
      <c r="E43" s="1">
        <f t="shared" si="13"/>
        <v>-5920</v>
      </c>
      <c r="F43" s="1">
        <f t="shared" si="13"/>
        <v>-6167</v>
      </c>
      <c r="G43" s="1">
        <f t="shared" si="13"/>
        <v>-9673</v>
      </c>
    </row>
    <row r="44" spans="1:13" x14ac:dyDescent="0.75">
      <c r="A44" t="s">
        <v>31</v>
      </c>
      <c r="B44" s="1">
        <f>B24</f>
        <v>-12522</v>
      </c>
      <c r="C44" s="1">
        <f t="shared" ref="C44:G44" si="14">C24</f>
        <v>-6974</v>
      </c>
      <c r="D44" s="1">
        <f t="shared" si="14"/>
        <v>12171</v>
      </c>
      <c r="E44" s="1">
        <f t="shared" si="14"/>
        <v>293</v>
      </c>
      <c r="F44" s="1">
        <f t="shared" si="14"/>
        <v>-19941</v>
      </c>
      <c r="G44" s="1">
        <f t="shared" si="14"/>
        <v>-19175</v>
      </c>
      <c r="H44" s="4">
        <v>45717</v>
      </c>
      <c r="I44" s="4">
        <v>46082</v>
      </c>
      <c r="J44" s="4">
        <v>46447</v>
      </c>
      <c r="K44" s="4">
        <v>46813</v>
      </c>
      <c r="L44" s="4">
        <v>47178</v>
      </c>
      <c r="M44" s="4" t="s">
        <v>33</v>
      </c>
    </row>
    <row r="45" spans="1:13" x14ac:dyDescent="0.75">
      <c r="A45" s="6" t="s">
        <v>32</v>
      </c>
      <c r="B45" s="9">
        <f>SUM(B41,B42,B43,B44)</f>
        <v>-8102.119999999999</v>
      </c>
      <c r="C45" s="9">
        <f t="shared" ref="C45:G45" si="15">SUM(C41,C42,C43,C44)</f>
        <v>-11691.29</v>
      </c>
      <c r="D45" s="9">
        <f t="shared" si="15"/>
        <v>14815.84</v>
      </c>
      <c r="E45" s="9">
        <f t="shared" si="15"/>
        <v>6486.52</v>
      </c>
      <c r="F45" s="9">
        <f t="shared" si="15"/>
        <v>-8848.510000000002</v>
      </c>
      <c r="G45" s="9">
        <f t="shared" si="15"/>
        <v>-8594.64</v>
      </c>
      <c r="H45" s="9">
        <f>(G45*1.18%)+G45</f>
        <v>-8696.0567519999986</v>
      </c>
      <c r="I45" s="9">
        <f>(H45*1.18%)+H45</f>
        <v>-8798.6702216735994</v>
      </c>
      <c r="J45" s="6">
        <f>(I45*1.18%)+I45</f>
        <v>-8902.4945302893484</v>
      </c>
      <c r="K45" s="6">
        <f>(J45*1.18%)+J45</f>
        <v>-9007.5439657467632</v>
      </c>
      <c r="L45" s="9">
        <f>(K45*1.18%)+K45</f>
        <v>-9113.8329845425742</v>
      </c>
      <c r="M45" s="9">
        <f>(L45*8%)+L45</f>
        <v>-9842.9396233059797</v>
      </c>
    </row>
    <row r="46" spans="1:13" x14ac:dyDescent="0.75">
      <c r="A46" t="s">
        <v>34</v>
      </c>
      <c r="H46">
        <v>-7985</v>
      </c>
      <c r="I46">
        <v>-7420</v>
      </c>
      <c r="J46">
        <v>-6893</v>
      </c>
      <c r="K46">
        <v>-6405</v>
      </c>
      <c r="L46">
        <v>-5950</v>
      </c>
      <c r="M46">
        <v>-707331</v>
      </c>
    </row>
    <row r="48" spans="1:13" x14ac:dyDescent="0.75">
      <c r="A48" t="s">
        <v>35</v>
      </c>
      <c r="B48">
        <f>H46+I46+J46+K46+L46+M46</f>
        <v>-741984</v>
      </c>
    </row>
    <row r="49" spans="1:3" x14ac:dyDescent="0.75">
      <c r="A49" t="s">
        <v>36</v>
      </c>
      <c r="B49">
        <f>B48+35208</f>
        <v>-706776</v>
      </c>
      <c r="C49" t="s">
        <v>44</v>
      </c>
    </row>
    <row r="51" spans="1:3" x14ac:dyDescent="0.75">
      <c r="A51" t="s">
        <v>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F014-CD05-4BB7-90EB-0C90B5C08729}">
  <dimension ref="A4:M21"/>
  <sheetViews>
    <sheetView topLeftCell="B7" zoomScale="90" zoomScaleNormal="90" workbookViewId="0">
      <selection activeCell="F19" sqref="F19:M19"/>
    </sheetView>
  </sheetViews>
  <sheetFormatPr defaultRowHeight="14.75" x14ac:dyDescent="0.75"/>
  <cols>
    <col min="2" max="2" width="16.58984375" customWidth="1"/>
    <col min="3" max="3" width="14.1796875" customWidth="1"/>
    <col min="4" max="4" width="14.86328125" customWidth="1"/>
    <col min="5" max="5" width="13.7265625" customWidth="1"/>
    <col min="6" max="6" width="20.1328125" customWidth="1"/>
    <col min="7" max="7" width="16.90625" customWidth="1"/>
    <col min="9" max="9" width="13.04296875" customWidth="1"/>
    <col min="10" max="10" width="20.7265625" customWidth="1"/>
    <col min="11" max="11" width="10.6328125" customWidth="1"/>
    <col min="12" max="12" width="11.58984375" customWidth="1"/>
  </cols>
  <sheetData>
    <row r="4" spans="1:10" x14ac:dyDescent="0.75">
      <c r="A4" s="3" t="s">
        <v>73</v>
      </c>
      <c r="B4" s="3" t="s">
        <v>50</v>
      </c>
      <c r="C4" s="3" t="s">
        <v>51</v>
      </c>
      <c r="D4" s="3" t="s">
        <v>52</v>
      </c>
      <c r="E4" s="3" t="s">
        <v>94</v>
      </c>
      <c r="F4" s="3" t="s">
        <v>93</v>
      </c>
      <c r="G4" s="3" t="s">
        <v>92</v>
      </c>
      <c r="H4" s="3" t="s">
        <v>54</v>
      </c>
      <c r="I4" s="3" t="s">
        <v>55</v>
      </c>
      <c r="J4" s="3" t="s">
        <v>56</v>
      </c>
    </row>
    <row r="5" spans="1:10" x14ac:dyDescent="0.75">
      <c r="A5">
        <v>1</v>
      </c>
      <c r="B5" t="s">
        <v>74</v>
      </c>
      <c r="C5">
        <v>10861.45</v>
      </c>
      <c r="D5">
        <v>14021.3</v>
      </c>
      <c r="E5">
        <v>2834.77</v>
      </c>
      <c r="F5">
        <v>341486.78</v>
      </c>
      <c r="G5">
        <v>141858.20000000001</v>
      </c>
      <c r="H5">
        <f>F5/D5</f>
        <v>24.354858679295077</v>
      </c>
      <c r="I5">
        <f>C5/E5</f>
        <v>3.8315101401524641</v>
      </c>
      <c r="J5">
        <f>F5/G5</f>
        <v>2.4072403287226258</v>
      </c>
    </row>
    <row r="6" spans="1:10" x14ac:dyDescent="0.75">
      <c r="A6">
        <v>2</v>
      </c>
      <c r="B6" t="s">
        <v>75</v>
      </c>
      <c r="C6">
        <v>1825.55</v>
      </c>
      <c r="D6">
        <v>5950.01</v>
      </c>
      <c r="F6">
        <v>148333.44</v>
      </c>
      <c r="G6">
        <v>68538.61</v>
      </c>
      <c r="H6">
        <f t="shared" ref="H6:H9" si="0">F6/D6</f>
        <v>24.929948016894087</v>
      </c>
      <c r="J6">
        <f t="shared" ref="J6:J9" si="1">F6/G6</f>
        <v>2.1642318103620717</v>
      </c>
    </row>
    <row r="7" spans="1:10" x14ac:dyDescent="0.75">
      <c r="A7">
        <v>3</v>
      </c>
      <c r="B7" t="s">
        <v>76</v>
      </c>
      <c r="C7">
        <v>99.3</v>
      </c>
      <c r="D7">
        <v>2.85</v>
      </c>
      <c r="E7">
        <v>4.53</v>
      </c>
      <c r="F7">
        <v>1743.19</v>
      </c>
      <c r="G7">
        <v>22.02</v>
      </c>
      <c r="H7">
        <f t="shared" si="0"/>
        <v>611.64561403508776</v>
      </c>
      <c r="I7">
        <f t="shared" ref="I7:I9" si="2">C7/E7</f>
        <v>21.920529801324502</v>
      </c>
      <c r="J7">
        <f t="shared" si="1"/>
        <v>79.163941871026339</v>
      </c>
    </row>
    <row r="8" spans="1:10" x14ac:dyDescent="0.75">
      <c r="A8">
        <v>4</v>
      </c>
      <c r="B8" t="s">
        <v>77</v>
      </c>
      <c r="C8">
        <v>21.8</v>
      </c>
      <c r="D8">
        <v>40.26</v>
      </c>
      <c r="E8">
        <v>1.4</v>
      </c>
      <c r="F8">
        <v>454.88</v>
      </c>
      <c r="G8">
        <v>3.25</v>
      </c>
      <c r="H8">
        <f t="shared" si="0"/>
        <v>11.298559364133135</v>
      </c>
      <c r="I8">
        <f t="shared" si="2"/>
        <v>15.571428571428573</v>
      </c>
      <c r="J8">
        <f t="shared" si="1"/>
        <v>139.96307692307693</v>
      </c>
    </row>
    <row r="9" spans="1:10" x14ac:dyDescent="0.75">
      <c r="A9">
        <v>5</v>
      </c>
      <c r="B9" t="s">
        <v>78</v>
      </c>
      <c r="C9">
        <v>4767.8500000000004</v>
      </c>
      <c r="D9">
        <v>4122.05</v>
      </c>
      <c r="E9">
        <v>950.62</v>
      </c>
      <c r="F9">
        <v>95356.78</v>
      </c>
      <c r="G9">
        <v>37788.620000000003</v>
      </c>
      <c r="H9">
        <f t="shared" si="0"/>
        <v>23.133338993947184</v>
      </c>
      <c r="I9">
        <f t="shared" si="2"/>
        <v>5.0155161894342646</v>
      </c>
      <c r="J9">
        <f t="shared" si="1"/>
        <v>2.5234258356087094</v>
      </c>
    </row>
    <row r="12" spans="1:10" x14ac:dyDescent="0.75">
      <c r="G12" s="14" t="s">
        <v>57</v>
      </c>
      <c r="H12" s="14">
        <f>AVERAGE(H5:H9)</f>
        <v>139.07246381787144</v>
      </c>
      <c r="I12" s="14">
        <f t="shared" ref="I12:J12" si="3">AVERAGE(I5:I9)</f>
        <v>11.58474617558495</v>
      </c>
      <c r="J12" s="14">
        <f t="shared" si="3"/>
        <v>45.244383353759339</v>
      </c>
    </row>
    <row r="13" spans="1:10" x14ac:dyDescent="0.75">
      <c r="G13" t="s">
        <v>58</v>
      </c>
      <c r="H13">
        <f>MEDIAN(H5:H9)</f>
        <v>24.354858679295077</v>
      </c>
      <c r="I13">
        <f t="shared" ref="I13:J13" si="4">MEDIAN(I5:I9)</f>
        <v>10.293472380431417</v>
      </c>
      <c r="J13">
        <f t="shared" si="4"/>
        <v>2.5234258356087094</v>
      </c>
    </row>
    <row r="15" spans="1:10" x14ac:dyDescent="0.75">
      <c r="F15" t="s">
        <v>59</v>
      </c>
      <c r="G15" s="3" t="s">
        <v>72</v>
      </c>
      <c r="H15" s="3" t="s">
        <v>61</v>
      </c>
      <c r="I15" s="3" t="s">
        <v>62</v>
      </c>
      <c r="J15" s="3" t="s">
        <v>63</v>
      </c>
    </row>
    <row r="16" spans="1:10" x14ac:dyDescent="0.75">
      <c r="F16" t="s">
        <v>79</v>
      </c>
      <c r="H16">
        <v>11865.83</v>
      </c>
      <c r="I16">
        <v>566.95000000000005</v>
      </c>
      <c r="J16">
        <v>139078.26999999999</v>
      </c>
    </row>
    <row r="18" spans="6:13" ht="59" x14ac:dyDescent="0.75">
      <c r="F18" s="10"/>
      <c r="G18" s="19" t="s">
        <v>86</v>
      </c>
      <c r="H18" s="19"/>
      <c r="I18" s="19"/>
      <c r="J18" s="11" t="s">
        <v>64</v>
      </c>
      <c r="K18" s="12" t="s">
        <v>65</v>
      </c>
      <c r="L18" s="12" t="s">
        <v>66</v>
      </c>
      <c r="M18" s="12" t="s">
        <v>67</v>
      </c>
    </row>
    <row r="19" spans="6:13" ht="29.5" x14ac:dyDescent="0.75">
      <c r="F19" s="12" t="s">
        <v>190</v>
      </c>
      <c r="G19" s="18" t="s">
        <v>183</v>
      </c>
      <c r="H19" s="18" t="s">
        <v>184</v>
      </c>
      <c r="I19" s="18" t="s">
        <v>185</v>
      </c>
      <c r="J19" s="11"/>
      <c r="K19" s="12"/>
      <c r="L19" s="12"/>
      <c r="M19" s="12"/>
    </row>
    <row r="20" spans="6:13" x14ac:dyDescent="0.75">
      <c r="F20" s="22" t="s">
        <v>68</v>
      </c>
      <c r="G20" s="23">
        <f>H12*H16</f>
        <v>1650210.2133440133</v>
      </c>
      <c r="H20" s="23">
        <f t="shared" ref="H20:I20" si="5">I12*I16</f>
        <v>6567.9718442478879</v>
      </c>
      <c r="I20" s="23">
        <f t="shared" si="5"/>
        <v>6292510.5640576463</v>
      </c>
      <c r="J20" s="22" t="s">
        <v>81</v>
      </c>
      <c r="K20" s="23">
        <f>AVERAGE(G20:I20)</f>
        <v>2649762.9164153025</v>
      </c>
      <c r="L20" s="23">
        <v>111</v>
      </c>
      <c r="M20" s="22">
        <f>K20/L20</f>
        <v>23871.737985723445</v>
      </c>
    </row>
    <row r="21" spans="6:13" x14ac:dyDescent="0.75">
      <c r="F21" s="22" t="s">
        <v>70</v>
      </c>
      <c r="G21" s="23">
        <f>H13*H16</f>
        <v>288990.61276253988</v>
      </c>
      <c r="H21" s="23">
        <f t="shared" ref="H21:I21" si="6">I13*I16</f>
        <v>5835.8841660855924</v>
      </c>
      <c r="I21" s="23">
        <f t="shared" si="6"/>
        <v>350953.69968976366</v>
      </c>
      <c r="J21" s="22" t="s">
        <v>80</v>
      </c>
      <c r="K21" s="23">
        <f>AVERAGE(G21:I21)</f>
        <v>215260.06553946304</v>
      </c>
      <c r="L21" s="22">
        <v>111</v>
      </c>
      <c r="M21" s="22">
        <f>K21/L21</f>
        <v>1939.2798697248923</v>
      </c>
    </row>
  </sheetData>
  <mergeCells count="1">
    <mergeCell ref="G18:I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F042-4A3E-4617-ACE2-88911C7C8AA6}">
  <dimension ref="A4:J23"/>
  <sheetViews>
    <sheetView topLeftCell="B5" zoomScale="86" zoomScaleNormal="86" workbookViewId="0">
      <selection activeCell="G21" sqref="G21"/>
    </sheetView>
  </sheetViews>
  <sheetFormatPr defaultRowHeight="14.75" x14ac:dyDescent="0.75"/>
  <cols>
    <col min="2" max="2" width="20.54296875" customWidth="1"/>
    <col min="3" max="3" width="14.5" customWidth="1"/>
    <col min="4" max="4" width="15.26953125" customWidth="1"/>
    <col min="5" max="5" width="25.7265625" customWidth="1"/>
    <col min="6" max="6" width="17.36328125" customWidth="1"/>
    <col min="7" max="7" width="16.953125" customWidth="1"/>
    <col min="8" max="8" width="16" customWidth="1"/>
    <col min="9" max="9" width="15.6796875" customWidth="1"/>
    <col min="10" max="10" width="16.76953125" customWidth="1"/>
  </cols>
  <sheetData>
    <row r="4" spans="1:10" x14ac:dyDescent="0.75">
      <c r="A4" s="3" t="s">
        <v>97</v>
      </c>
      <c r="B4" s="3" t="s">
        <v>50</v>
      </c>
      <c r="C4" s="3" t="s">
        <v>51</v>
      </c>
      <c r="D4" s="3" t="s">
        <v>90</v>
      </c>
      <c r="E4" s="3" t="s">
        <v>99</v>
      </c>
      <c r="F4" s="3" t="s">
        <v>91</v>
      </c>
      <c r="G4" s="3" t="s">
        <v>89</v>
      </c>
      <c r="H4" s="15" t="s">
        <v>98</v>
      </c>
      <c r="I4" s="3" t="s">
        <v>100</v>
      </c>
      <c r="J4" s="3" t="s">
        <v>101</v>
      </c>
    </row>
    <row r="5" spans="1:10" x14ac:dyDescent="0.75">
      <c r="A5">
        <v>1</v>
      </c>
      <c r="B5" t="s">
        <v>74</v>
      </c>
      <c r="C5">
        <v>10861.45</v>
      </c>
      <c r="D5">
        <v>341486.78</v>
      </c>
      <c r="E5">
        <v>340470.16</v>
      </c>
      <c r="F5">
        <v>2834.77</v>
      </c>
      <c r="G5">
        <v>141858.20000000001</v>
      </c>
      <c r="H5">
        <v>13.75</v>
      </c>
      <c r="I5">
        <f>E5/F5</f>
        <v>120.10503850400561</v>
      </c>
      <c r="J5">
        <f>E5/G5</f>
        <v>2.4000738765894387</v>
      </c>
    </row>
    <row r="6" spans="1:10" x14ac:dyDescent="0.75">
      <c r="A6">
        <v>2</v>
      </c>
      <c r="B6" t="s">
        <v>112</v>
      </c>
      <c r="C6">
        <v>2373.0500000000002</v>
      </c>
      <c r="D6">
        <v>112743.62</v>
      </c>
      <c r="E6">
        <v>123792.62</v>
      </c>
      <c r="F6">
        <v>163.32</v>
      </c>
      <c r="G6">
        <v>39144.74</v>
      </c>
      <c r="H6">
        <v>20.420000000000002</v>
      </c>
      <c r="I6">
        <f>E6/F6</f>
        <v>757.97587558168016</v>
      </c>
      <c r="J6">
        <f t="shared" ref="J6:J9" si="0">E6/G6</f>
        <v>3.1624330625264085</v>
      </c>
    </row>
    <row r="7" spans="1:10" x14ac:dyDescent="0.75">
      <c r="A7">
        <v>3</v>
      </c>
      <c r="B7" t="s">
        <v>76</v>
      </c>
      <c r="C7">
        <v>99.3</v>
      </c>
      <c r="D7">
        <v>1743.19</v>
      </c>
      <c r="E7">
        <v>1828.38</v>
      </c>
      <c r="F7">
        <v>4.53</v>
      </c>
      <c r="G7">
        <v>22.02</v>
      </c>
      <c r="H7">
        <v>391.52</v>
      </c>
      <c r="I7">
        <f t="shared" ref="I7:I9" si="1">E7/F7</f>
        <v>403.61589403973511</v>
      </c>
      <c r="J7">
        <f t="shared" si="0"/>
        <v>83.032697547683924</v>
      </c>
    </row>
    <row r="8" spans="1:10" x14ac:dyDescent="0.75">
      <c r="A8">
        <v>4</v>
      </c>
      <c r="B8" t="s">
        <v>77</v>
      </c>
      <c r="C8">
        <v>21.8</v>
      </c>
      <c r="D8">
        <v>454.88</v>
      </c>
      <c r="E8">
        <v>428.16</v>
      </c>
      <c r="F8">
        <v>1.4</v>
      </c>
      <c r="G8">
        <v>3.25</v>
      </c>
      <c r="H8">
        <v>10.1</v>
      </c>
      <c r="I8">
        <f t="shared" si="1"/>
        <v>305.82857142857148</v>
      </c>
      <c r="J8">
        <f t="shared" si="0"/>
        <v>131.74153846153848</v>
      </c>
    </row>
    <row r="9" spans="1:10" x14ac:dyDescent="0.75">
      <c r="A9">
        <v>5</v>
      </c>
      <c r="B9" t="s">
        <v>78</v>
      </c>
      <c r="C9">
        <v>4767.8500000000004</v>
      </c>
      <c r="D9">
        <v>95356.78</v>
      </c>
      <c r="E9">
        <v>95588.65</v>
      </c>
      <c r="F9">
        <v>950.62</v>
      </c>
      <c r="G9">
        <v>37788.620000000003</v>
      </c>
      <c r="H9">
        <v>14.73</v>
      </c>
      <c r="I9">
        <f t="shared" si="1"/>
        <v>100.5540068586817</v>
      </c>
      <c r="J9">
        <f t="shared" si="0"/>
        <v>2.5295618098782118</v>
      </c>
    </row>
    <row r="11" spans="1:10" x14ac:dyDescent="0.75">
      <c r="G11" s="6" t="s">
        <v>102</v>
      </c>
      <c r="H11" s="6">
        <f>AVERAGE(H5:H10)</f>
        <v>90.104000000000013</v>
      </c>
      <c r="I11" s="6">
        <f t="shared" ref="I11:J11" si="2">AVERAGE(I5:I10)</f>
        <v>337.61587728253483</v>
      </c>
      <c r="J11" s="6">
        <f t="shared" si="2"/>
        <v>44.573260951643292</v>
      </c>
    </row>
    <row r="12" spans="1:10" x14ac:dyDescent="0.75">
      <c r="G12" t="s">
        <v>103</v>
      </c>
      <c r="H12">
        <f>MEDIAN(H5:H9)</f>
        <v>14.73</v>
      </c>
      <c r="I12">
        <f t="shared" ref="I12:J12" si="3">MEDIAN(I5:I9)</f>
        <v>305.82857142857148</v>
      </c>
      <c r="J12">
        <f t="shared" si="3"/>
        <v>3.1624330625264085</v>
      </c>
    </row>
    <row r="14" spans="1:10" x14ac:dyDescent="0.75">
      <c r="C14" s="15" t="s">
        <v>106</v>
      </c>
      <c r="D14" s="3" t="s">
        <v>105</v>
      </c>
      <c r="E14" s="3" t="s">
        <v>114</v>
      </c>
    </row>
    <row r="15" spans="1:10" x14ac:dyDescent="0.75">
      <c r="B15" t="s">
        <v>113</v>
      </c>
      <c r="C15">
        <v>30572.5</v>
      </c>
      <c r="D15">
        <v>567</v>
      </c>
      <c r="E15">
        <v>139078.26999999999</v>
      </c>
    </row>
    <row r="16" spans="1:10" x14ac:dyDescent="0.75">
      <c r="G16" s="15" t="s">
        <v>98</v>
      </c>
      <c r="H16" s="3" t="s">
        <v>100</v>
      </c>
      <c r="I16" s="3" t="s">
        <v>101</v>
      </c>
      <c r="J16" s="3" t="s">
        <v>109</v>
      </c>
    </row>
    <row r="17" spans="3:10" x14ac:dyDescent="0.75">
      <c r="F17" s="3" t="s">
        <v>107</v>
      </c>
      <c r="G17">
        <f>H11</f>
        <v>90.104000000000013</v>
      </c>
      <c r="H17">
        <f t="shared" ref="H17:I17" si="4">I11</f>
        <v>337.61587728253483</v>
      </c>
      <c r="I17">
        <f t="shared" si="4"/>
        <v>44.573260951643292</v>
      </c>
    </row>
    <row r="18" spans="3:10" x14ac:dyDescent="0.75">
      <c r="F18" s="3" t="s">
        <v>108</v>
      </c>
      <c r="G18">
        <f>C15*G17</f>
        <v>2754704.5400000005</v>
      </c>
      <c r="H18">
        <f t="shared" ref="H18:I18" si="5">D15*H17</f>
        <v>191428.20241919725</v>
      </c>
      <c r="I18">
        <f t="shared" si="5"/>
        <v>6199172.0214131018</v>
      </c>
      <c r="J18" s="13">
        <f>AVERAGE(G18:I18)</f>
        <v>3048434.9212774332</v>
      </c>
    </row>
    <row r="20" spans="3:10" x14ac:dyDescent="0.75">
      <c r="F20" s="3" t="s">
        <v>103</v>
      </c>
      <c r="G20">
        <f>H12</f>
        <v>14.73</v>
      </c>
      <c r="H20">
        <f t="shared" ref="H20:I20" si="6">I12</f>
        <v>305.82857142857148</v>
      </c>
      <c r="I20">
        <f t="shared" si="6"/>
        <v>3.1624330625264085</v>
      </c>
    </row>
    <row r="21" spans="3:10" x14ac:dyDescent="0.75">
      <c r="F21" s="3" t="s">
        <v>108</v>
      </c>
      <c r="G21">
        <f>C15*G20</f>
        <v>450332.92499999999</v>
      </c>
      <c r="H21">
        <f t="shared" ref="H21:I21" si="7">D15*H20</f>
        <v>173404.80000000002</v>
      </c>
      <c r="I21">
        <f t="shared" si="7"/>
        <v>439825.71932697471</v>
      </c>
      <c r="J21" s="13">
        <f>AVERAGE(G21:I21)</f>
        <v>354521.14810899156</v>
      </c>
    </row>
    <row r="22" spans="3:10" x14ac:dyDescent="0.75">
      <c r="C22" t="s">
        <v>115</v>
      </c>
    </row>
    <row r="23" spans="3:10" x14ac:dyDescent="0.75">
      <c r="C23" t="s">
        <v>116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07A6-E164-490D-A6E5-68C220E7A606}">
  <dimension ref="B6:J31"/>
  <sheetViews>
    <sheetView topLeftCell="A8" zoomScale="70" zoomScaleNormal="70" workbookViewId="0">
      <selection activeCell="F25" sqref="F25"/>
    </sheetView>
  </sheetViews>
  <sheetFormatPr defaultRowHeight="14.75" x14ac:dyDescent="0.75"/>
  <cols>
    <col min="2" max="2" width="51.453125" customWidth="1"/>
    <col min="3" max="3" width="15.6328125" customWidth="1"/>
    <col min="4" max="4" width="16.6328125" customWidth="1"/>
    <col min="5" max="5" width="17.453125" customWidth="1"/>
    <col min="6" max="6" width="17.36328125" customWidth="1"/>
    <col min="7" max="7" width="18.54296875" customWidth="1"/>
  </cols>
  <sheetData>
    <row r="6" spans="2:10" x14ac:dyDescent="0.75">
      <c r="B6" s="6" t="s">
        <v>121</v>
      </c>
    </row>
    <row r="8" spans="2:10" x14ac:dyDescent="0.75">
      <c r="B8" t="s">
        <v>120</v>
      </c>
    </row>
    <row r="10" spans="2:10" x14ac:dyDescent="0.75">
      <c r="B10" t="s">
        <v>122</v>
      </c>
    </row>
    <row r="12" spans="2:10" x14ac:dyDescent="0.75">
      <c r="B12" t="s">
        <v>123</v>
      </c>
      <c r="D12" s="3" t="s">
        <v>133</v>
      </c>
      <c r="E12" s="3" t="s">
        <v>132</v>
      </c>
      <c r="F12" s="3" t="s">
        <v>137</v>
      </c>
      <c r="G12" s="3" t="s">
        <v>136</v>
      </c>
      <c r="H12" s="3" t="s">
        <v>178</v>
      </c>
    </row>
    <row r="13" spans="2:10" x14ac:dyDescent="0.75">
      <c r="B13" t="s">
        <v>126</v>
      </c>
      <c r="D13" t="s">
        <v>129</v>
      </c>
      <c r="E13">
        <v>16.25</v>
      </c>
      <c r="F13">
        <f>E13-E14</f>
        <v>4.6999999999999993</v>
      </c>
      <c r="G13" t="s">
        <v>162</v>
      </c>
      <c r="I13" s="3"/>
      <c r="J13" s="3"/>
    </row>
    <row r="14" spans="2:10" x14ac:dyDescent="0.75">
      <c r="B14" t="s">
        <v>158</v>
      </c>
      <c r="D14" t="s">
        <v>130</v>
      </c>
      <c r="E14">
        <v>11.55</v>
      </c>
      <c r="F14">
        <f t="shared" ref="F14:F15" si="0">E14-E15</f>
        <v>2.8000000000000007</v>
      </c>
      <c r="G14" t="s">
        <v>163</v>
      </c>
    </row>
    <row r="15" spans="2:10" x14ac:dyDescent="0.75">
      <c r="B15" t="s">
        <v>125</v>
      </c>
      <c r="D15" t="s">
        <v>131</v>
      </c>
      <c r="E15">
        <v>8.75</v>
      </c>
      <c r="F15">
        <f t="shared" si="0"/>
        <v>6.4</v>
      </c>
      <c r="G15" t="s">
        <v>164</v>
      </c>
    </row>
    <row r="16" spans="2:10" x14ac:dyDescent="0.75">
      <c r="B16" t="s">
        <v>179</v>
      </c>
      <c r="D16" t="s">
        <v>134</v>
      </c>
      <c r="E16">
        <v>2.35</v>
      </c>
    </row>
    <row r="17" spans="2:7" x14ac:dyDescent="0.75">
      <c r="B17" t="s">
        <v>159</v>
      </c>
    </row>
    <row r="18" spans="2:7" x14ac:dyDescent="0.75">
      <c r="D18" s="7" t="s">
        <v>147</v>
      </c>
      <c r="E18" s="7" t="s">
        <v>146</v>
      </c>
      <c r="F18" s="7" t="s">
        <v>135</v>
      </c>
    </row>
    <row r="19" spans="2:7" x14ac:dyDescent="0.75">
      <c r="B19" t="s">
        <v>160</v>
      </c>
      <c r="C19" t="s">
        <v>151</v>
      </c>
    </row>
    <row r="20" spans="2:7" x14ac:dyDescent="0.75">
      <c r="B20" t="s">
        <v>161</v>
      </c>
      <c r="C20" t="s">
        <v>153</v>
      </c>
      <c r="D20" s="2">
        <v>0.4</v>
      </c>
      <c r="E20">
        <f>E13</f>
        <v>16.25</v>
      </c>
      <c r="F20" s="13">
        <f>(E20*(1+D20))/(12%-D20)</f>
        <v>-81.249999999999986</v>
      </c>
      <c r="G20" t="s">
        <v>154</v>
      </c>
    </row>
    <row r="21" spans="2:7" x14ac:dyDescent="0.75">
      <c r="F21" s="13"/>
    </row>
    <row r="22" spans="2:7" x14ac:dyDescent="0.75">
      <c r="B22" t="s">
        <v>141</v>
      </c>
      <c r="C22" t="s">
        <v>151</v>
      </c>
      <c r="F22" s="13"/>
    </row>
    <row r="23" spans="2:7" x14ac:dyDescent="0.75">
      <c r="B23" t="s">
        <v>142</v>
      </c>
      <c r="C23" t="s">
        <v>152</v>
      </c>
      <c r="D23" s="17">
        <v>0.14199999999999999</v>
      </c>
      <c r="E23">
        <f>E13</f>
        <v>16.25</v>
      </c>
      <c r="F23" s="13">
        <f t="shared" ref="F23:F25" si="1">(E23*(1+D23))/(12%-D23)</f>
        <v>-843.52272727272748</v>
      </c>
    </row>
    <row r="24" spans="2:7" x14ac:dyDescent="0.75">
      <c r="F24" s="13"/>
    </row>
    <row r="25" spans="2:7" x14ac:dyDescent="0.75">
      <c r="B25" t="s">
        <v>149</v>
      </c>
      <c r="C25" t="s">
        <v>181</v>
      </c>
      <c r="D25" s="2">
        <v>0</v>
      </c>
      <c r="E25">
        <f>E13</f>
        <v>16.25</v>
      </c>
      <c r="F25" s="13">
        <f t="shared" si="1"/>
        <v>135.41666666666669</v>
      </c>
    </row>
    <row r="26" spans="2:7" x14ac:dyDescent="0.75">
      <c r="B26" t="s">
        <v>165</v>
      </c>
    </row>
    <row r="27" spans="2:7" x14ac:dyDescent="0.75">
      <c r="B27" t="s">
        <v>166</v>
      </c>
    </row>
    <row r="28" spans="2:7" x14ac:dyDescent="0.75">
      <c r="B28" t="s">
        <v>180</v>
      </c>
    </row>
    <row r="29" spans="2:7" x14ac:dyDescent="0.75">
      <c r="C29" t="s">
        <v>167</v>
      </c>
      <c r="D29" s="2"/>
      <c r="F29" s="13"/>
    </row>
    <row r="31" spans="2:7" x14ac:dyDescent="0.75">
      <c r="C31" s="6" t="s">
        <v>157</v>
      </c>
      <c r="D31" s="6">
        <f>F25*111</f>
        <v>15031.250000000002</v>
      </c>
      <c r="E31" s="6" t="s">
        <v>38</v>
      </c>
      <c r="F31" t="s">
        <v>168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2480-C563-485C-9513-444507EB8E8B}">
  <dimension ref="A5:M52"/>
  <sheetViews>
    <sheetView topLeftCell="A23" zoomScale="58" zoomScaleNormal="58" workbookViewId="0">
      <selection activeCell="K44" sqref="K44"/>
    </sheetView>
  </sheetViews>
  <sheetFormatPr defaultRowHeight="14.75" x14ac:dyDescent="0.75"/>
  <cols>
    <col min="1" max="1" width="32.1796875" customWidth="1"/>
    <col min="2" max="2" width="10.76953125" customWidth="1"/>
    <col min="3" max="3" width="14.1328125" customWidth="1"/>
    <col min="4" max="4" width="15.453125" customWidth="1"/>
    <col min="5" max="5" width="14.81640625" customWidth="1"/>
    <col min="6" max="6" width="11.54296875" customWidth="1"/>
    <col min="7" max="7" width="12.453125" customWidth="1"/>
    <col min="8" max="8" width="13.76953125" customWidth="1"/>
    <col min="9" max="9" width="15.36328125" customWidth="1"/>
    <col min="10" max="10" width="15.1328125" customWidth="1"/>
    <col min="11" max="11" width="12.58984375" customWidth="1"/>
    <col min="12" max="12" width="12.6796875" customWidth="1"/>
    <col min="13" max="13" width="15.7265625" customWidth="1"/>
  </cols>
  <sheetData>
    <row r="5" spans="1:7" x14ac:dyDescent="0.75">
      <c r="A5" s="8" t="s">
        <v>6</v>
      </c>
      <c r="B5" s="4">
        <v>43525</v>
      </c>
      <c r="C5" s="4">
        <v>43891</v>
      </c>
      <c r="D5" s="4">
        <v>44256</v>
      </c>
      <c r="E5" s="4">
        <v>44621</v>
      </c>
      <c r="F5" s="4">
        <v>44986</v>
      </c>
      <c r="G5" s="4">
        <v>45352</v>
      </c>
    </row>
    <row r="6" spans="1:7" x14ac:dyDescent="0.75">
      <c r="A6" t="s">
        <v>13</v>
      </c>
      <c r="B6" s="1">
        <v>86068</v>
      </c>
      <c r="C6" s="1">
        <v>75660</v>
      </c>
      <c r="D6" s="1">
        <v>70372</v>
      </c>
      <c r="E6" s="1">
        <v>88330</v>
      </c>
      <c r="F6" s="1">
        <v>118410</v>
      </c>
      <c r="G6" s="1">
        <v>141858</v>
      </c>
    </row>
    <row r="7" spans="1:7" x14ac:dyDescent="0.75">
      <c r="A7" t="s">
        <v>14</v>
      </c>
      <c r="B7" s="1">
        <v>75012</v>
      </c>
      <c r="C7" s="1">
        <v>68305</v>
      </c>
      <c r="D7" s="1">
        <v>64961</v>
      </c>
      <c r="E7" s="1">
        <v>82578</v>
      </c>
      <c r="F7" s="1">
        <v>105288</v>
      </c>
      <c r="G7" s="1">
        <v>123232</v>
      </c>
    </row>
    <row r="8" spans="1:7" x14ac:dyDescent="0.75">
      <c r="A8" t="s">
        <v>0</v>
      </c>
      <c r="B8" s="1">
        <v>11056</v>
      </c>
      <c r="C8" s="1">
        <v>7355</v>
      </c>
      <c r="D8" s="1">
        <v>5411</v>
      </c>
      <c r="E8" s="1">
        <v>5752</v>
      </c>
      <c r="F8" s="1">
        <v>13122</v>
      </c>
      <c r="G8" s="1">
        <v>18626</v>
      </c>
    </row>
    <row r="9" spans="1:7" x14ac:dyDescent="0.75">
      <c r="A9" t="s">
        <v>1</v>
      </c>
      <c r="B9" s="2">
        <v>0.13</v>
      </c>
      <c r="C9" s="2">
        <v>0.1</v>
      </c>
      <c r="D9" s="2">
        <v>0.08</v>
      </c>
      <c r="E9" s="2">
        <v>7.0000000000000007E-2</v>
      </c>
      <c r="F9" s="2">
        <v>0.11</v>
      </c>
      <c r="G9" s="2">
        <v>0.13</v>
      </c>
    </row>
    <row r="10" spans="1:7" x14ac:dyDescent="0.75">
      <c r="A10" s="3" t="s">
        <v>12</v>
      </c>
      <c r="B10" s="1">
        <v>2664</v>
      </c>
      <c r="C10" s="1">
        <v>3410</v>
      </c>
      <c r="D10" s="1">
        <v>3046</v>
      </c>
      <c r="E10" s="1">
        <v>1861</v>
      </c>
      <c r="F10" s="1">
        <v>2415</v>
      </c>
      <c r="G10" s="1">
        <v>4248</v>
      </c>
    </row>
    <row r="11" spans="1:7" x14ac:dyDescent="0.75">
      <c r="A11" s="3" t="s">
        <v>2</v>
      </c>
      <c r="B11">
        <v>76</v>
      </c>
      <c r="C11">
        <v>134</v>
      </c>
      <c r="D11">
        <v>102</v>
      </c>
      <c r="E11">
        <v>127</v>
      </c>
      <c r="F11">
        <v>252</v>
      </c>
      <c r="G11">
        <v>194</v>
      </c>
    </row>
    <row r="12" spans="1:7" x14ac:dyDescent="0.75">
      <c r="A12" s="3" t="s">
        <v>3</v>
      </c>
      <c r="B12" s="1">
        <v>3021</v>
      </c>
      <c r="C12" s="1">
        <v>3528</v>
      </c>
      <c r="D12" s="1">
        <v>3034</v>
      </c>
      <c r="E12" s="1">
        <v>2789</v>
      </c>
      <c r="F12" s="1">
        <v>4846</v>
      </c>
      <c r="G12" s="1">
        <v>5256</v>
      </c>
    </row>
    <row r="13" spans="1:7" x14ac:dyDescent="0.75">
      <c r="A13" s="3" t="s">
        <v>7</v>
      </c>
      <c r="B13" s="1">
        <v>10624</v>
      </c>
      <c r="C13" s="1">
        <v>7103</v>
      </c>
      <c r="D13" s="1">
        <v>5321</v>
      </c>
      <c r="E13" s="1">
        <v>4697</v>
      </c>
      <c r="F13" s="1">
        <v>10438</v>
      </c>
      <c r="G13" s="1">
        <v>17424</v>
      </c>
    </row>
    <row r="14" spans="1:7" x14ac:dyDescent="0.75">
      <c r="A14" t="s">
        <v>9</v>
      </c>
      <c r="B14" s="2">
        <v>0.28000000000000003</v>
      </c>
      <c r="C14" s="2">
        <v>0.2</v>
      </c>
      <c r="D14" s="2">
        <v>0.18</v>
      </c>
      <c r="E14" s="2">
        <v>0.17</v>
      </c>
      <c r="F14" s="2">
        <v>0.21</v>
      </c>
      <c r="G14" s="2">
        <v>0.23</v>
      </c>
    </row>
    <row r="15" spans="1:7" x14ac:dyDescent="0.75">
      <c r="A15" t="s">
        <v>15</v>
      </c>
      <c r="B15" s="1">
        <v>7651</v>
      </c>
      <c r="C15" s="1">
        <v>5678</v>
      </c>
      <c r="D15" s="1">
        <v>4389</v>
      </c>
      <c r="E15" s="1">
        <v>3880</v>
      </c>
      <c r="F15" s="1">
        <v>8264</v>
      </c>
      <c r="G15" s="1">
        <v>13488</v>
      </c>
    </row>
    <row r="16" spans="1:7" x14ac:dyDescent="0.75">
      <c r="A16" t="s">
        <v>4</v>
      </c>
      <c r="B16">
        <v>253.21</v>
      </c>
      <c r="C16">
        <v>187.9</v>
      </c>
      <c r="D16">
        <v>145.30000000000001</v>
      </c>
      <c r="E16">
        <v>128.43</v>
      </c>
      <c r="F16">
        <v>273.56</v>
      </c>
      <c r="G16">
        <v>429.01</v>
      </c>
    </row>
    <row r="17" spans="1:7" x14ac:dyDescent="0.75">
      <c r="A17" t="s">
        <v>5</v>
      </c>
      <c r="B17" s="2">
        <v>0.32</v>
      </c>
      <c r="C17" s="2">
        <v>0.32</v>
      </c>
      <c r="D17" s="2">
        <v>0.31</v>
      </c>
      <c r="E17" s="2">
        <v>0.47</v>
      </c>
      <c r="F17" s="2">
        <v>0.34</v>
      </c>
      <c r="G17" s="2">
        <v>0.28999999999999998</v>
      </c>
    </row>
    <row r="19" spans="1:7" x14ac:dyDescent="0.75">
      <c r="A19" t="s">
        <v>8</v>
      </c>
      <c r="B19">
        <f>B13*B14</f>
        <v>2974.7200000000003</v>
      </c>
      <c r="C19">
        <f t="shared" ref="C19:G19" si="0">C13*C14</f>
        <v>1420.6000000000001</v>
      </c>
      <c r="D19">
        <f t="shared" si="0"/>
        <v>957.78</v>
      </c>
      <c r="E19">
        <f t="shared" si="0"/>
        <v>798.49</v>
      </c>
      <c r="F19">
        <f t="shared" si="0"/>
        <v>2191.98</v>
      </c>
      <c r="G19">
        <f t="shared" si="0"/>
        <v>4007.52</v>
      </c>
    </row>
    <row r="21" spans="1:7" x14ac:dyDescent="0.75">
      <c r="A21" s="7" t="s">
        <v>25</v>
      </c>
    </row>
    <row r="22" spans="1:7" x14ac:dyDescent="0.75">
      <c r="A22" t="s">
        <v>23</v>
      </c>
      <c r="B22" s="1">
        <v>-4872</v>
      </c>
      <c r="C22" s="1">
        <v>-3437</v>
      </c>
      <c r="D22" s="1">
        <v>-2370</v>
      </c>
      <c r="E22" s="1">
        <v>-3459</v>
      </c>
      <c r="F22" s="1">
        <v>-8065</v>
      </c>
      <c r="G22" s="1">
        <v>-9200</v>
      </c>
    </row>
    <row r="23" spans="1:7" x14ac:dyDescent="0.75">
      <c r="A23" t="s">
        <v>24</v>
      </c>
      <c r="B23">
        <v>170</v>
      </c>
      <c r="C23">
        <v>37</v>
      </c>
      <c r="D23">
        <v>42</v>
      </c>
      <c r="E23">
        <v>136</v>
      </c>
      <c r="F23">
        <v>109</v>
      </c>
      <c r="G23">
        <v>45</v>
      </c>
    </row>
    <row r="24" spans="1:7" x14ac:dyDescent="0.75">
      <c r="A24" s="3" t="s">
        <v>26</v>
      </c>
      <c r="B24" s="1">
        <f>B22+B23</f>
        <v>-4702</v>
      </c>
      <c r="C24" s="1">
        <f t="shared" ref="C24:G24" si="1">C22+C23</f>
        <v>-3400</v>
      </c>
      <c r="D24" s="1">
        <f t="shared" si="1"/>
        <v>-2328</v>
      </c>
      <c r="E24" s="1">
        <f t="shared" si="1"/>
        <v>-3323</v>
      </c>
      <c r="F24" s="1">
        <f t="shared" si="1"/>
        <v>-7956</v>
      </c>
      <c r="G24" s="1">
        <f t="shared" si="1"/>
        <v>-9155</v>
      </c>
    </row>
    <row r="25" spans="1:7" x14ac:dyDescent="0.75">
      <c r="A25" s="3" t="s">
        <v>27</v>
      </c>
      <c r="B25" s="1">
        <v>-1315</v>
      </c>
      <c r="C25" s="1">
        <v>-2570</v>
      </c>
      <c r="D25" s="1">
        <v>4336</v>
      </c>
      <c r="E25" s="1">
        <v>-2813</v>
      </c>
      <c r="F25">
        <v>-97</v>
      </c>
      <c r="G25" s="1">
        <v>1722</v>
      </c>
    </row>
    <row r="28" spans="1:7" x14ac:dyDescent="0.75">
      <c r="A28" s="7" t="s">
        <v>10</v>
      </c>
    </row>
    <row r="29" spans="1:7" x14ac:dyDescent="0.75">
      <c r="A29" t="s">
        <v>11</v>
      </c>
      <c r="B29" s="1">
        <f>B13</f>
        <v>10624</v>
      </c>
      <c r="C29" s="1">
        <f t="shared" ref="C29:G29" si="2">C13</f>
        <v>7103</v>
      </c>
      <c r="D29" s="1">
        <f t="shared" si="2"/>
        <v>5321</v>
      </c>
      <c r="E29" s="1">
        <f t="shared" si="2"/>
        <v>4697</v>
      </c>
      <c r="F29" s="1">
        <f t="shared" si="2"/>
        <v>10438</v>
      </c>
      <c r="G29" s="1">
        <f t="shared" si="2"/>
        <v>17424</v>
      </c>
    </row>
    <row r="30" spans="1:7" x14ac:dyDescent="0.75">
      <c r="A30" t="s">
        <v>22</v>
      </c>
      <c r="B30" s="1">
        <f>B10</f>
        <v>2664</v>
      </c>
      <c r="C30" s="1">
        <f t="shared" ref="C30:G30" si="3">C10</f>
        <v>3410</v>
      </c>
      <c r="D30" s="1">
        <f t="shared" si="3"/>
        <v>3046</v>
      </c>
      <c r="E30" s="1">
        <f t="shared" si="3"/>
        <v>1861</v>
      </c>
      <c r="F30" s="1">
        <f t="shared" si="3"/>
        <v>2415</v>
      </c>
      <c r="G30" s="1">
        <f t="shared" si="3"/>
        <v>4248</v>
      </c>
    </row>
    <row r="31" spans="1:7" x14ac:dyDescent="0.75">
      <c r="A31" t="s">
        <v>16</v>
      </c>
      <c r="B31">
        <f>B11</f>
        <v>76</v>
      </c>
      <c r="C31">
        <f t="shared" ref="C31:G31" si="4">C11</f>
        <v>134</v>
      </c>
      <c r="D31">
        <f t="shared" si="4"/>
        <v>102</v>
      </c>
      <c r="E31">
        <f t="shared" si="4"/>
        <v>127</v>
      </c>
      <c r="F31">
        <f t="shared" si="4"/>
        <v>252</v>
      </c>
      <c r="G31">
        <f t="shared" si="4"/>
        <v>194</v>
      </c>
    </row>
    <row r="32" spans="1:7" x14ac:dyDescent="0.75">
      <c r="A32" s="3" t="s">
        <v>17</v>
      </c>
      <c r="B32" s="1">
        <f>B29-B30+B31</f>
        <v>8036</v>
      </c>
      <c r="C32" s="1">
        <f t="shared" ref="C32:G32" si="5">C29-C30+C31</f>
        <v>3827</v>
      </c>
      <c r="D32" s="1">
        <f t="shared" si="5"/>
        <v>2377</v>
      </c>
      <c r="E32" s="1">
        <f t="shared" si="5"/>
        <v>2963</v>
      </c>
      <c r="F32" s="1">
        <f t="shared" si="5"/>
        <v>8275</v>
      </c>
      <c r="G32" s="1">
        <f t="shared" si="5"/>
        <v>13370</v>
      </c>
    </row>
    <row r="34" spans="1:13" x14ac:dyDescent="0.75">
      <c r="A34" s="3" t="s">
        <v>18</v>
      </c>
      <c r="B34">
        <f>B19</f>
        <v>2974.7200000000003</v>
      </c>
      <c r="C34">
        <f t="shared" ref="C34:G34" si="6">C19</f>
        <v>1420.6000000000001</v>
      </c>
      <c r="D34">
        <f t="shared" si="6"/>
        <v>957.78</v>
      </c>
      <c r="E34">
        <f t="shared" si="6"/>
        <v>798.49</v>
      </c>
      <c r="F34">
        <f t="shared" si="6"/>
        <v>2191.98</v>
      </c>
      <c r="G34">
        <f t="shared" si="6"/>
        <v>4007.52</v>
      </c>
    </row>
    <row r="35" spans="1:13" x14ac:dyDescent="0.75">
      <c r="A35" t="s">
        <v>21</v>
      </c>
      <c r="B35">
        <f>B10*B14</f>
        <v>745.92000000000007</v>
      </c>
      <c r="C35">
        <f t="shared" ref="C35:G35" si="7">C10*C14</f>
        <v>682</v>
      </c>
      <c r="D35">
        <f t="shared" si="7"/>
        <v>548.28</v>
      </c>
      <c r="E35">
        <f t="shared" si="7"/>
        <v>316.37</v>
      </c>
      <c r="F35">
        <f t="shared" si="7"/>
        <v>507.15</v>
      </c>
      <c r="G35">
        <f t="shared" si="7"/>
        <v>977.04000000000008</v>
      </c>
    </row>
    <row r="36" spans="1:13" x14ac:dyDescent="0.75">
      <c r="A36" t="s">
        <v>19</v>
      </c>
      <c r="B36">
        <f>B11*B14</f>
        <v>21.28</v>
      </c>
      <c r="C36">
        <f t="shared" ref="C36:G36" si="8">C11*C14</f>
        <v>26.8</v>
      </c>
      <c r="D36">
        <f t="shared" si="8"/>
        <v>18.36</v>
      </c>
      <c r="E36">
        <f t="shared" si="8"/>
        <v>21.59</v>
      </c>
      <c r="F36">
        <f t="shared" si="8"/>
        <v>52.919999999999995</v>
      </c>
      <c r="G36">
        <f t="shared" si="8"/>
        <v>44.620000000000005</v>
      </c>
    </row>
    <row r="37" spans="1:13" x14ac:dyDescent="0.75">
      <c r="A37" s="3" t="s">
        <v>20</v>
      </c>
      <c r="B37">
        <f>B34-B35+B36</f>
        <v>2250.0800000000004</v>
      </c>
      <c r="C37">
        <f t="shared" ref="C37:G37" si="9">C34-C35+C36</f>
        <v>765.40000000000009</v>
      </c>
      <c r="D37">
        <f t="shared" si="9"/>
        <v>427.86</v>
      </c>
      <c r="E37">
        <f t="shared" si="9"/>
        <v>503.71</v>
      </c>
      <c r="F37">
        <f t="shared" si="9"/>
        <v>1737.75</v>
      </c>
      <c r="G37">
        <f t="shared" si="9"/>
        <v>3075.1</v>
      </c>
    </row>
    <row r="39" spans="1:13" x14ac:dyDescent="0.75">
      <c r="A39" s="7" t="s">
        <v>10</v>
      </c>
      <c r="B39" s="9">
        <f>B32-B37</f>
        <v>5785.92</v>
      </c>
      <c r="C39" s="9">
        <f t="shared" ref="C39:G39" si="10">C32-C37</f>
        <v>3061.6</v>
      </c>
      <c r="D39" s="9">
        <f t="shared" si="10"/>
        <v>1949.1399999999999</v>
      </c>
      <c r="E39" s="9">
        <f t="shared" si="10"/>
        <v>2459.29</v>
      </c>
      <c r="F39" s="9">
        <f t="shared" si="10"/>
        <v>6537.25</v>
      </c>
      <c r="G39" s="9">
        <f t="shared" si="10"/>
        <v>10294.9</v>
      </c>
    </row>
    <row r="41" spans="1:13" x14ac:dyDescent="0.75">
      <c r="A41" s="3" t="s">
        <v>28</v>
      </c>
    </row>
    <row r="42" spans="1:13" x14ac:dyDescent="0.75">
      <c r="A42" t="s">
        <v>10</v>
      </c>
      <c r="B42" s="1">
        <f>B39</f>
        <v>5785.92</v>
      </c>
      <c r="C42" s="1">
        <f t="shared" ref="C42:G42" si="11">C39</f>
        <v>3061.6</v>
      </c>
      <c r="D42" s="1">
        <f t="shared" si="11"/>
        <v>1949.1399999999999</v>
      </c>
      <c r="E42" s="1">
        <f t="shared" si="11"/>
        <v>2459.29</v>
      </c>
      <c r="F42" s="1">
        <f t="shared" si="11"/>
        <v>6537.25</v>
      </c>
      <c r="G42" s="1">
        <f t="shared" si="11"/>
        <v>10294.9</v>
      </c>
    </row>
    <row r="43" spans="1:13" x14ac:dyDescent="0.75">
      <c r="A43" t="s">
        <v>29</v>
      </c>
      <c r="B43" s="1">
        <f>B12</f>
        <v>3021</v>
      </c>
      <c r="C43" s="1">
        <f t="shared" ref="C43:G43" si="12">C12</f>
        <v>3528</v>
      </c>
      <c r="D43" s="1">
        <f t="shared" si="12"/>
        <v>3034</v>
      </c>
      <c r="E43" s="1">
        <f t="shared" si="12"/>
        <v>2789</v>
      </c>
      <c r="F43" s="1">
        <f t="shared" si="12"/>
        <v>4846</v>
      </c>
      <c r="G43" s="1">
        <f t="shared" si="12"/>
        <v>5256</v>
      </c>
    </row>
    <row r="44" spans="1:13" x14ac:dyDescent="0.75">
      <c r="A44" t="s">
        <v>30</v>
      </c>
      <c r="B44" s="1">
        <f>B24</f>
        <v>-4702</v>
      </c>
      <c r="C44" s="1">
        <f t="shared" ref="C44:G44" si="13">C24</f>
        <v>-3400</v>
      </c>
      <c r="D44" s="1">
        <f t="shared" si="13"/>
        <v>-2328</v>
      </c>
      <c r="E44" s="1">
        <f t="shared" si="13"/>
        <v>-3323</v>
      </c>
      <c r="F44" s="1">
        <f t="shared" si="13"/>
        <v>-7956</v>
      </c>
      <c r="G44" s="1">
        <f t="shared" si="13"/>
        <v>-9155</v>
      </c>
    </row>
    <row r="45" spans="1:13" x14ac:dyDescent="0.75">
      <c r="A45" t="s">
        <v>31</v>
      </c>
      <c r="B45" s="1">
        <f>B25</f>
        <v>-1315</v>
      </c>
      <c r="C45" s="1">
        <f t="shared" ref="C45:G45" si="14">C25</f>
        <v>-2570</v>
      </c>
      <c r="D45" s="1">
        <f t="shared" si="14"/>
        <v>4336</v>
      </c>
      <c r="E45" s="1">
        <f t="shared" si="14"/>
        <v>-2813</v>
      </c>
      <c r="F45" s="1">
        <f t="shared" si="14"/>
        <v>-97</v>
      </c>
      <c r="G45" s="1">
        <f t="shared" si="14"/>
        <v>1722</v>
      </c>
      <c r="H45" s="4">
        <v>45717</v>
      </c>
      <c r="I45" s="4">
        <v>46082</v>
      </c>
      <c r="J45" s="4">
        <v>46447</v>
      </c>
      <c r="K45" s="4">
        <v>46813</v>
      </c>
      <c r="L45" s="4">
        <v>47178</v>
      </c>
      <c r="M45" s="4" t="s">
        <v>33</v>
      </c>
    </row>
    <row r="46" spans="1:13" x14ac:dyDescent="0.75">
      <c r="A46" s="6" t="s">
        <v>32</v>
      </c>
      <c r="B46" s="1">
        <f>B42+B43+B44+B45</f>
        <v>2789.92</v>
      </c>
      <c r="C46" s="1">
        <f t="shared" ref="C46:G46" si="15">C42+C43+C44+C45</f>
        <v>619.60000000000036</v>
      </c>
      <c r="D46" s="1">
        <f t="shared" si="15"/>
        <v>6991.1399999999994</v>
      </c>
      <c r="E46" s="1">
        <f t="shared" si="15"/>
        <v>-887.71</v>
      </c>
      <c r="F46" s="1">
        <f t="shared" si="15"/>
        <v>3330.25</v>
      </c>
      <c r="G46" s="1">
        <f t="shared" si="15"/>
        <v>8117.9</v>
      </c>
      <c r="H46" s="1">
        <f>(G46*23.8%)+G46</f>
        <v>10049.9602</v>
      </c>
      <c r="I46" s="1">
        <f>(H46*23.8%)+H46</f>
        <v>12441.8507276</v>
      </c>
      <c r="J46">
        <f>(I46*23.8%)+I46</f>
        <v>15403.0112007688</v>
      </c>
      <c r="K46">
        <f>(J46*23.8%)+J46</f>
        <v>19068.927866551774</v>
      </c>
      <c r="L46" s="1">
        <f>(K46*23.8%)+K46</f>
        <v>23607.332698791099</v>
      </c>
      <c r="M46">
        <f>(L46*8%)+L46</f>
        <v>25495.919314694387</v>
      </c>
    </row>
    <row r="47" spans="1:13" x14ac:dyDescent="0.75">
      <c r="A47" t="s">
        <v>34</v>
      </c>
      <c r="H47" s="1">
        <f>H46</f>
        <v>10049.9602</v>
      </c>
      <c r="I47" s="1">
        <f t="shared" ref="I47:L47" si="16">I46</f>
        <v>12441.8507276</v>
      </c>
      <c r="J47" s="1">
        <f t="shared" si="16"/>
        <v>15403.0112007688</v>
      </c>
      <c r="K47" s="1">
        <f t="shared" si="16"/>
        <v>19068.927866551774</v>
      </c>
      <c r="L47" s="1">
        <f t="shared" si="16"/>
        <v>23607.332698791099</v>
      </c>
      <c r="M47">
        <v>318688</v>
      </c>
    </row>
    <row r="49" spans="1:3" x14ac:dyDescent="0.75">
      <c r="A49" t="s">
        <v>35</v>
      </c>
      <c r="B49" s="1">
        <f>H47+I47+J47+K47+L47+M47</f>
        <v>399259.08269371168</v>
      </c>
    </row>
    <row r="51" spans="1:3" x14ac:dyDescent="0.75">
      <c r="A51" t="s">
        <v>36</v>
      </c>
      <c r="B51" s="1">
        <f>B49+57296</f>
        <v>456555.08269371168</v>
      </c>
      <c r="C51" t="s">
        <v>41</v>
      </c>
    </row>
    <row r="52" spans="1:3" x14ac:dyDescent="0.75">
      <c r="A52" t="s">
        <v>37</v>
      </c>
      <c r="B52" s="1">
        <f>B51-119</f>
        <v>456436.08269371168</v>
      </c>
      <c r="C52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FCF OF TATA MOTORS</vt:lpstr>
      <vt:lpstr>PE TATA MOTORS</vt:lpstr>
      <vt:lpstr>EV OF TATA MOTORS</vt:lpstr>
      <vt:lpstr>DDM OF TATA MOTORS</vt:lpstr>
      <vt:lpstr>FCF OF MAHINDRA &amp; MAHINDRA </vt:lpstr>
      <vt:lpstr>PE OF M&amp;M</vt:lpstr>
      <vt:lpstr>EV OF M&amp;M</vt:lpstr>
      <vt:lpstr>DDM OF M&amp;M</vt:lpstr>
      <vt:lpstr>FCF OF MARUTI SUZUKI</vt:lpstr>
      <vt:lpstr>PE OF MARUTI SUZUKI</vt:lpstr>
      <vt:lpstr>EV OF MARUTI SUZUKI</vt:lpstr>
      <vt:lpstr>DDM OF MARUTI SUZUKI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Naveenkumar Dhamodharan</dc:creator>
  <cp:lastModifiedBy>Naveenkumar Dhamodharan</cp:lastModifiedBy>
  <dcterms:created xsi:type="dcterms:W3CDTF">2024-11-21T05:55:56Z</dcterms:created>
  <dcterms:modified xsi:type="dcterms:W3CDTF">2024-11-22T13:32:32Z</dcterms:modified>
</cp:coreProperties>
</file>