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EBCB556A-8281-46E0-BCD6-D0B45912A35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Import!$B$6:$N$1867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7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7" i="1"/>
  <c r="C47" i="1"/>
  <c r="H8" i="1"/>
  <c r="M8" i="1"/>
  <c r="P8" i="1"/>
  <c r="R8" i="1" s="1"/>
  <c r="U8" i="1"/>
  <c r="H9" i="1"/>
  <c r="M9" i="1"/>
  <c r="P9" i="1"/>
  <c r="R9" i="1" s="1"/>
  <c r="U9" i="1"/>
  <c r="H10" i="1"/>
  <c r="M10" i="1"/>
  <c r="P10" i="1"/>
  <c r="R10" i="1"/>
  <c r="U10" i="1"/>
  <c r="H11" i="1"/>
  <c r="M11" i="1"/>
  <c r="P11" i="1"/>
  <c r="R11" i="1" s="1"/>
  <c r="U11" i="1"/>
  <c r="H12" i="1"/>
  <c r="M12" i="1"/>
  <c r="P12" i="1"/>
  <c r="R12" i="1" s="1"/>
  <c r="U12" i="1"/>
  <c r="H13" i="1"/>
  <c r="M13" i="1"/>
  <c r="P13" i="1"/>
  <c r="R13" i="1" s="1"/>
  <c r="U13" i="1"/>
  <c r="H14" i="1"/>
  <c r="M14" i="1"/>
  <c r="P14" i="1"/>
  <c r="R14" i="1"/>
  <c r="U14" i="1"/>
  <c r="H15" i="1"/>
  <c r="M15" i="1"/>
  <c r="P15" i="1"/>
  <c r="R15" i="1" s="1"/>
  <c r="U15" i="1"/>
  <c r="H16" i="1"/>
  <c r="M16" i="1"/>
  <c r="P16" i="1"/>
  <c r="R16" i="1" s="1"/>
  <c r="U16" i="1"/>
  <c r="H17" i="1"/>
  <c r="M17" i="1"/>
  <c r="P17" i="1"/>
  <c r="R17" i="1" s="1"/>
  <c r="U17" i="1"/>
  <c r="H18" i="1"/>
  <c r="M18" i="1"/>
  <c r="P18" i="1"/>
  <c r="R18" i="1"/>
  <c r="U18" i="1"/>
  <c r="H19" i="1"/>
  <c r="M19" i="1"/>
  <c r="P19" i="1"/>
  <c r="R19" i="1" s="1"/>
  <c r="U19" i="1"/>
  <c r="H20" i="1"/>
  <c r="M20" i="1"/>
  <c r="P20" i="1"/>
  <c r="R20" i="1" s="1"/>
  <c r="U20" i="1"/>
  <c r="H21" i="1"/>
  <c r="M21" i="1"/>
  <c r="P21" i="1"/>
  <c r="R21" i="1" s="1"/>
  <c r="U21" i="1"/>
  <c r="H22" i="1"/>
  <c r="M22" i="1"/>
  <c r="P22" i="1"/>
  <c r="R22" i="1" s="1"/>
  <c r="U22" i="1"/>
  <c r="H23" i="1"/>
  <c r="M23" i="1"/>
  <c r="P23" i="1"/>
  <c r="R23" i="1"/>
  <c r="U23" i="1"/>
  <c r="H24" i="1"/>
  <c r="M24" i="1"/>
  <c r="P24" i="1"/>
  <c r="R24" i="1" s="1"/>
  <c r="U24" i="1"/>
  <c r="H25" i="1"/>
  <c r="M25" i="1"/>
  <c r="P25" i="1"/>
  <c r="R25" i="1" s="1"/>
  <c r="U25" i="1"/>
  <c r="H26" i="1"/>
  <c r="M26" i="1"/>
  <c r="P26" i="1"/>
  <c r="R26" i="1" s="1"/>
  <c r="U26" i="1"/>
  <c r="H27" i="1"/>
  <c r="M27" i="1"/>
  <c r="P27" i="1"/>
  <c r="R27" i="1"/>
  <c r="U27" i="1"/>
  <c r="H28" i="1"/>
  <c r="M28" i="1"/>
  <c r="P28" i="1"/>
  <c r="R28" i="1" s="1"/>
  <c r="U28" i="1"/>
  <c r="H29" i="1"/>
  <c r="M29" i="1"/>
  <c r="P29" i="1"/>
  <c r="R29" i="1" s="1"/>
  <c r="U29" i="1"/>
  <c r="H30" i="1"/>
  <c r="M30" i="1"/>
  <c r="P30" i="1"/>
  <c r="R30" i="1" s="1"/>
  <c r="U30" i="1"/>
  <c r="H31" i="1"/>
  <c r="M31" i="1"/>
  <c r="P31" i="1"/>
  <c r="R31" i="1"/>
  <c r="U31" i="1"/>
  <c r="H32" i="1"/>
  <c r="M32" i="1"/>
  <c r="P32" i="1"/>
  <c r="R32" i="1" s="1"/>
  <c r="U32" i="1"/>
  <c r="H33" i="1"/>
  <c r="M33" i="1"/>
  <c r="P33" i="1"/>
  <c r="R33" i="1" s="1"/>
  <c r="U33" i="1"/>
  <c r="H34" i="1"/>
  <c r="M34" i="1"/>
  <c r="P34" i="1"/>
  <c r="R34" i="1" s="1"/>
  <c r="U34" i="1"/>
  <c r="H35" i="1"/>
  <c r="M35" i="1"/>
  <c r="P35" i="1"/>
  <c r="R35" i="1"/>
  <c r="U35" i="1"/>
  <c r="H36" i="1"/>
  <c r="M36" i="1"/>
  <c r="P36" i="1"/>
  <c r="R36" i="1" s="1"/>
  <c r="U36" i="1"/>
  <c r="H37" i="1"/>
  <c r="M37" i="1"/>
  <c r="P37" i="1"/>
  <c r="R37" i="1" s="1"/>
  <c r="U37" i="1"/>
  <c r="H38" i="1"/>
  <c r="M38" i="1"/>
  <c r="P38" i="1"/>
  <c r="R38" i="1"/>
  <c r="U38" i="1"/>
  <c r="H39" i="1"/>
  <c r="M39" i="1"/>
  <c r="P39" i="1"/>
  <c r="R39" i="1"/>
  <c r="U39" i="1"/>
  <c r="H40" i="1"/>
  <c r="M40" i="1"/>
  <c r="P40" i="1"/>
  <c r="R40" i="1" s="1"/>
  <c r="U40" i="1"/>
  <c r="H41" i="1"/>
  <c r="M41" i="1"/>
  <c r="P41" i="1"/>
  <c r="R41" i="1" s="1"/>
  <c r="U41" i="1"/>
  <c r="H42" i="1"/>
  <c r="M42" i="1"/>
  <c r="P42" i="1"/>
  <c r="R42" i="1" s="1"/>
  <c r="U42" i="1"/>
  <c r="H43" i="1"/>
  <c r="M43" i="1"/>
  <c r="P43" i="1"/>
  <c r="R43" i="1" s="1"/>
  <c r="U43" i="1"/>
  <c r="H44" i="1"/>
  <c r="M44" i="1"/>
  <c r="P44" i="1"/>
  <c r="R44" i="1" s="1"/>
  <c r="U44" i="1"/>
  <c r="H45" i="1"/>
  <c r="M45" i="1"/>
  <c r="P45" i="1"/>
  <c r="R45" i="1" s="1"/>
  <c r="U45" i="1"/>
  <c r="H46" i="1"/>
  <c r="M46" i="1"/>
  <c r="P46" i="1"/>
  <c r="R46" i="1" s="1"/>
  <c r="U46" i="1"/>
  <c r="G47" i="1"/>
  <c r="I45" i="1" s="1"/>
  <c r="Q45" i="1" s="1"/>
  <c r="L45" i="1" s="1"/>
  <c r="F47" i="1"/>
  <c r="E47" i="1"/>
  <c r="G11" i="6"/>
  <c r="F11" i="6"/>
  <c r="E11" i="6"/>
  <c r="U7" i="1"/>
  <c r="P7" i="1"/>
  <c r="R7" i="1" s="1"/>
  <c r="M7" i="1"/>
  <c r="N7" i="1" s="1"/>
  <c r="H7" i="1"/>
  <c r="P3" i="6"/>
  <c r="U47" i="1"/>
  <c r="P47" i="1"/>
  <c r="R47" i="1" s="1"/>
  <c r="M9" i="6"/>
  <c r="T48" i="1"/>
  <c r="Q48" i="1"/>
  <c r="T49" i="1"/>
  <c r="O49" i="1"/>
  <c r="Q49" i="1" s="1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D12" i="3"/>
  <c r="E12" i="3"/>
  <c r="H11" i="3"/>
  <c r="AP6" i="3"/>
  <c r="E13" i="3"/>
  <c r="D13" i="3"/>
  <c r="N18" i="1" l="1"/>
  <c r="N45" i="1"/>
  <c r="N41" i="1"/>
  <c r="N37" i="1"/>
  <c r="N33" i="1"/>
  <c r="N29" i="1"/>
  <c r="N25" i="1"/>
  <c r="N21" i="1"/>
  <c r="N17" i="1"/>
  <c r="N13" i="1"/>
  <c r="N9" i="1"/>
  <c r="N42" i="1"/>
  <c r="N34" i="1"/>
  <c r="N26" i="1"/>
  <c r="N22" i="1"/>
  <c r="N10" i="1"/>
  <c r="N44" i="1"/>
  <c r="N40" i="1"/>
  <c r="N36" i="1"/>
  <c r="N32" i="1"/>
  <c r="N28" i="1"/>
  <c r="N24" i="1"/>
  <c r="N20" i="1"/>
  <c r="N16" i="1"/>
  <c r="N12" i="1"/>
  <c r="N8" i="1"/>
  <c r="N46" i="1"/>
  <c r="N38" i="1"/>
  <c r="N30" i="1"/>
  <c r="N14" i="1"/>
  <c r="N43" i="1"/>
  <c r="N39" i="1"/>
  <c r="N35" i="1"/>
  <c r="N31" i="1"/>
  <c r="N27" i="1"/>
  <c r="N23" i="1"/>
  <c r="N19" i="1"/>
  <c r="N15" i="1"/>
  <c r="N11" i="1"/>
  <c r="I46" i="1"/>
  <c r="J46" i="1" s="1"/>
  <c r="I8" i="1"/>
  <c r="J8" i="1" s="1"/>
  <c r="I33" i="1"/>
  <c r="I28" i="1"/>
  <c r="I17" i="1"/>
  <c r="I44" i="1"/>
  <c r="I38" i="1"/>
  <c r="J38" i="1" s="1"/>
  <c r="I37" i="1"/>
  <c r="I35" i="1"/>
  <c r="I32" i="1"/>
  <c r="I22" i="1"/>
  <c r="J22" i="1" s="1"/>
  <c r="I21" i="1"/>
  <c r="I19" i="1"/>
  <c r="I31" i="1"/>
  <c r="I11" i="1"/>
  <c r="I42" i="1"/>
  <c r="J42" i="1" s="1"/>
  <c r="I39" i="1"/>
  <c r="I36" i="1"/>
  <c r="I26" i="1"/>
  <c r="J26" i="1" s="1"/>
  <c r="I25" i="1"/>
  <c r="I23" i="1"/>
  <c r="I20" i="1"/>
  <c r="I14" i="1"/>
  <c r="J14" i="1" s="1"/>
  <c r="I13" i="1"/>
  <c r="I12" i="1"/>
  <c r="I34" i="1"/>
  <c r="J34" i="1" s="1"/>
  <c r="I18" i="1"/>
  <c r="J18" i="1" s="1"/>
  <c r="I16" i="1"/>
  <c r="I41" i="1"/>
  <c r="J45" i="1"/>
  <c r="I43" i="1"/>
  <c r="I40" i="1"/>
  <c r="I30" i="1"/>
  <c r="J30" i="1" s="1"/>
  <c r="I29" i="1"/>
  <c r="I27" i="1"/>
  <c r="I24" i="1"/>
  <c r="I15" i="1"/>
  <c r="I10" i="1"/>
  <c r="J10" i="1" s="1"/>
  <c r="I9" i="1"/>
  <c r="I7" i="1"/>
  <c r="H47" i="1"/>
  <c r="V11" i="1" s="1"/>
  <c r="M7" i="6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Q46" i="1" l="1"/>
  <c r="L46" i="1" s="1"/>
  <c r="Q47" i="1"/>
  <c r="Q14" i="1"/>
  <c r="L14" i="1" s="1"/>
  <c r="Q22" i="1"/>
  <c r="L22" i="1" s="1"/>
  <c r="Q26" i="1"/>
  <c r="L26" i="1" s="1"/>
  <c r="Q38" i="1"/>
  <c r="L38" i="1" s="1"/>
  <c r="Q8" i="1"/>
  <c r="L8" i="1" s="1"/>
  <c r="Q18" i="1"/>
  <c r="L18" i="1" s="1"/>
  <c r="V33" i="1"/>
  <c r="V36" i="1"/>
  <c r="V40" i="1"/>
  <c r="Q10" i="1"/>
  <c r="L10" i="1" s="1"/>
  <c r="V30" i="1"/>
  <c r="V25" i="1"/>
  <c r="Q34" i="1"/>
  <c r="L34" i="1" s="1"/>
  <c r="V10" i="1"/>
  <c r="V42" i="1"/>
  <c r="V12" i="1"/>
  <c r="I47" i="1"/>
  <c r="V46" i="1"/>
  <c r="V17" i="1"/>
  <c r="V14" i="1"/>
  <c r="V24" i="1"/>
  <c r="V9" i="1"/>
  <c r="Q30" i="1"/>
  <c r="L30" i="1" s="1"/>
  <c r="V41" i="1"/>
  <c r="V26" i="1"/>
  <c r="Q40" i="1"/>
  <c r="L40" i="1" s="1"/>
  <c r="J40" i="1"/>
  <c r="Q12" i="1"/>
  <c r="L12" i="1" s="1"/>
  <c r="J12" i="1"/>
  <c r="Q39" i="1"/>
  <c r="L39" i="1" s="1"/>
  <c r="J39" i="1"/>
  <c r="J31" i="1"/>
  <c r="Q31" i="1"/>
  <c r="L31" i="1" s="1"/>
  <c r="Q9" i="1"/>
  <c r="L9" i="1" s="1"/>
  <c r="J9" i="1"/>
  <c r="Q43" i="1"/>
  <c r="L43" i="1" s="1"/>
  <c r="J43" i="1"/>
  <c r="Q13" i="1"/>
  <c r="L13" i="1" s="1"/>
  <c r="J13" i="1"/>
  <c r="V20" i="1"/>
  <c r="J32" i="1"/>
  <c r="Q32" i="1"/>
  <c r="L32" i="1" s="1"/>
  <c r="J44" i="1"/>
  <c r="Q44" i="1"/>
  <c r="L44" i="1" s="1"/>
  <c r="Q33" i="1"/>
  <c r="L33" i="1" s="1"/>
  <c r="J33" i="1"/>
  <c r="V28" i="1"/>
  <c r="V44" i="1"/>
  <c r="Q42" i="1"/>
  <c r="L42" i="1" s="1"/>
  <c r="V18" i="1"/>
  <c r="V34" i="1"/>
  <c r="Q29" i="1"/>
  <c r="L29" i="1" s="1"/>
  <c r="J29" i="1"/>
  <c r="V8" i="1"/>
  <c r="J19" i="1"/>
  <c r="Q19" i="1"/>
  <c r="L19" i="1" s="1"/>
  <c r="J35" i="1"/>
  <c r="Q35" i="1"/>
  <c r="L35" i="1" s="1"/>
  <c r="Q24" i="1"/>
  <c r="L24" i="1" s="1"/>
  <c r="J24" i="1"/>
  <c r="Q23" i="1"/>
  <c r="L23" i="1" s="1"/>
  <c r="J23" i="1"/>
  <c r="J28" i="1"/>
  <c r="Q28" i="1"/>
  <c r="L28" i="1" s="1"/>
  <c r="Q27" i="1"/>
  <c r="L27" i="1" s="1"/>
  <c r="J27" i="1"/>
  <c r="J16" i="1"/>
  <c r="Q16" i="1"/>
  <c r="L16" i="1" s="1"/>
  <c r="Q25" i="1"/>
  <c r="L25" i="1" s="1"/>
  <c r="J25" i="1"/>
  <c r="V31" i="1"/>
  <c r="V43" i="1"/>
  <c r="V15" i="1"/>
  <c r="V16" i="1"/>
  <c r="V27" i="1"/>
  <c r="V35" i="1"/>
  <c r="V23" i="1"/>
  <c r="V39" i="1"/>
  <c r="V19" i="1"/>
  <c r="V32" i="1"/>
  <c r="V45" i="1"/>
  <c r="V13" i="1"/>
  <c r="V21" i="1"/>
  <c r="V29" i="1"/>
  <c r="V37" i="1"/>
  <c r="V22" i="1"/>
  <c r="V38" i="1"/>
  <c r="Q15" i="1"/>
  <c r="L15" i="1" s="1"/>
  <c r="J15" i="1"/>
  <c r="Q41" i="1"/>
  <c r="L41" i="1" s="1"/>
  <c r="J41" i="1"/>
  <c r="Q20" i="1"/>
  <c r="L20" i="1" s="1"/>
  <c r="J20" i="1"/>
  <c r="Q36" i="1"/>
  <c r="L36" i="1" s="1"/>
  <c r="J36" i="1"/>
  <c r="J11" i="1"/>
  <c r="Q11" i="1"/>
  <c r="L11" i="1" s="1"/>
  <c r="Q21" i="1"/>
  <c r="L21" i="1" s="1"/>
  <c r="J21" i="1"/>
  <c r="Q37" i="1"/>
  <c r="L37" i="1" s="1"/>
  <c r="J37" i="1"/>
  <c r="Q17" i="1"/>
  <c r="L17" i="1" s="1"/>
  <c r="J17" i="1"/>
  <c r="V7" i="1"/>
  <c r="Q7" i="1"/>
  <c r="L7" i="1" s="1"/>
  <c r="J7" i="1"/>
  <c r="N47" i="1"/>
  <c r="M11" i="6"/>
  <c r="V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S9" i="1" l="1"/>
  <c r="T9" i="1" s="1"/>
  <c r="S10" i="1"/>
  <c r="T10" i="1" s="1"/>
  <c r="S19" i="1"/>
  <c r="T19" i="1" s="1"/>
  <c r="S28" i="1"/>
  <c r="T28" i="1" s="1"/>
  <c r="S29" i="1"/>
  <c r="T29" i="1" s="1"/>
  <c r="S30" i="1"/>
  <c r="T30" i="1" s="1"/>
  <c r="S35" i="1"/>
  <c r="T35" i="1" s="1"/>
  <c r="S40" i="1"/>
  <c r="T40" i="1" s="1"/>
  <c r="S42" i="1"/>
  <c r="T42" i="1" s="1"/>
  <c r="S32" i="1"/>
  <c r="T32" i="1" s="1"/>
  <c r="S33" i="1"/>
  <c r="T33" i="1" s="1"/>
  <c r="S8" i="1"/>
  <c r="T8" i="1" s="1"/>
  <c r="S11" i="1"/>
  <c r="T11" i="1" s="1"/>
  <c r="S13" i="1"/>
  <c r="T13" i="1" s="1"/>
  <c r="S14" i="1"/>
  <c r="T14" i="1" s="1"/>
  <c r="S24" i="1"/>
  <c r="T24" i="1" s="1"/>
  <c r="S25" i="1"/>
  <c r="T25" i="1" s="1"/>
  <c r="S26" i="1"/>
  <c r="T26" i="1" s="1"/>
  <c r="S31" i="1"/>
  <c r="T31" i="1" s="1"/>
  <c r="S41" i="1"/>
  <c r="T41" i="1" s="1"/>
  <c r="S17" i="1"/>
  <c r="T17" i="1" s="1"/>
  <c r="S23" i="1"/>
  <c r="T23" i="1" s="1"/>
  <c r="S34" i="1"/>
  <c r="T34" i="1" s="1"/>
  <c r="S39" i="1"/>
  <c r="T39" i="1" s="1"/>
  <c r="S44" i="1"/>
  <c r="T44" i="1" s="1"/>
  <c r="S12" i="1"/>
  <c r="T12" i="1" s="1"/>
  <c r="S15" i="1"/>
  <c r="T15" i="1" s="1"/>
  <c r="S20" i="1"/>
  <c r="T20" i="1" s="1"/>
  <c r="S21" i="1"/>
  <c r="T21" i="1" s="1"/>
  <c r="S22" i="1"/>
  <c r="T22" i="1" s="1"/>
  <c r="S27" i="1"/>
  <c r="T27" i="1" s="1"/>
  <c r="S36" i="1"/>
  <c r="T36" i="1" s="1"/>
  <c r="S37" i="1"/>
  <c r="T37" i="1" s="1"/>
  <c r="S38" i="1"/>
  <c r="T38" i="1" s="1"/>
  <c r="S43" i="1"/>
  <c r="T43" i="1" s="1"/>
  <c r="S16" i="1"/>
  <c r="T16" i="1" s="1"/>
  <c r="S18" i="1"/>
  <c r="T18" i="1" s="1"/>
  <c r="S45" i="1"/>
  <c r="T45" i="1" s="1"/>
  <c r="S46" i="1"/>
  <c r="T46" i="1" s="1"/>
  <c r="J47" i="1"/>
  <c r="S7" i="1"/>
  <c r="T7" i="1" s="1"/>
  <c r="S47" i="1"/>
  <c r="T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<sst xmlns="http://schemas.openxmlformats.org/spreadsheetml/2006/main" count="315" uniqueCount="205">
  <si>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</si>
  <si>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</si>
  <si>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</si>
  <si>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</si>
  <si>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</si>
  <si>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</si>
  <si>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</si>
  <si>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</si>
  <si>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</si>
  <si>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</si>
  <si>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</si>
  <si>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</si>
  <si>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</si>
  <si>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</si>
  <si>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</si>
  <si>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</si>
  <si>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</si>
  <si>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</si>
  <si>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</si>
  <si>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</si>
  <si>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</si>
  <si>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</si>
  <si>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</si>
  <si>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</si>
  <si>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</si>
  <si>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</si>
  <si>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</si>
  <si>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</si>
  <si>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</si>
  <si>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</si>
  <si>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</si>
  <si>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</si>
  <si>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</si>
  <si>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</si>
  <si>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</si>
  <si>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</si>
  <si>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</si>
  <si>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</si>
  <si>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</si>
  <si>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</si>
  <si>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</si>
  <si>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</si>
  <si>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</si>
  <si>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</si>
  <si>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</si>
  <si>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</si>
  <si>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</si>
  <si>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</si>
  <si>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</si>
  <si>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</si>
  <si>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</si>
  <si>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</si>
  <si>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</si>
  <si>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</si>
  <si>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</si>
  <si>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</si>
  <si>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</si>
  <si>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</si>
  <si>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</si>
  <si>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</si>
  <si>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</si>
  <si>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</si>
  <si>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</si>
  <si>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</si>
  <si>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</si>
  <si>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</si>
  <si>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</si>
  <si>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</si>
  <si>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</si>
  <si>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</si>
  <si>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</si>
  <si>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</si>
  <si>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</si>
  <si>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</si>
  <si>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</si>
  <si>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</si>
  <si>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</si>
  <si>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</si>
  <si>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</si>
  <si>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</si>
  <si>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</si>
  <si>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</si>
  <si>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</si>
  <si>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</si>
  <si>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</si>
  <si>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</si>
  <si>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</si>
  <si>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</si>
  <si>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</si>
  <si>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</si>
  <si>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</si>
  <si>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</si>
  <si>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</si>
  <si>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</si>
  <si>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</si>
  <si>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</si>
  <si>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</si>
  <si>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</si>
  <si>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</si>
  <si>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</si>
  <si>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</si>
  <si>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</si>
  <si>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</si>
  <si>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</si>
  <si>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</si>
  <si>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</si>
  <si>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</si>
  <si>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</si>
  <si>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</si>
  <si>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</si>
  <si>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</si>
  <si>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</si>
  <si>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</si>
  <si>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</si>
  <si>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</si>
  <si>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</si>
  <si>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</si>
  <si>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</si>
  <si>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</si>
  <si>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</si>
  <si>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</si>
  <si>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</si>
  <si>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</si>
  <si>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</si>
  <si>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</si>
  <si>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</si>
  <si>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</si>
  <si>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</si>
  <si>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</si>
  <si>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</si>
  <si>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</si>
  <si>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</si>
  <si>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</si>
  <si>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</si>
  <si>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</si>
  <si>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</si>
  <si>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</si>
  <si>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</si>
  <si>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</si>
  <si>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</si>
  <si>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</si>
  <si>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</si>
  <si>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</si>
  <si>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</si>
  <si>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</si>
  <si>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</si>
  <si>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</si>
  <si>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</si>
  <si>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ALBERTO ARISTIZABAL RAFAEL</t>
  </si>
  <si>
    <t>LAYOS JIMENEZ JOHAN CAMILO</t>
  </si>
  <si>
    <t>GONZALEZ PEREZ RAFAEL JOSE</t>
  </si>
  <si>
    <t>SERNA  GIOVANNY</t>
  </si>
  <si>
    <t>SUAREZ ESCUDERO JONATAN</t>
  </si>
  <si>
    <t>QUIRAMA CASTAÑEDA JHON JADER</t>
  </si>
  <si>
    <t>CALLE  RICARDO</t>
  </si>
  <si>
    <t>IBARGUEN GARRIDO JUAN ESTEBAN</t>
  </si>
  <si>
    <t>PEREZ GARCIA JUAN ESTEBAN</t>
  </si>
  <si>
    <t>VALENCIA MENDOZA JHON</t>
  </si>
  <si>
    <t>ROJAS ESCOBAR CRISTIAN ESNEIDER</t>
  </si>
  <si>
    <t>MARIN  JAIR</t>
  </si>
  <si>
    <t>CARTAGENA RAMIREZ FREDY ALONSO</t>
  </si>
  <si>
    <t>ARAQUE ARROYAVE JOSE ALBEIRO</t>
  </si>
  <si>
    <t>MARULANDA JARAMILLO DAWER ANDRES</t>
  </si>
  <si>
    <t>SANCHEZ BETANCOURT FRANSCISCO</t>
  </si>
  <si>
    <t>JIMENEZ JIMENEZ OMAR</t>
  </si>
  <si>
    <t>ESPINOZA ECHAVARRIA EMANUEL</t>
  </si>
  <si>
    <t>TORRES  JUAN DIEGO</t>
  </si>
  <si>
    <t>LONDOÑO LOPERA DUVAN ANDRES</t>
  </si>
  <si>
    <t>FLORES RINCON JORGE ALBERTO</t>
  </si>
  <si>
    <t>TUBERQUIA URREGO HAROL</t>
  </si>
  <si>
    <t>ESPINOZA CHAVARRIA GUILLERMO LEON</t>
  </si>
  <si>
    <t>MEJIA  JUAN PABLO</t>
  </si>
  <si>
    <t>LEON PEREZ RAUL ENRIQUE</t>
  </si>
  <si>
    <t>BETANCUR GUZMAN JHON FERNANDO</t>
  </si>
  <si>
    <t>MARIN GARCIA JUAN DANIEL</t>
  </si>
  <si>
    <t>MACEA ARBELAEZ MATEO</t>
  </si>
  <si>
    <t>MARIN ALZATE KEVIN ANDRES</t>
  </si>
  <si>
    <t>YEPES TORRES JHON ALEXANDER</t>
  </si>
  <si>
    <t>PALMAR PANA EDIXON JOSUE</t>
  </si>
  <si>
    <t>OCAMPO OCAMPO ANTONIO JOSE</t>
  </si>
  <si>
    <t>MACIAS HERNANDEZ JULIAN DAVID</t>
  </si>
  <si>
    <t>MURILLO  YOIMAR ANDRES</t>
  </si>
  <si>
    <t>MARTINEZ CHAVERRA LUIS NORBERTO</t>
  </si>
  <si>
    <t>AGUDELO GARCIA LLORDIN ELIAS</t>
  </si>
  <si>
    <t>FRANCO CARVAJAL GERARDO ANTONIO</t>
  </si>
  <si>
    <t>JARAMILLO JARAMILLO FRANCISCO WBEIMAR</t>
  </si>
  <si>
    <t>HERNANDEZ MACIAS GILBERTO</t>
  </si>
  <si>
    <t xml:space="preserve">PARRA VILLA YUBER ALONSO </t>
  </si>
  <si>
    <t xml:space="preserve">4 Descuentos (Conduct y usuario desubicado) </t>
  </si>
  <si>
    <t xml:space="preserve">2 Descuentos (Despachador) </t>
  </si>
  <si>
    <t xml:space="preserve">1 Descuento (Usuario desubicado) </t>
  </si>
  <si>
    <t xml:space="preserve">1 Descuento (Despachador) </t>
  </si>
  <si>
    <t xml:space="preserve">2 Descuentos (Conducts) </t>
  </si>
  <si>
    <t xml:space="preserve">7 Descuentos (Transbordo) </t>
  </si>
  <si>
    <t xml:space="preserve">2 Descuentos (Despachador y usuario desubicado) </t>
  </si>
  <si>
    <t xml:space="preserve">3 Descuentos (Conduct y transbordo) </t>
  </si>
  <si>
    <t xml:space="preserve">15 Descuentos (Transbordo) </t>
  </si>
  <si>
    <t xml:space="preserve">1 Descuento (Usuario movilidad reducida) </t>
  </si>
  <si>
    <t xml:space="preserve">3 Descuentos (Conduct y asociado) </t>
  </si>
  <si>
    <t xml:space="preserve">32 Descuentos (Transbordo y conducts) </t>
  </si>
  <si>
    <t xml:space="preserve">Se descuenta 0.5 viaje de 6 54 pm ya NO cumple con las indicaciones del Despachador en el paradero. </t>
  </si>
  <si>
    <t xml:space="preserve">Se descuenta 0.5 viaje de 10 31 am ya que NO ingresa al 13. 1 Descuento (Despachador) </t>
  </si>
  <si>
    <t xml:space="preserve">Se descuenta 0.5 viaje de 10 45 am ya que NO ingresa al 13. 1 Descuento (Usuario desubicado) </t>
  </si>
  <si>
    <t>FONDO (SIT)</t>
  </si>
  <si>
    <r>
      <t xml:space="preserve">PROMEDIO X VIAJE </t>
    </r>
    <r>
      <rPr>
        <b/>
        <sz val="11"/>
        <color theme="8" tint="-0.249977111117893"/>
        <rFont val="Verdana"/>
        <family val="2"/>
      </rPr>
      <t>22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</si>
</sst>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0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0" fontId="0" fillId="0" borderId="15" xfId="0" applyBorder="1"/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Fill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1" fontId="33" fillId="0" borderId="8" xfId="1" applyNumberFormat="1" applyFont="1" applyBorder="1" applyAlignment="1">
      <alignment horizontal="center" vertical="center"/>
    </xf>
    <xf numFmtId="2" fontId="0" fillId="0" borderId="0" xfId="0" applyNumberFormat="1" applyAlignment="1">
      <alignment vertic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Import!$C$7:$C$47</c:f>
              <c:numCache>
                <c:formatCode>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 formatCode="General">
                  <c:v>5</c:v>
                </c:pt>
                <c:pt idx="5">
                  <c:v>6</c:v>
                </c:pt>
                <c:pt idx="6" formatCode="General">
                  <c:v>7</c:v>
                </c:pt>
                <c:pt idx="7">
                  <c:v>8</c:v>
                </c:pt>
                <c:pt idx="8">
                  <c:v>9</c:v>
                </c:pt>
                <c:pt idx="9" formatCode="General">
                  <c:v>10</c:v>
                </c:pt>
                <c:pt idx="10">
                  <c:v>11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 formatCode="General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 formatCode="General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</c:numCache>
            </c:numRef>
          </c:cat>
          <c:val>
            <c:numRef>
              <c:f>Import!$H$7:$H$47</c:f>
              <c:numCache>
                <c:formatCode>_-* #,##0.0_-;\-* #,##0.0_-;_-* "-"??_-;_-@_-</c:formatCode>
                <c:ptCount val="40"/>
                <c:pt idx="0">
                  <c:v>23.636363636363637</c:v>
                </c:pt>
                <c:pt idx="1">
                  <c:v>17.25</c:v>
                </c:pt>
                <c:pt idx="2">
                  <c:v>22.75</c:v>
                </c:pt>
                <c:pt idx="3">
                  <c:v>29</c:v>
                </c:pt>
                <c:pt idx="4">
                  <c:v>23.333333333333332</c:v>
                </c:pt>
                <c:pt idx="5">
                  <c:v>24.444444444444443</c:v>
                </c:pt>
                <c:pt idx="6">
                  <c:v>23.684210526315791</c:v>
                </c:pt>
                <c:pt idx="7">
                  <c:v>22.8</c:v>
                </c:pt>
                <c:pt idx="8">
                  <c:v>24.666666666666668</c:v>
                </c:pt>
                <c:pt idx="9">
                  <c:v>25.333333333333332</c:v>
                </c:pt>
                <c:pt idx="10">
                  <c:v>21.5</c:v>
                </c:pt>
                <c:pt idx="11">
                  <c:v>23.6</c:v>
                </c:pt>
                <c:pt idx="12">
                  <c:v>19.444444444444443</c:v>
                </c:pt>
                <c:pt idx="13">
                  <c:v>21.5</c:v>
                </c:pt>
                <c:pt idx="14">
                  <c:v>20.90909090909091</c:v>
                </c:pt>
                <c:pt idx="15">
                  <c:v>23.111111111111111</c:v>
                </c:pt>
                <c:pt idx="16">
                  <c:v>21.625</c:v>
                </c:pt>
                <c:pt idx="17">
                  <c:v>25.666666666666668</c:v>
                </c:pt>
                <c:pt idx="18">
                  <c:v>25.25</c:v>
                </c:pt>
                <c:pt idx="19">
                  <c:v>20.142857142857142</c:v>
                </c:pt>
                <c:pt idx="20">
                  <c:v>19.600000000000001</c:v>
                </c:pt>
                <c:pt idx="21">
                  <c:v>19.7</c:v>
                </c:pt>
                <c:pt idx="22">
                  <c:v>21.666666666666668</c:v>
                </c:pt>
                <c:pt idx="23">
                  <c:v>22.545454545454547</c:v>
                </c:pt>
                <c:pt idx="24">
                  <c:v>17.571428571428573</c:v>
                </c:pt>
                <c:pt idx="25">
                  <c:v>22.7</c:v>
                </c:pt>
                <c:pt idx="26">
                  <c:v>19.2</c:v>
                </c:pt>
                <c:pt idx="27">
                  <c:v>19.363636363636363</c:v>
                </c:pt>
                <c:pt idx="28">
                  <c:v>19.333333333333332</c:v>
                </c:pt>
                <c:pt idx="29">
                  <c:v>18.600000000000001</c:v>
                </c:pt>
                <c:pt idx="30">
                  <c:v>22</c:v>
                </c:pt>
                <c:pt idx="31">
                  <c:v>21</c:v>
                </c:pt>
                <c:pt idx="32">
                  <c:v>19.8</c:v>
                </c:pt>
                <c:pt idx="33">
                  <c:v>21.46153846153846</c:v>
                </c:pt>
                <c:pt idx="34">
                  <c:v>21.9</c:v>
                </c:pt>
                <c:pt idx="35">
                  <c:v>24.333333333333332</c:v>
                </c:pt>
                <c:pt idx="36">
                  <c:v>23.111111111111111</c:v>
                </c:pt>
                <c:pt idx="37">
                  <c:v>26.4</c:v>
                </c:pt>
                <c:pt idx="38">
                  <c:v>21.571428571428573</c:v>
                </c:pt>
                <c:pt idx="39">
                  <c:v>20.5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7" totalsRowCount="1" headerRowDxfId="64" dataDxfId="63" totalsRowDxfId="62">
  <sortState xmlns:xlrd2="http://schemas.microsoft.com/office/spreadsheetml/2017/richdata2" ref="B7:N46">
    <sortCondition ref="C41:C46"/>
  </sortState>
  <tableColumns count="14">
    <tableColumn id="1" xr3:uid="{00000000-0010-0000-0000-000001000000}" name="RUTA" dataDxfId="34" totalsRowDxfId="13"/>
    <tableColumn id="2" xr3:uid="{00000000-0010-0000-0000-000002000000}" name="VEH" totalsRowFunction="countNums" dataDxfId="33" totalsRowDxfId="12"/>
    <tableColumn id="3" xr3:uid="{00000000-0010-0000-0000-000003000000}" name="CONDUCTOR" totalsRowLabel="Vehs " dataDxfId="32" totalsRowDxfId="11"/>
    <tableColumn id="4" xr3:uid="{00000000-0010-0000-0000-000004000000}" name="VIAJES" totalsRowFunction="sum" dataDxfId="31" totalsRowDxfId="10"/>
    <tableColumn id="5" xr3:uid="{00000000-0010-0000-0000-000005000000}" name="VIAJES PERD." totalsRowFunction="sum" dataDxfId="30" totalsRowDxfId="9"/>
    <tableColumn id="6" xr3:uid="{00000000-0010-0000-0000-000006000000}" name="USUARIOS" totalsRowFunction="sum" dataDxfId="29" totalsRowDxfId="8" dataCellStyle="Millares"/>
    <tableColumn id="12" xr3:uid="{00000000-0010-0000-0000-00000C000000}" name="PROM X VIAJE" totalsRowFunction="custom" dataDxfId="28" totalsRowDxfId="7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27" totalsRowDxfId="6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26" totalsRowDxfId="5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22 USUARIOS" dataDxfId="25" totalsRowDxfId="4"/>
    <tableColumn id="9" xr3:uid="{00000000-0010-0000-0000-000009000000}" name="VALOR OPERACIÓN" dataDxfId="24" totalsRowDxfId="3">
      <calculatedColumnFormula>Q7*635</calculatedColumnFormula>
    </tableColumn>
    <tableColumn id="10" xr3:uid="{00000000-0010-0000-0000-00000A000000}" name="CLASIFIC." dataDxfId="23" totalsRowDxfId="2">
      <calculatedColumnFormula>+VLOOKUP(C7,Lista!B:D,3,0)</calculatedColumnFormula>
    </tableColumn>
    <tableColumn id="11" xr3:uid="{00000000-0010-0000-0000-00000B000000}" name="DIFER. MICRO - BUS " totalsRowFunction="sum" dataDxfId="22" totalsRowDxfId="1" dataCellStyle="Millares">
      <calculatedColumnFormula>+(SUMIFS(G:G,M:M,"MICRO",E:E,"&gt;0")*100)/COUNTIF($E$7:$E$46,"&gt;0")</calculatedColumnFormula>
    </tableColumn>
    <tableColumn id="14" xr3:uid="{6D451D99-11CC-4E4A-9A6A-833EBC4BF48F}" name="FONDO (SIT)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61" dataDxfId="60" totalsRowDxfId="59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8" totalsRowDxfId="57"/>
    <tableColumn id="2" xr3:uid="{7E9A4909-E53D-4F94-80A1-A675A394CC57}" name="VEH" totalsRowLabel="4" dataDxfId="56" totalsRowDxfId="55"/>
    <tableColumn id="3" xr3:uid="{32EB6A87-92EF-4CA2-B1E8-104D5D2326F5}" name="CONDUCTOR" totalsRowLabel="Vehs " dataDxfId="54" totalsRowDxfId="53"/>
    <tableColumn id="4" xr3:uid="{72FB169E-4910-4353-AF10-07DA297F0CD5}" name="VIAJES" totalsRowFunction="sum" dataDxfId="52" totalsRowDxfId="51"/>
    <tableColumn id="5" xr3:uid="{F323DE89-3087-4D39-B0ED-15680CB2FE01}" name="VIAJES PERD." totalsRowFunction="sum" dataDxfId="50" totalsRowDxfId="49"/>
    <tableColumn id="6" xr3:uid="{FF87B711-9A02-4FB5-B21F-73198A4385A8}" name="USUARIOS" totalsRowFunction="sum" dataDxfId="48" totalsRowDxfId="47" dataCellStyle="Millares"/>
    <tableColumn id="12" xr3:uid="{60E0DB3A-B7E4-44B6-BB26-D54278C24006}" name="PROM X VIAJE" totalsRowFunction="average" dataDxfId="46" totalsRowDxfId="45" dataCellStyle="Millares"/>
    <tableColumn id="7" xr3:uid="{12134CBA-AEEC-4025-BB5C-89B13D8F91D4}" name="PROM DE USUARIOS" totalsRowFunction="sum" dataDxfId="44" totalsRowDxfId="43" dataCellStyle="Millares"/>
    <tableColumn id="8" xr3:uid="{F35B2CED-DE3E-48D9-8E47-198F9B4F56C9}" name="NOVEDADES" dataDxfId="42" totalsRowDxfId="41"/>
    <tableColumn id="9" xr3:uid="{4BD57B08-79CF-4422-A880-91A289697DC2}" name="VALOR OPERACIÓN" dataDxfId="40" totalsRowDxfId="39" dataCellStyle="Millares"/>
    <tableColumn id="10" xr3:uid="{E8B6C5A5-759D-4901-BD5D-0ADA9540975C}" name="CLASIFIC." dataDxfId="38" totalsRowDxfId="37"/>
    <tableColumn id="11" xr3:uid="{CFA53866-4E21-473F-9C2D-8FB2962BACB5}" name="DIFER. MICRO - BUS " totalsRowFunction="sum" dataDxfId="36" totalsRowDxfId="35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7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62" customWidth="1"/>
    <col min="12" max="12" width="10.5" style="337" bestFit="1" customWidth="1"/>
    <col min="13" max="13" width="9.625" customWidth="1"/>
    <col min="14" max="14" width="11.375" customWidth="1"/>
    <col min="15" max="15" width="13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5" t="s">
        <v>142</v>
      </c>
      <c r="E1" s="365"/>
      <c r="F1" s="365"/>
      <c r="G1" s="365"/>
      <c r="H1" s="365"/>
      <c r="I1" s="19"/>
      <c r="J1" s="338"/>
      <c r="K1" s="195"/>
      <c r="L1"/>
    </row>
    <row r="2" spans="1:32" ht="49.5" thickBot="1" x14ac:dyDescent="0.35">
      <c r="D2" s="366" t="s">
        <v>141</v>
      </c>
      <c r="E2" s="366"/>
      <c r="F2" s="366"/>
      <c r="G2" s="366"/>
      <c r="H2" s="366"/>
      <c r="I2" s="366"/>
      <c r="J2" s="366"/>
      <c r="K2" s="366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7"/>
      <c r="C3" s="367"/>
      <c r="D3" s="367"/>
      <c r="E3" s="367"/>
      <c r="F3" s="367"/>
      <c r="G3" s="241"/>
      <c r="H3" s="243"/>
      <c r="I3" s="19"/>
      <c r="J3" s="338"/>
      <c r="K3" s="195"/>
      <c r="L3" s="197"/>
      <c r="Q3" s="55">
        <f>+SUM(G6:G1858)/2</f>
        <v>7575</v>
      </c>
      <c r="R3" s="55">
        <f>+SUM(E6:E1858)/2</f>
        <v>344</v>
      </c>
      <c r="S3" s="55">
        <f>+Q3-R3</f>
        <v>7231</v>
      </c>
      <c r="T3" s="56">
        <f>+S3/R3</f>
        <v>21.020348837209301</v>
      </c>
      <c r="V3" s="15"/>
      <c r="X3" s="15"/>
      <c r="Z3" s="15"/>
      <c r="AB3" s="15"/>
      <c r="AD3" s="15"/>
      <c r="AF3" s="15"/>
    </row>
    <row r="4" spans="1:32" x14ac:dyDescent="0.2">
      <c r="B4" s="367"/>
      <c r="C4" s="367"/>
      <c r="D4" s="367"/>
      <c r="E4" s="367"/>
      <c r="F4" s="367"/>
      <c r="G4" s="194">
        <v>46070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203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121</v>
      </c>
      <c r="C7" s="166">
        <v>1</v>
      </c>
      <c r="D7" s="151" t="s">
        <v>158</v>
      </c>
      <c r="E7" s="150">
        <v>5.5</v>
      </c>
      <c r="F7" s="150">
        <v>0.5</v>
      </c>
      <c r="G7" s="165">
        <v>130</v>
      </c>
      <c r="H7" s="226">
        <f>+G7/E7</f>
        <v>23.636363636363637</v>
      </c>
      <c r="I7" s="227">
        <f>+(SUM($G$7:$G$1048576)/SUM($E$7:$E$1048576))*E7</f>
        <v>121.11191860465115</v>
      </c>
      <c r="J7" s="363">
        <f>+Tabla2[[#This Row],[PROM DE USUARIOS]]-Tabla2[[#This Row],[USUARIOS]]</f>
        <v>-8.8880813953488484</v>
      </c>
      <c r="K7" s="151"/>
      <c r="L7" s="163">
        <f>Q7*635</f>
        <v>73413.568313953481</v>
      </c>
      <c r="M7" s="162" t="str">
        <f>+VLOOKUP(C7,Lista!B:D,3,0)</f>
        <v>MICRO</v>
      </c>
      <c r="N7" s="164">
        <f t="shared" ref="N7:N46" si="0">+(SUMIFS(G:G,M:M,"MICRO",E:E,"&gt;0")*100)/COUNTIF($E$7:$E$46,"&gt;0")</f>
        <v>10885</v>
      </c>
      <c r="O7" s="164">
        <f>Tabla2[[#This Row],[USUARIOS]]*150</f>
        <v>19500</v>
      </c>
      <c r="P7" s="50">
        <f>+(E7*1)-W7</f>
        <v>5.5</v>
      </c>
      <c r="Q7" s="47">
        <f>+I7-P7-X7</f>
        <v>115.61191860465115</v>
      </c>
      <c r="R7" s="49">
        <f>+G7-P7</f>
        <v>124.5</v>
      </c>
      <c r="S7" s="51">
        <f>+E7*$T$3</f>
        <v>115.61191860465115</v>
      </c>
      <c r="T7" s="46">
        <f t="shared" ref="T7" si="1">+S7*550</f>
        <v>63586.55523255813</v>
      </c>
      <c r="U7" t="str">
        <f>+IF(K7&lt;&gt;"",K7,"")</f>
        <v/>
      </c>
      <c r="V7">
        <f>+RANK(H7,$H$6:$H$1048576,1)</f>
        <v>32</v>
      </c>
      <c r="W7"/>
      <c r="X7"/>
      <c r="Z7" t="str">
        <f>TRIM(Tabla2[[#This Row],[CONDUCTOR]])</f>
        <v>ROJAS ESCOBAR CRISTIAN ESNEIDER</v>
      </c>
    </row>
    <row r="8" spans="1:32" x14ac:dyDescent="0.2">
      <c r="B8" s="136" t="s">
        <v>122</v>
      </c>
      <c r="C8" s="166">
        <v>2</v>
      </c>
      <c r="D8" s="151" t="s">
        <v>185</v>
      </c>
      <c r="E8" s="150">
        <v>4</v>
      </c>
      <c r="F8" s="150">
        <v>0</v>
      </c>
      <c r="G8" s="165">
        <v>69</v>
      </c>
      <c r="H8" s="226">
        <f t="shared" ref="H8:H46" si="2">+G8/E8</f>
        <v>17.25</v>
      </c>
      <c r="I8" s="227">
        <f t="shared" ref="I8:I46" si="3">+(SUM($G$7:$G$1048576)/SUM($E$7:$E$1048576))*E8</f>
        <v>88.081395348837205</v>
      </c>
      <c r="J8" s="363">
        <f>+Tabla2[[#This Row],[PROM DE USUARIOS]]-Tabla2[[#This Row],[USUARIOS]]</f>
        <v>19.081395348837205</v>
      </c>
      <c r="K8" s="151"/>
      <c r="L8" s="163">
        <f t="shared" ref="L8:L46" si="4">Q8*635</f>
        <v>53391.686046511626</v>
      </c>
      <c r="M8" s="162">
        <f>+VLOOKUP(C8,Lista!B:D,3,0)</f>
        <v>0</v>
      </c>
      <c r="N8" s="164">
        <f t="shared" si="0"/>
        <v>10885</v>
      </c>
      <c r="O8" s="164">
        <f>Tabla2[[#This Row],[USUARIOS]]*150</f>
        <v>10350</v>
      </c>
      <c r="P8" s="50">
        <f>+(E8*1)-W8</f>
        <v>4</v>
      </c>
      <c r="Q8" s="47">
        <f>+I8-P8-X8</f>
        <v>84.081395348837205</v>
      </c>
      <c r="R8" s="49">
        <f>+G8-P8</f>
        <v>65</v>
      </c>
      <c r="S8" s="51">
        <f>+E8*$T$3</f>
        <v>84.081395348837205</v>
      </c>
      <c r="T8" s="46">
        <f t="shared" ref="T8:T46" si="5">+S8*550</f>
        <v>46244.767441860466</v>
      </c>
      <c r="U8" t="str">
        <f>+IF(K8&lt;&gt;"",K8,"")</f>
        <v/>
      </c>
      <c r="V8">
        <f>+RANK(H8,$H$6:$H$1048576,1)</f>
        <v>1</v>
      </c>
      <c r="Z8" t="str">
        <f>TRIM(Tabla2[[#This Row],[CONDUCTOR]])</f>
        <v>JARAMILLO JARAMILLO FRANCISCO WBEIMAR</v>
      </c>
    </row>
    <row r="9" spans="1:32" x14ac:dyDescent="0.2">
      <c r="B9" s="136" t="s">
        <v>121</v>
      </c>
      <c r="C9" s="166">
        <v>3</v>
      </c>
      <c r="D9" s="151" t="s">
        <v>186</v>
      </c>
      <c r="E9" s="150">
        <v>4</v>
      </c>
      <c r="F9" s="150">
        <v>0</v>
      </c>
      <c r="G9" s="146">
        <v>91</v>
      </c>
      <c r="H9" s="226">
        <f t="shared" si="2"/>
        <v>22.75</v>
      </c>
      <c r="I9" s="227">
        <f t="shared" si="3"/>
        <v>88.081395348837205</v>
      </c>
      <c r="J9" s="363">
        <f>+Tabla2[[#This Row],[PROM DE USUARIOS]]-Tabla2[[#This Row],[USUARIOS]]</f>
        <v>-2.918604651162795</v>
      </c>
      <c r="K9" s="151" t="s">
        <v>129</v>
      </c>
      <c r="L9" s="163">
        <f t="shared" si="4"/>
        <v>53391.686046511626</v>
      </c>
      <c r="M9" s="162" t="str">
        <f>+VLOOKUP(C9,Lista!B:D,3,0)</f>
        <v>MICRO</v>
      </c>
      <c r="N9" s="164">
        <f t="shared" si="0"/>
        <v>10885</v>
      </c>
      <c r="O9" s="164">
        <f>Tabla2[[#This Row],[USUARIOS]]*150</f>
        <v>13650</v>
      </c>
      <c r="P9" s="50">
        <f>+(E9*1)-W9</f>
        <v>4</v>
      </c>
      <c r="Q9" s="47">
        <f>+I9-P9-X9</f>
        <v>84.081395348837205</v>
      </c>
      <c r="R9" s="49">
        <f>+G9-P9</f>
        <v>87</v>
      </c>
      <c r="S9" s="51">
        <f>+E9*$T$3</f>
        <v>84.081395348837205</v>
      </c>
      <c r="T9" s="46">
        <f t="shared" si="5"/>
        <v>46244.767441860466</v>
      </c>
      <c r="U9" t="str">
        <f>+IF(K9&lt;&gt;"",K9,"")</f>
        <v xml:space="preserve">1 Descuento (Conduct) </v>
      </c>
      <c r="V9">
        <f>+RANK(H9,$H$6:$H$1048576,1)</f>
        <v>26</v>
      </c>
      <c r="Z9" t="str">
        <f>TRIM(Tabla2[[#This Row],[CONDUCTOR]])</f>
        <v>HERNANDEZ MACIAS GILBERTO</v>
      </c>
    </row>
    <row r="10" spans="1:32" x14ac:dyDescent="0.2">
      <c r="B10" s="136" t="s">
        <v>122</v>
      </c>
      <c r="C10" s="166">
        <v>4</v>
      </c>
      <c r="D10" s="151" t="s">
        <v>165</v>
      </c>
      <c r="E10" s="150">
        <v>7</v>
      </c>
      <c r="F10" s="150">
        <v>0</v>
      </c>
      <c r="G10" s="146">
        <v>203</v>
      </c>
      <c r="H10" s="226">
        <f t="shared" si="2"/>
        <v>29</v>
      </c>
      <c r="I10" s="227">
        <f t="shared" si="3"/>
        <v>154.14244186046511</v>
      </c>
      <c r="J10" s="363">
        <f>+Tabla2[[#This Row],[PROM DE USUARIOS]]-Tabla2[[#This Row],[USUARIOS]]</f>
        <v>-48.857558139534888</v>
      </c>
      <c r="K10" s="151"/>
      <c r="L10" s="163">
        <f t="shared" si="4"/>
        <v>93435.450581395344</v>
      </c>
      <c r="M10" s="162" t="str">
        <f>+VLOOKUP(C10,Lista!B:D,3,0)</f>
        <v>MICRO</v>
      </c>
      <c r="N10" s="164">
        <f t="shared" si="0"/>
        <v>10885</v>
      </c>
      <c r="O10" s="164">
        <f>Tabla2[[#This Row],[USUARIOS]]*150</f>
        <v>30450</v>
      </c>
      <c r="P10" s="50">
        <f>+(E10*1)-W10</f>
        <v>7</v>
      </c>
      <c r="Q10" s="47">
        <f>+I10-P10-X10</f>
        <v>147.14244186046511</v>
      </c>
      <c r="R10" s="49">
        <f>+G10-P10</f>
        <v>196</v>
      </c>
      <c r="S10" s="51">
        <f>+E10*$T$3</f>
        <v>147.14244186046511</v>
      </c>
      <c r="T10" s="46">
        <f t="shared" si="5"/>
        <v>80928.343023255817</v>
      </c>
      <c r="U10" t="str">
        <f>+IF(K10&lt;&gt;"",K10,"")</f>
        <v/>
      </c>
      <c r="V10">
        <f>+RANK(H10,$H$6:$H$1048576,1)</f>
        <v>41</v>
      </c>
      <c r="Z10" t="str">
        <f>TRIM(Tabla2[[#This Row],[CONDUCTOR]])</f>
        <v>ESPINOZA ECHAVARRIA EMANUEL</v>
      </c>
    </row>
    <row r="11" spans="1:32" x14ac:dyDescent="0.2">
      <c r="B11" s="136" t="s">
        <v>121</v>
      </c>
      <c r="C11" s="137">
        <v>5</v>
      </c>
      <c r="D11" s="151" t="s">
        <v>167</v>
      </c>
      <c r="E11" s="150">
        <v>9</v>
      </c>
      <c r="F11" s="150">
        <v>0</v>
      </c>
      <c r="G11" s="146">
        <v>210</v>
      </c>
      <c r="H11" s="226">
        <f t="shared" si="2"/>
        <v>23.333333333333332</v>
      </c>
      <c r="I11" s="227">
        <f t="shared" si="3"/>
        <v>198.18313953488371</v>
      </c>
      <c r="J11" s="363">
        <f>+Tabla2[[#This Row],[PROM DE USUARIOS]]-Tabla2[[#This Row],[USUARIOS]]</f>
        <v>-11.816860465116292</v>
      </c>
      <c r="K11" s="151"/>
      <c r="L11" s="163">
        <f t="shared" si="4"/>
        <v>120131.29360465116</v>
      </c>
      <c r="M11" s="162">
        <f>+VLOOKUP(C11,Lista!B:D,3,0)</f>
        <v>0</v>
      </c>
      <c r="N11" s="164">
        <f t="shared" si="0"/>
        <v>10885</v>
      </c>
      <c r="O11" s="164">
        <f>Tabla2[[#This Row],[USUARIOS]]*150</f>
        <v>31500</v>
      </c>
      <c r="P11" s="50">
        <f>+(E11*1)-W11</f>
        <v>9</v>
      </c>
      <c r="Q11" s="47">
        <f>+I11-P11-X11</f>
        <v>189.18313953488371</v>
      </c>
      <c r="R11" s="49">
        <f>+G11-P11</f>
        <v>201</v>
      </c>
      <c r="S11" s="51">
        <f>+E11*$T$3</f>
        <v>189.18313953488371</v>
      </c>
      <c r="T11" s="46">
        <f t="shared" si="5"/>
        <v>104050.72674418605</v>
      </c>
      <c r="U11" t="str">
        <f>+IF(K11&lt;&gt;"",K11,"")</f>
        <v/>
      </c>
      <c r="V11">
        <f>+RANK(H11,$H$6:$H$1048576,1)</f>
        <v>30</v>
      </c>
      <c r="Z11" t="str">
        <f>TRIM(Tabla2[[#This Row],[CONDUCTOR]])</f>
        <v>LONDOÑO LOPERA DUVAN ANDRES</v>
      </c>
    </row>
    <row r="12" spans="1:32" x14ac:dyDescent="0.2">
      <c r="B12" s="136" t="s">
        <v>122</v>
      </c>
      <c r="C12" s="166">
        <v>6</v>
      </c>
      <c r="D12" s="151" t="s">
        <v>151</v>
      </c>
      <c r="E12" s="150">
        <v>9</v>
      </c>
      <c r="F12" s="150">
        <v>0</v>
      </c>
      <c r="G12" s="165">
        <v>220</v>
      </c>
      <c r="H12" s="226">
        <f t="shared" si="2"/>
        <v>24.444444444444443</v>
      </c>
      <c r="I12" s="227">
        <f t="shared" si="3"/>
        <v>198.18313953488371</v>
      </c>
      <c r="J12" s="363">
        <f>+Tabla2[[#This Row],[PROM DE USUARIOS]]-Tabla2[[#This Row],[USUARIOS]]</f>
        <v>-21.816860465116292</v>
      </c>
      <c r="K12" s="151"/>
      <c r="L12" s="163">
        <f t="shared" si="4"/>
        <v>120131.29360465116</v>
      </c>
      <c r="M12" s="162" t="str">
        <f>+VLOOKUP(C12,Lista!B:D,3,0)</f>
        <v>MICRO</v>
      </c>
      <c r="N12" s="164">
        <f t="shared" si="0"/>
        <v>10885</v>
      </c>
      <c r="O12" s="164">
        <f>Tabla2[[#This Row],[USUARIOS]]*150</f>
        <v>33000</v>
      </c>
      <c r="P12" s="50">
        <f>+(E12*1)-W12</f>
        <v>9</v>
      </c>
      <c r="Q12" s="47">
        <f>+I12-P12-X12</f>
        <v>189.18313953488371</v>
      </c>
      <c r="R12" s="49">
        <f>+G12-P12</f>
        <v>211</v>
      </c>
      <c r="S12" s="51">
        <f>+E12*$T$3</f>
        <v>189.18313953488371</v>
      </c>
      <c r="T12" s="46">
        <f t="shared" si="5"/>
        <v>104050.72674418605</v>
      </c>
      <c r="U12" t="str">
        <f>+IF(K12&lt;&gt;"",K12,"")</f>
        <v/>
      </c>
      <c r="V12">
        <f>+RANK(H12,$H$6:$H$1048576,1)</f>
        <v>35</v>
      </c>
      <c r="Z12" t="str">
        <f>TRIM(Tabla2[[#This Row],[CONDUCTOR]])</f>
        <v>SERNA GIOVANNY</v>
      </c>
    </row>
    <row r="13" spans="1:32" x14ac:dyDescent="0.2">
      <c r="B13" s="136" t="s">
        <v>121</v>
      </c>
      <c r="C13" s="137">
        <v>7</v>
      </c>
      <c r="D13" s="151" t="s">
        <v>169</v>
      </c>
      <c r="E13" s="150">
        <v>9.5</v>
      </c>
      <c r="F13" s="150">
        <v>0.5</v>
      </c>
      <c r="G13" s="165">
        <v>225</v>
      </c>
      <c r="H13" s="226">
        <f t="shared" si="2"/>
        <v>23.684210526315791</v>
      </c>
      <c r="I13" s="227">
        <f t="shared" si="3"/>
        <v>209.19331395348837</v>
      </c>
      <c r="J13" s="363">
        <f>+Tabla2[[#This Row],[PROM DE USUARIOS]]-Tabla2[[#This Row],[USUARIOS]]</f>
        <v>-15.806686046511629</v>
      </c>
      <c r="K13" s="151" t="s">
        <v>188</v>
      </c>
      <c r="L13" s="163">
        <f t="shared" si="4"/>
        <v>126805.25436046511</v>
      </c>
      <c r="M13" s="162">
        <f>+VLOOKUP(C13,Lista!B:D,3,0)</f>
        <v>0</v>
      </c>
      <c r="N13" s="164">
        <f t="shared" si="0"/>
        <v>10885</v>
      </c>
      <c r="O13" s="164">
        <f>Tabla2[[#This Row],[USUARIOS]]*150</f>
        <v>33750</v>
      </c>
      <c r="P13" s="50">
        <f>+(E13*1)-W13</f>
        <v>9.5</v>
      </c>
      <c r="Q13" s="47">
        <f>+I13-P13-X13</f>
        <v>199.69331395348837</v>
      </c>
      <c r="R13" s="49">
        <f>+G13-P13</f>
        <v>215.5</v>
      </c>
      <c r="S13" s="51">
        <f>+E13*$T$3</f>
        <v>199.69331395348837</v>
      </c>
      <c r="T13" s="46">
        <f t="shared" si="5"/>
        <v>109831.32267441861</v>
      </c>
      <c r="U13" t="str">
        <f>+IF(K13&lt;&gt;"",K13,"")</f>
        <v xml:space="preserve">4 Descuentos (Conduct y usuario desubicado) </v>
      </c>
      <c r="V13">
        <f>+RANK(H13,$H$6:$H$1048576,1)</f>
        <v>33</v>
      </c>
      <c r="Z13" t="str">
        <f>TRIM(Tabla2[[#This Row],[CONDUCTOR]])</f>
        <v>TUBERQUIA URREGO HAROL</v>
      </c>
    </row>
    <row r="14" spans="1:32" x14ac:dyDescent="0.2">
      <c r="B14" s="136" t="s">
        <v>122</v>
      </c>
      <c r="C14" s="166">
        <v>8</v>
      </c>
      <c r="D14" s="151" t="s">
        <v>150</v>
      </c>
      <c r="E14" s="150">
        <v>10</v>
      </c>
      <c r="F14" s="150">
        <v>0</v>
      </c>
      <c r="G14" s="165">
        <v>228</v>
      </c>
      <c r="H14" s="226">
        <f t="shared" si="2"/>
        <v>22.8</v>
      </c>
      <c r="I14" s="227">
        <f t="shared" si="3"/>
        <v>220.20348837209301</v>
      </c>
      <c r="J14" s="363">
        <f>+Tabla2[[#This Row],[PROM DE USUARIOS]]-Tabla2[[#This Row],[USUARIOS]]</f>
        <v>-7.7965116279069946</v>
      </c>
      <c r="K14" s="151"/>
      <c r="L14" s="163">
        <f t="shared" si="4"/>
        <v>133479.21511627905</v>
      </c>
      <c r="M14" s="162">
        <f>+VLOOKUP(C14,Lista!B:D,3,0)</f>
        <v>0</v>
      </c>
      <c r="N14" s="164">
        <f t="shared" si="0"/>
        <v>10885</v>
      </c>
      <c r="O14" s="164">
        <f>Tabla2[[#This Row],[USUARIOS]]*150</f>
        <v>34200</v>
      </c>
      <c r="P14" s="50">
        <f>+(E14*1)-W14</f>
        <v>10</v>
      </c>
      <c r="Q14" s="47">
        <f>+I14-P14-X14</f>
        <v>210.20348837209301</v>
      </c>
      <c r="R14" s="49">
        <f>+G14-P14</f>
        <v>218</v>
      </c>
      <c r="S14" s="51">
        <f>+E14*$T$3</f>
        <v>210.20348837209301</v>
      </c>
      <c r="T14" s="46">
        <f t="shared" si="5"/>
        <v>115611.91860465115</v>
      </c>
      <c r="U14" t="str">
        <f>+IF(K14&lt;&gt;"",K14,"")</f>
        <v/>
      </c>
      <c r="V14">
        <f>+RANK(H14,$H$6:$H$1048576,1)</f>
        <v>27</v>
      </c>
      <c r="Z14" t="str">
        <f>TRIM(Tabla2[[#This Row],[CONDUCTOR]])</f>
        <v>GONZALEZ PEREZ RAFAEL JOSE</v>
      </c>
    </row>
    <row r="15" spans="1:32" x14ac:dyDescent="0.2">
      <c r="B15" s="136" t="s">
        <v>121</v>
      </c>
      <c r="C15" s="166">
        <v>9</v>
      </c>
      <c r="D15" s="151" t="s">
        <v>160</v>
      </c>
      <c r="E15" s="150">
        <v>9</v>
      </c>
      <c r="F15" s="150">
        <v>0</v>
      </c>
      <c r="G15" s="165">
        <v>222</v>
      </c>
      <c r="H15" s="226">
        <f t="shared" si="2"/>
        <v>24.666666666666668</v>
      </c>
      <c r="I15" s="227">
        <f t="shared" si="3"/>
        <v>198.18313953488371</v>
      </c>
      <c r="J15" s="363">
        <f>+Tabla2[[#This Row],[PROM DE USUARIOS]]-Tabla2[[#This Row],[USUARIOS]]</f>
        <v>-23.816860465116292</v>
      </c>
      <c r="K15" s="151"/>
      <c r="L15" s="163">
        <f t="shared" si="4"/>
        <v>120131.29360465116</v>
      </c>
      <c r="M15" s="162" t="str">
        <f>+VLOOKUP(C15,Lista!B:D,3,0)</f>
        <v>MICRO</v>
      </c>
      <c r="N15" s="164">
        <f t="shared" si="0"/>
        <v>10885</v>
      </c>
      <c r="O15" s="164">
        <f>Tabla2[[#This Row],[USUARIOS]]*150</f>
        <v>33300</v>
      </c>
      <c r="P15" s="50">
        <f>+(E15*1)-W15</f>
        <v>9</v>
      </c>
      <c r="Q15" s="47">
        <f>+I15-P15-X15</f>
        <v>189.18313953488371</v>
      </c>
      <c r="R15" s="49">
        <f>+G15-P15</f>
        <v>213</v>
      </c>
      <c r="S15" s="51">
        <f>+E15*$T$3</f>
        <v>189.18313953488371</v>
      </c>
      <c r="T15" s="46">
        <f t="shared" si="5"/>
        <v>104050.72674418605</v>
      </c>
      <c r="U15" t="str">
        <f>+IF(K15&lt;&gt;"",K15,"")</f>
        <v/>
      </c>
      <c r="V15">
        <f>+RANK(H15,$H$6:$H$1048576,1)</f>
        <v>36</v>
      </c>
      <c r="Z15" t="str">
        <f>TRIM(Tabla2[[#This Row],[CONDUCTOR]])</f>
        <v>CARTAGENA RAMIREZ FREDY ALONSO</v>
      </c>
    </row>
    <row r="16" spans="1:32" x14ac:dyDescent="0.2">
      <c r="B16" s="136" t="s">
        <v>122</v>
      </c>
      <c r="C16" s="137">
        <v>10</v>
      </c>
      <c r="D16" s="151" t="s">
        <v>187</v>
      </c>
      <c r="E16" s="150">
        <v>4.5</v>
      </c>
      <c r="F16" s="150">
        <v>0.5</v>
      </c>
      <c r="G16" s="146">
        <v>114</v>
      </c>
      <c r="H16" s="226">
        <f t="shared" si="2"/>
        <v>25.333333333333332</v>
      </c>
      <c r="I16" s="227">
        <f t="shared" si="3"/>
        <v>99.091569767441854</v>
      </c>
      <c r="J16" s="363">
        <f>+Tabla2[[#This Row],[PROM DE USUARIOS]]-Tabla2[[#This Row],[USUARIOS]]</f>
        <v>-14.908430232558146</v>
      </c>
      <c r="K16" s="151" t="s">
        <v>189</v>
      </c>
      <c r="L16" s="163">
        <f t="shared" si="4"/>
        <v>60065.64680232558</v>
      </c>
      <c r="M16" s="162">
        <f>+VLOOKUP(C16,Lista!B:D,3,0)</f>
        <v>0</v>
      </c>
      <c r="N16" s="164">
        <f t="shared" si="0"/>
        <v>10885</v>
      </c>
      <c r="O16" s="164">
        <f>Tabla2[[#This Row],[USUARIOS]]*150</f>
        <v>17100</v>
      </c>
      <c r="P16" s="50">
        <f>+(E16*1)-W16</f>
        <v>4.5</v>
      </c>
      <c r="Q16" s="47">
        <f>+I16-P16-X16</f>
        <v>94.591569767441854</v>
      </c>
      <c r="R16" s="49">
        <f>+G16-P16</f>
        <v>109.5</v>
      </c>
      <c r="S16" s="51">
        <f>+E16*$T$3</f>
        <v>94.591569767441854</v>
      </c>
      <c r="T16" s="46">
        <f t="shared" si="5"/>
        <v>52025.363372093023</v>
      </c>
      <c r="U16" t="str">
        <f>+IF(K16&lt;&gt;"",K16,"")</f>
        <v xml:space="preserve">2 Descuentos (Despachador) </v>
      </c>
      <c r="V16">
        <f>+RANK(H16,$H$6:$H$1048576,1)</f>
        <v>38</v>
      </c>
      <c r="Z16" t="str">
        <f>TRIM(Tabla2[[#This Row],[CONDUCTOR]])</f>
        <v>PARRA VILLA YUBER ALONSO</v>
      </c>
    </row>
    <row r="17" spans="2:26" x14ac:dyDescent="0.2">
      <c r="B17" s="136" t="s">
        <v>121</v>
      </c>
      <c r="C17" s="166">
        <v>11</v>
      </c>
      <c r="D17" s="151" t="s">
        <v>177</v>
      </c>
      <c r="E17" s="150">
        <v>8</v>
      </c>
      <c r="F17" s="150">
        <v>0</v>
      </c>
      <c r="G17" s="146">
        <v>172</v>
      </c>
      <c r="H17" s="226">
        <f t="shared" si="2"/>
        <v>21.5</v>
      </c>
      <c r="I17" s="227">
        <f t="shared" si="3"/>
        <v>176.16279069767441</v>
      </c>
      <c r="J17" s="363">
        <f>+Tabla2[[#This Row],[PROM DE USUARIOS]]-Tabla2[[#This Row],[USUARIOS]]</f>
        <v>4.16279069767441</v>
      </c>
      <c r="K17" s="151"/>
      <c r="L17" s="163">
        <f t="shared" si="4"/>
        <v>106783.37209302325</v>
      </c>
      <c r="M17" s="162" t="str">
        <f>+VLOOKUP(C17,Lista!B:D,3,0)</f>
        <v>MICRO</v>
      </c>
      <c r="N17" s="164">
        <f t="shared" si="0"/>
        <v>10885</v>
      </c>
      <c r="O17" s="164">
        <f>Tabla2[[#This Row],[USUARIOS]]*150</f>
        <v>25800</v>
      </c>
      <c r="P17" s="50">
        <f>+(E17*1)-W17</f>
        <v>8</v>
      </c>
      <c r="Q17" s="47">
        <f>+I17-P17-X17</f>
        <v>168.16279069767441</v>
      </c>
      <c r="R17" s="49">
        <f>+G17-P17</f>
        <v>164</v>
      </c>
      <c r="S17" s="51">
        <f>+E17*$T$3</f>
        <v>168.16279069767441</v>
      </c>
      <c r="T17" s="46">
        <f t="shared" si="5"/>
        <v>92489.534883720931</v>
      </c>
      <c r="U17" t="str">
        <f>+IF(K17&lt;&gt;"",K17,"")</f>
        <v/>
      </c>
      <c r="V17">
        <f>+RANK(H17,$H$6:$H$1048576,1)</f>
        <v>16</v>
      </c>
      <c r="Z17" t="str">
        <f>TRIM(Tabla2[[#This Row],[CONDUCTOR]])</f>
        <v>YEPES TORRES JHON ALEXANDER</v>
      </c>
    </row>
    <row r="18" spans="2:26" x14ac:dyDescent="0.2">
      <c r="B18" s="136" t="s">
        <v>122</v>
      </c>
      <c r="C18" s="166">
        <v>13</v>
      </c>
      <c r="D18" s="151" t="s">
        <v>155</v>
      </c>
      <c r="E18" s="150">
        <v>10</v>
      </c>
      <c r="F18" s="150">
        <v>0</v>
      </c>
      <c r="G18" s="146">
        <v>236</v>
      </c>
      <c r="H18" s="226">
        <f t="shared" si="2"/>
        <v>23.6</v>
      </c>
      <c r="I18" s="227">
        <f t="shared" si="3"/>
        <v>220.20348837209301</v>
      </c>
      <c r="J18" s="363">
        <f>+Tabla2[[#This Row],[PROM DE USUARIOS]]-Tabla2[[#This Row],[USUARIOS]]</f>
        <v>-15.796511627906995</v>
      </c>
      <c r="K18" s="151" t="s">
        <v>190</v>
      </c>
      <c r="L18" s="163">
        <f t="shared" si="4"/>
        <v>133479.21511627905</v>
      </c>
      <c r="M18" s="162" t="str">
        <f>+VLOOKUP(C18,Lista!B:D,3,0)</f>
        <v>MICRO</v>
      </c>
      <c r="N18" s="164">
        <f t="shared" si="0"/>
        <v>10885</v>
      </c>
      <c r="O18" s="164">
        <f>Tabla2[[#This Row],[USUARIOS]]*150</f>
        <v>35400</v>
      </c>
      <c r="P18" s="50">
        <f>+(E18*1)-W18</f>
        <v>10</v>
      </c>
      <c r="Q18" s="47">
        <f>+I18-P18-X18</f>
        <v>210.20348837209301</v>
      </c>
      <c r="R18" s="49">
        <f>+G18-P18</f>
        <v>226</v>
      </c>
      <c r="S18" s="51">
        <f>+E18*$T$3</f>
        <v>210.20348837209301</v>
      </c>
      <c r="T18" s="46">
        <f t="shared" si="5"/>
        <v>115611.91860465115</v>
      </c>
      <c r="U18" t="str">
        <f>+IF(K18&lt;&gt;"",K18,"")</f>
        <v xml:space="preserve">1 Descuento (Usuario desubicado) </v>
      </c>
      <c r="V18">
        <f>+RANK(H18,$H$6:$H$1048576,1)</f>
        <v>31</v>
      </c>
      <c r="Z18" t="str">
        <f>TRIM(Tabla2[[#This Row],[CONDUCTOR]])</f>
        <v>IBARGUEN GARRIDO JUAN ESTEBAN</v>
      </c>
    </row>
    <row r="19" spans="2:26" s="2" customFormat="1" ht="22.5" x14ac:dyDescent="0.2">
      <c r="B19" s="136" t="s">
        <v>121</v>
      </c>
      <c r="C19" s="166">
        <v>14</v>
      </c>
      <c r="D19" s="136" t="s">
        <v>157</v>
      </c>
      <c r="E19" s="150">
        <v>9</v>
      </c>
      <c r="F19" s="150">
        <v>0.5</v>
      </c>
      <c r="G19" s="373">
        <v>175</v>
      </c>
      <c r="H19" s="374">
        <f t="shared" si="2"/>
        <v>19.444444444444443</v>
      </c>
      <c r="I19" s="375">
        <f t="shared" si="3"/>
        <v>198.18313953488371</v>
      </c>
      <c r="J19" s="376">
        <f>+Tabla2[[#This Row],[PROM DE USUARIOS]]-Tabla2[[#This Row],[USUARIOS]]</f>
        <v>23.183139534883708</v>
      </c>
      <c r="K19" s="377" t="s">
        <v>201</v>
      </c>
      <c r="L19" s="163">
        <f t="shared" si="4"/>
        <v>113457.44360465115</v>
      </c>
      <c r="M19" s="162">
        <f>+VLOOKUP(C19,Lista!B:D,3,0)</f>
        <v>0</v>
      </c>
      <c r="N19" s="164">
        <f t="shared" si="0"/>
        <v>10885</v>
      </c>
      <c r="O19" s="164">
        <f>Tabla2[[#This Row],[USUARIOS]]*150</f>
        <v>26250</v>
      </c>
      <c r="P19" s="50">
        <f>+(E19*1)-W19</f>
        <v>8.5</v>
      </c>
      <c r="Q19" s="47">
        <f>+I19-P19-X19</f>
        <v>178.67313953488372</v>
      </c>
      <c r="R19" s="49">
        <f>+G19-P19</f>
        <v>166.5</v>
      </c>
      <c r="S19" s="51">
        <f>+E19*$T$3</f>
        <v>189.18313953488371</v>
      </c>
      <c r="T19" s="46">
        <f t="shared" si="5"/>
        <v>104050.72674418605</v>
      </c>
      <c r="U19" s="2" t="str">
        <f>+IF(K19&lt;&gt;"",K19,"")</f>
        <v xml:space="preserve">Se descuenta 0.5 viaje de 10 31 am ya que NO ingresa al 13. 1 Descuento (Despachador) </v>
      </c>
      <c r="V19" s="2">
        <f>+RANK(H19,$H$6:$H$1048576,1)</f>
        <v>7</v>
      </c>
      <c r="W19" s="2">
        <v>0.5</v>
      </c>
      <c r="X19" s="379">
        <v>11.01</v>
      </c>
      <c r="Z19" s="2" t="str">
        <f>TRIM(Tabla2[[#This Row],[CONDUCTOR]])</f>
        <v>VALENCIA MENDOZA JHON</v>
      </c>
    </row>
    <row r="20" spans="2:26" x14ac:dyDescent="0.2">
      <c r="B20" s="136" t="s">
        <v>122</v>
      </c>
      <c r="C20" s="166">
        <v>15</v>
      </c>
      <c r="D20" s="151" t="s">
        <v>180</v>
      </c>
      <c r="E20" s="150">
        <v>4</v>
      </c>
      <c r="F20" s="150">
        <v>0</v>
      </c>
      <c r="G20" s="146">
        <v>86</v>
      </c>
      <c r="H20" s="226">
        <f t="shared" si="2"/>
        <v>21.5</v>
      </c>
      <c r="I20" s="227">
        <f t="shared" si="3"/>
        <v>88.081395348837205</v>
      </c>
      <c r="J20" s="363">
        <f>+Tabla2[[#This Row],[PROM DE USUARIOS]]-Tabla2[[#This Row],[USUARIOS]]</f>
        <v>2.081395348837205</v>
      </c>
      <c r="K20" s="151" t="s">
        <v>190</v>
      </c>
      <c r="L20" s="163">
        <f t="shared" si="4"/>
        <v>53391.686046511626</v>
      </c>
      <c r="M20" s="162">
        <f>+VLOOKUP(C20,Lista!B:D,3,0)</f>
        <v>0</v>
      </c>
      <c r="N20" s="164">
        <f t="shared" si="0"/>
        <v>10885</v>
      </c>
      <c r="O20" s="164">
        <f>Tabla2[[#This Row],[USUARIOS]]*150</f>
        <v>12900</v>
      </c>
      <c r="P20" s="50">
        <f>+(E20*1)-W20</f>
        <v>4</v>
      </c>
      <c r="Q20" s="47">
        <f>+I20-P20-X20</f>
        <v>84.081395348837205</v>
      </c>
      <c r="R20" s="49">
        <f>+G20-P20</f>
        <v>82</v>
      </c>
      <c r="S20" s="51">
        <f>+E20*$T$3</f>
        <v>84.081395348837205</v>
      </c>
      <c r="T20" s="46">
        <f t="shared" si="5"/>
        <v>46244.767441860466</v>
      </c>
      <c r="U20" t="str">
        <f>+IF(K20&lt;&gt;"",K20,"")</f>
        <v xml:space="preserve">1 Descuento (Usuario desubicado) </v>
      </c>
      <c r="V20">
        <f>+RANK(H20,$H$6:$H$1048576,1)</f>
        <v>16</v>
      </c>
      <c r="Z20" t="str">
        <f>TRIM(Tabla2[[#This Row],[CONDUCTOR]])</f>
        <v>MACIAS HERNANDEZ JULIAN DAVID</v>
      </c>
    </row>
    <row r="21" spans="2:26" x14ac:dyDescent="0.2">
      <c r="B21" s="136" t="s">
        <v>121</v>
      </c>
      <c r="C21" s="166">
        <v>16</v>
      </c>
      <c r="D21" s="151" t="s">
        <v>156</v>
      </c>
      <c r="E21" s="150">
        <v>11</v>
      </c>
      <c r="F21" s="150">
        <v>0</v>
      </c>
      <c r="G21" s="165">
        <v>230</v>
      </c>
      <c r="H21" s="226">
        <f t="shared" si="2"/>
        <v>20.90909090909091</v>
      </c>
      <c r="I21" s="227">
        <f t="shared" si="3"/>
        <v>242.2238372093023</v>
      </c>
      <c r="J21" s="363">
        <f>+Tabla2[[#This Row],[PROM DE USUARIOS]]-Tabla2[[#This Row],[USUARIOS]]</f>
        <v>12.223837209302303</v>
      </c>
      <c r="K21" s="151" t="s">
        <v>192</v>
      </c>
      <c r="L21" s="163">
        <f t="shared" si="4"/>
        <v>146827.13662790696</v>
      </c>
      <c r="M21" s="162" t="str">
        <f>+VLOOKUP(C21,Lista!B:D,3,0)</f>
        <v>MICRO</v>
      </c>
      <c r="N21" s="164">
        <f t="shared" si="0"/>
        <v>10885</v>
      </c>
      <c r="O21" s="164">
        <f>Tabla2[[#This Row],[USUARIOS]]*150</f>
        <v>34500</v>
      </c>
      <c r="P21" s="50">
        <f>+(E21*1)-W21</f>
        <v>11</v>
      </c>
      <c r="Q21" s="47">
        <f>+I21-P21-X21</f>
        <v>231.2238372093023</v>
      </c>
      <c r="R21" s="49">
        <f>+G21-P21</f>
        <v>219</v>
      </c>
      <c r="S21" s="51">
        <f>+E21*$T$3</f>
        <v>231.2238372093023</v>
      </c>
      <c r="T21" s="46">
        <f t="shared" si="5"/>
        <v>127173.11046511626</v>
      </c>
      <c r="U21" t="str">
        <f>+IF(K21&lt;&gt;"",K21,"")</f>
        <v xml:space="preserve">2 Descuentos (Conducts) </v>
      </c>
      <c r="V21">
        <f>+RANK(H21,$H$6:$H$1048576,1)</f>
        <v>13</v>
      </c>
      <c r="Z21" t="str">
        <f>TRIM(Tabla2[[#This Row],[CONDUCTOR]])</f>
        <v>PEREZ GARCIA JUAN ESTEBAN</v>
      </c>
    </row>
    <row r="22" spans="2:26" x14ac:dyDescent="0.2">
      <c r="B22" s="136" t="s">
        <v>122</v>
      </c>
      <c r="C22" s="137">
        <v>18</v>
      </c>
      <c r="D22" s="151" t="s">
        <v>148</v>
      </c>
      <c r="E22" s="150">
        <v>9</v>
      </c>
      <c r="F22" s="150">
        <v>0</v>
      </c>
      <c r="G22" s="146">
        <v>208</v>
      </c>
      <c r="H22" s="226">
        <f t="shared" si="2"/>
        <v>23.111111111111111</v>
      </c>
      <c r="I22" s="227">
        <f t="shared" si="3"/>
        <v>198.18313953488371</v>
      </c>
      <c r="J22" s="363">
        <f>+Tabla2[[#This Row],[PROM DE USUARIOS]]-Tabla2[[#This Row],[USUARIOS]]</f>
        <v>-9.8168604651162923</v>
      </c>
      <c r="K22" s="151"/>
      <c r="L22" s="163">
        <f t="shared" si="4"/>
        <v>120131.29360465116</v>
      </c>
      <c r="M22" s="162" t="str">
        <f>+VLOOKUP(C22,Lista!B:D,3,0)</f>
        <v>MICRO</v>
      </c>
      <c r="N22" s="164">
        <f t="shared" si="0"/>
        <v>10885</v>
      </c>
      <c r="O22" s="164">
        <f>Tabla2[[#This Row],[USUARIOS]]*150</f>
        <v>31200</v>
      </c>
      <c r="P22" s="50">
        <f>+(E22*1)-W22</f>
        <v>9</v>
      </c>
      <c r="Q22" s="47">
        <f>+I22-P22-X22</f>
        <v>189.18313953488371</v>
      </c>
      <c r="R22" s="49">
        <f>+G22-P22</f>
        <v>199</v>
      </c>
      <c r="S22" s="51">
        <f>+E22*$T$3</f>
        <v>189.18313953488371</v>
      </c>
      <c r="T22" s="46">
        <f t="shared" si="5"/>
        <v>104050.72674418605</v>
      </c>
      <c r="U22" t="str">
        <f>+IF(K22&lt;&gt;"",K22,"")</f>
        <v/>
      </c>
      <c r="V22">
        <f>+RANK(H22,$H$6:$H$1048576,1)</f>
        <v>28</v>
      </c>
      <c r="Z22" t="str">
        <f>TRIM(Tabla2[[#This Row],[CONDUCTOR]])</f>
        <v>ALBERTO ARISTIZABAL RAFAEL</v>
      </c>
    </row>
    <row r="23" spans="2:26" x14ac:dyDescent="0.2">
      <c r="B23" s="136" t="s">
        <v>121</v>
      </c>
      <c r="C23" s="166">
        <v>19</v>
      </c>
      <c r="D23" s="151" t="s">
        <v>175</v>
      </c>
      <c r="E23" s="150">
        <v>8</v>
      </c>
      <c r="F23" s="150"/>
      <c r="G23" s="146">
        <v>173</v>
      </c>
      <c r="H23" s="226">
        <f t="shared" si="2"/>
        <v>21.625</v>
      </c>
      <c r="I23" s="227">
        <f t="shared" si="3"/>
        <v>176.16279069767441</v>
      </c>
      <c r="J23" s="363">
        <f>+Tabla2[[#This Row],[PROM DE USUARIOS]]-Tabla2[[#This Row],[USUARIOS]]</f>
        <v>3.16279069767441</v>
      </c>
      <c r="K23" s="151"/>
      <c r="L23" s="163">
        <f t="shared" si="4"/>
        <v>106783.37209302325</v>
      </c>
      <c r="M23" s="162" t="str">
        <f>+VLOOKUP(C23,Lista!B:D,3,0)</f>
        <v>MICRO</v>
      </c>
      <c r="N23" s="164">
        <f t="shared" si="0"/>
        <v>10885</v>
      </c>
      <c r="O23" s="164">
        <f>Tabla2[[#This Row],[USUARIOS]]*150</f>
        <v>25950</v>
      </c>
      <c r="P23" s="50">
        <f>+(E23*1)-W23</f>
        <v>8</v>
      </c>
      <c r="Q23" s="47">
        <f>+I23-P23-X23</f>
        <v>168.16279069767441</v>
      </c>
      <c r="R23" s="49">
        <f>+G23-P23</f>
        <v>165</v>
      </c>
      <c r="S23" s="51">
        <f>+E23*$T$3</f>
        <v>168.16279069767441</v>
      </c>
      <c r="T23" s="46">
        <f t="shared" si="5"/>
        <v>92489.534883720931</v>
      </c>
      <c r="U23" t="str">
        <f>+IF(K23&lt;&gt;"",K23,"")</f>
        <v/>
      </c>
      <c r="V23">
        <f>+RANK(H23,$H$6:$H$1048576,1)</f>
        <v>19</v>
      </c>
      <c r="Z23" t="str">
        <f>TRIM(Tabla2[[#This Row],[CONDUCTOR]])</f>
        <v>MACEA ARBELAEZ MATEO</v>
      </c>
    </row>
    <row r="24" spans="2:26" x14ac:dyDescent="0.2">
      <c r="B24" s="136" t="s">
        <v>122</v>
      </c>
      <c r="C24" s="166">
        <v>20</v>
      </c>
      <c r="D24" s="151" t="s">
        <v>181</v>
      </c>
      <c r="E24" s="150">
        <v>6</v>
      </c>
      <c r="F24" s="150">
        <v>0</v>
      </c>
      <c r="G24" s="165">
        <v>154</v>
      </c>
      <c r="H24" s="226">
        <f t="shared" si="2"/>
        <v>25.666666666666668</v>
      </c>
      <c r="I24" s="227">
        <f t="shared" si="3"/>
        <v>132.12209302325581</v>
      </c>
      <c r="J24" s="363">
        <f>+Tabla2[[#This Row],[PROM DE USUARIOS]]-Tabla2[[#This Row],[USUARIOS]]</f>
        <v>-21.877906976744185</v>
      </c>
      <c r="K24" s="151"/>
      <c r="L24" s="163">
        <f t="shared" si="4"/>
        <v>80087.529069767435</v>
      </c>
      <c r="M24" s="162" t="str">
        <f>+VLOOKUP(C24,Lista!B:D,3,0)</f>
        <v>MICRO</v>
      </c>
      <c r="N24" s="164">
        <f t="shared" si="0"/>
        <v>10885</v>
      </c>
      <c r="O24" s="164">
        <f>Tabla2[[#This Row],[USUARIOS]]*150</f>
        <v>23100</v>
      </c>
      <c r="P24" s="50">
        <f>+(E24*1)-W24</f>
        <v>6</v>
      </c>
      <c r="Q24" s="47">
        <f>+I24-P24-X24</f>
        <v>126.12209302325581</v>
      </c>
      <c r="R24" s="49">
        <f>+G24-P24</f>
        <v>148</v>
      </c>
      <c r="S24" s="51">
        <f>+E24*$T$3</f>
        <v>126.12209302325581</v>
      </c>
      <c r="T24" s="46">
        <f t="shared" si="5"/>
        <v>69367.151162790702</v>
      </c>
      <c r="U24" t="str">
        <f>+IF(K24&lt;&gt;"",K24,"")</f>
        <v/>
      </c>
      <c r="V24">
        <f>+RANK(H24,$H$6:$H$1048576,1)</f>
        <v>39</v>
      </c>
      <c r="Z24" t="str">
        <f>TRIM(Tabla2[[#This Row],[CONDUCTOR]])</f>
        <v>MURILLO YOIMAR ANDRES</v>
      </c>
    </row>
    <row r="25" spans="2:26" x14ac:dyDescent="0.2">
      <c r="B25" s="136" t="s">
        <v>121</v>
      </c>
      <c r="C25" s="166">
        <v>21</v>
      </c>
      <c r="D25" s="151" t="s">
        <v>164</v>
      </c>
      <c r="E25" s="150">
        <v>12</v>
      </c>
      <c r="F25" s="150">
        <v>0</v>
      </c>
      <c r="G25" s="165">
        <v>303</v>
      </c>
      <c r="H25" s="226">
        <f t="shared" si="2"/>
        <v>25.25</v>
      </c>
      <c r="I25" s="227">
        <f t="shared" si="3"/>
        <v>264.24418604651163</v>
      </c>
      <c r="J25" s="363">
        <f>+Tabla2[[#This Row],[PROM DE USUARIOS]]-Tabla2[[#This Row],[USUARIOS]]</f>
        <v>-38.755813953488371</v>
      </c>
      <c r="K25" s="151" t="s">
        <v>193</v>
      </c>
      <c r="L25" s="163">
        <f t="shared" si="4"/>
        <v>160175.05813953487</v>
      </c>
      <c r="M25" s="162" t="str">
        <f>+VLOOKUP(C25,Lista!B:D,3,0)</f>
        <v>MICRO</v>
      </c>
      <c r="N25" s="164">
        <f t="shared" si="0"/>
        <v>10885</v>
      </c>
      <c r="O25" s="164">
        <f>Tabla2[[#This Row],[USUARIOS]]*150</f>
        <v>45450</v>
      </c>
      <c r="P25" s="50">
        <f>+(E25*1)-W25</f>
        <v>12</v>
      </c>
      <c r="Q25" s="47">
        <f>+I25-P25-X25</f>
        <v>252.24418604651163</v>
      </c>
      <c r="R25" s="49">
        <f>+G25-P25</f>
        <v>291</v>
      </c>
      <c r="S25" s="51">
        <f>+E25*$T$3</f>
        <v>252.24418604651163</v>
      </c>
      <c r="T25" s="46">
        <f t="shared" si="5"/>
        <v>138734.3023255814</v>
      </c>
      <c r="U25" t="str">
        <f>+IF(K25&lt;&gt;"",K25,"")</f>
        <v xml:space="preserve">7 Descuentos (Transbordo) </v>
      </c>
      <c r="V25">
        <f>+RANK(H25,$H$6:$H$1048576,1)</f>
        <v>37</v>
      </c>
      <c r="Z25" t="str">
        <f>TRIM(Tabla2[[#This Row],[CONDUCTOR]])</f>
        <v>JIMENEZ JIMENEZ OMAR</v>
      </c>
    </row>
    <row r="26" spans="2:26" x14ac:dyDescent="0.2">
      <c r="B26" s="136" t="s">
        <v>122</v>
      </c>
      <c r="C26" s="166">
        <v>22</v>
      </c>
      <c r="D26" s="151" t="s">
        <v>153</v>
      </c>
      <c r="E26" s="150">
        <v>14</v>
      </c>
      <c r="F26" s="150">
        <v>0</v>
      </c>
      <c r="G26" s="165">
        <v>282</v>
      </c>
      <c r="H26" s="226">
        <f t="shared" si="2"/>
        <v>20.142857142857142</v>
      </c>
      <c r="I26" s="227">
        <f t="shared" si="3"/>
        <v>308.28488372093022</v>
      </c>
      <c r="J26" s="363">
        <f>+Tabla2[[#This Row],[PROM DE USUARIOS]]-Tabla2[[#This Row],[USUARIOS]]</f>
        <v>26.284883720930225</v>
      </c>
      <c r="K26" s="151" t="s">
        <v>194</v>
      </c>
      <c r="L26" s="163">
        <f t="shared" si="4"/>
        <v>186870.90116279069</v>
      </c>
      <c r="M26" s="162">
        <f>+VLOOKUP(C26,Lista!B:D,3,0)</f>
        <v>0</v>
      </c>
      <c r="N26" s="164">
        <f t="shared" si="0"/>
        <v>10885</v>
      </c>
      <c r="O26" s="164">
        <f>Tabla2[[#This Row],[USUARIOS]]*150</f>
        <v>42300</v>
      </c>
      <c r="P26" s="50">
        <f>+(E26*1)-W26</f>
        <v>14</v>
      </c>
      <c r="Q26" s="47">
        <f>+I26-P26-X26</f>
        <v>294.28488372093022</v>
      </c>
      <c r="R26" s="49">
        <f>+G26-P26</f>
        <v>268</v>
      </c>
      <c r="S26" s="51">
        <f>+E26*$T$3</f>
        <v>294.28488372093022</v>
      </c>
      <c r="T26" s="46">
        <f t="shared" si="5"/>
        <v>161856.68604651163</v>
      </c>
      <c r="U26" t="str">
        <f>+IF(K26&lt;&gt;"",K26,"")</f>
        <v xml:space="preserve">2 Descuentos (Despachador y usuario desubicado) </v>
      </c>
      <c r="V26">
        <f>+RANK(H26,$H$6:$H$1048576,1)</f>
        <v>11</v>
      </c>
      <c r="Z26" t="str">
        <f>TRIM(Tabla2[[#This Row],[CONDUCTOR]])</f>
        <v>QUIRAMA CASTAÑEDA JHON JADER</v>
      </c>
    </row>
    <row r="27" spans="2:26" x14ac:dyDescent="0.2">
      <c r="B27" s="136" t="s">
        <v>121</v>
      </c>
      <c r="C27" s="166">
        <v>23</v>
      </c>
      <c r="D27" s="151" t="s">
        <v>171</v>
      </c>
      <c r="E27" s="150">
        <v>10</v>
      </c>
      <c r="F27" s="150">
        <v>0</v>
      </c>
      <c r="G27" s="146">
        <v>196</v>
      </c>
      <c r="H27" s="226">
        <f t="shared" si="2"/>
        <v>19.600000000000001</v>
      </c>
      <c r="I27" s="227">
        <f t="shared" si="3"/>
        <v>220.20348837209301</v>
      </c>
      <c r="J27" s="363">
        <f>+Tabla2[[#This Row],[PROM DE USUARIOS]]-Tabla2[[#This Row],[USUARIOS]]</f>
        <v>24.203488372093005</v>
      </c>
      <c r="K27" s="151"/>
      <c r="L27" s="163">
        <f t="shared" si="4"/>
        <v>133479.21511627905</v>
      </c>
      <c r="M27" s="162" t="str">
        <f>+VLOOKUP(C27,Lista!B:D,3,0)</f>
        <v xml:space="preserve">MICRO </v>
      </c>
      <c r="N27" s="164">
        <f t="shared" si="0"/>
        <v>10885</v>
      </c>
      <c r="O27" s="164">
        <f>Tabla2[[#This Row],[USUARIOS]]*150</f>
        <v>29400</v>
      </c>
      <c r="P27" s="50">
        <f>+(E27*1)-W27</f>
        <v>10</v>
      </c>
      <c r="Q27" s="47">
        <f>+I27-P27-X27</f>
        <v>210.20348837209301</v>
      </c>
      <c r="R27" s="49">
        <f>+G27-P27</f>
        <v>186</v>
      </c>
      <c r="S27" s="51">
        <f>+E27*$T$3</f>
        <v>210.20348837209301</v>
      </c>
      <c r="T27" s="46">
        <f t="shared" si="5"/>
        <v>115611.91860465115</v>
      </c>
      <c r="U27" t="str">
        <f>+IF(K27&lt;&gt;"",K27,"")</f>
        <v/>
      </c>
      <c r="V27">
        <f>+RANK(H27,$H$6:$H$1048576,1)</f>
        <v>8</v>
      </c>
      <c r="Z27" t="str">
        <f>TRIM(Tabla2[[#This Row],[CONDUCTOR]])</f>
        <v>MEJIA JUAN PABLO</v>
      </c>
    </row>
    <row r="28" spans="2:26" x14ac:dyDescent="0.2">
      <c r="B28" s="136" t="s">
        <v>122</v>
      </c>
      <c r="C28" s="166">
        <v>24</v>
      </c>
      <c r="D28" s="151" t="s">
        <v>154</v>
      </c>
      <c r="E28" s="150">
        <v>10</v>
      </c>
      <c r="F28" s="150">
        <v>0</v>
      </c>
      <c r="G28" s="165">
        <v>197</v>
      </c>
      <c r="H28" s="226">
        <f t="shared" si="2"/>
        <v>19.7</v>
      </c>
      <c r="I28" s="227">
        <f t="shared" si="3"/>
        <v>220.20348837209301</v>
      </c>
      <c r="J28" s="363">
        <f>+Tabla2[[#This Row],[PROM DE USUARIOS]]-Tabla2[[#This Row],[USUARIOS]]</f>
        <v>23.203488372093005</v>
      </c>
      <c r="K28" s="151"/>
      <c r="L28" s="163">
        <f t="shared" si="4"/>
        <v>133479.21511627905</v>
      </c>
      <c r="M28" s="162" t="str">
        <f>+VLOOKUP(C28,Lista!B:D,3,0)</f>
        <v>MICRO</v>
      </c>
      <c r="N28" s="164">
        <f t="shared" si="0"/>
        <v>10885</v>
      </c>
      <c r="O28" s="164">
        <f>Tabla2[[#This Row],[USUARIOS]]*150</f>
        <v>29550</v>
      </c>
      <c r="P28" s="50">
        <f>+(E28*1)-W28</f>
        <v>10</v>
      </c>
      <c r="Q28" s="47">
        <f>+I28-P28-X28</f>
        <v>210.20348837209301</v>
      </c>
      <c r="R28" s="49">
        <f>+G28-P28</f>
        <v>187</v>
      </c>
      <c r="S28" s="51">
        <f>+E28*$T$3</f>
        <v>210.20348837209301</v>
      </c>
      <c r="T28" s="46">
        <f t="shared" si="5"/>
        <v>115611.91860465115</v>
      </c>
      <c r="U28" t="str">
        <f>+IF(K28&lt;&gt;"",K28,"")</f>
        <v/>
      </c>
      <c r="V28">
        <f>+RANK(H28,$H$6:$H$1048576,1)</f>
        <v>9</v>
      </c>
      <c r="Z28" t="str">
        <f>TRIM(Tabla2[[#This Row],[CONDUCTOR]])</f>
        <v>CALLE RICARDO</v>
      </c>
    </row>
    <row r="29" spans="2:26" x14ac:dyDescent="0.2">
      <c r="B29" s="136" t="s">
        <v>121</v>
      </c>
      <c r="C29" s="166">
        <v>25</v>
      </c>
      <c r="D29" s="151" t="s">
        <v>163</v>
      </c>
      <c r="E29" s="150">
        <v>12</v>
      </c>
      <c r="F29" s="150">
        <v>0</v>
      </c>
      <c r="G29" s="146">
        <v>260</v>
      </c>
      <c r="H29" s="226">
        <f t="shared" si="2"/>
        <v>21.666666666666668</v>
      </c>
      <c r="I29" s="227">
        <f t="shared" si="3"/>
        <v>264.24418604651163</v>
      </c>
      <c r="J29" s="363">
        <f>+Tabla2[[#This Row],[PROM DE USUARIOS]]-Tabla2[[#This Row],[USUARIOS]]</f>
        <v>4.2441860465116292</v>
      </c>
      <c r="K29" s="151"/>
      <c r="L29" s="163">
        <f t="shared" si="4"/>
        <v>160175.05813953487</v>
      </c>
      <c r="M29" s="162">
        <f>+VLOOKUP(C29,Lista!B:D,3,0)</f>
        <v>0</v>
      </c>
      <c r="N29" s="164">
        <f t="shared" si="0"/>
        <v>10885</v>
      </c>
      <c r="O29" s="164">
        <f>Tabla2[[#This Row],[USUARIOS]]*150</f>
        <v>39000</v>
      </c>
      <c r="P29" s="50">
        <f>+(E29*1)-W29</f>
        <v>12</v>
      </c>
      <c r="Q29" s="47">
        <f>+I29-P29-X29</f>
        <v>252.24418604651163</v>
      </c>
      <c r="R29" s="49">
        <f>+G29-P29</f>
        <v>248</v>
      </c>
      <c r="S29" s="51">
        <f>+E29*$T$3</f>
        <v>252.24418604651163</v>
      </c>
      <c r="T29" s="46">
        <f t="shared" si="5"/>
        <v>138734.3023255814</v>
      </c>
      <c r="U29" t="str">
        <f>+IF(K29&lt;&gt;"",K29,"")</f>
        <v/>
      </c>
      <c r="V29">
        <f>+RANK(H29,$H$6:$H$1048576,1)</f>
        <v>20</v>
      </c>
      <c r="Z29" t="str">
        <f>TRIM(Tabla2[[#This Row],[CONDUCTOR]])</f>
        <v>SANCHEZ BETANCOURT FRANSCISCO</v>
      </c>
    </row>
    <row r="30" spans="2:26" s="2" customFormat="1" x14ac:dyDescent="0.2">
      <c r="B30" s="136" t="s">
        <v>122</v>
      </c>
      <c r="C30" s="166">
        <v>27</v>
      </c>
      <c r="D30" s="151" t="s">
        <v>168</v>
      </c>
      <c r="E30" s="150">
        <v>11</v>
      </c>
      <c r="F30" s="150">
        <v>0</v>
      </c>
      <c r="G30" s="146">
        <v>248</v>
      </c>
      <c r="H30" s="226">
        <f t="shared" si="2"/>
        <v>22.545454545454547</v>
      </c>
      <c r="I30" s="227">
        <f t="shared" si="3"/>
        <v>242.2238372093023</v>
      </c>
      <c r="J30" s="363">
        <f>+Tabla2[[#This Row],[PROM DE USUARIOS]]-Tabla2[[#This Row],[USUARIOS]]</f>
        <v>-5.7761627906976969</v>
      </c>
      <c r="K30" s="151" t="s">
        <v>129</v>
      </c>
      <c r="L30" s="163">
        <f t="shared" si="4"/>
        <v>146827.13662790696</v>
      </c>
      <c r="M30" s="162">
        <f>+VLOOKUP(C30,Lista!B:D,3,0)</f>
        <v>0</v>
      </c>
      <c r="N30" s="164">
        <f t="shared" si="0"/>
        <v>10885</v>
      </c>
      <c r="O30" s="164">
        <f>Tabla2[[#This Row],[USUARIOS]]*150</f>
        <v>37200</v>
      </c>
      <c r="P30" s="50">
        <f>+(E30*1)-W30</f>
        <v>11</v>
      </c>
      <c r="Q30" s="47">
        <f>+I30-P30-X30</f>
        <v>231.2238372093023</v>
      </c>
      <c r="R30" s="49">
        <f>+G30-P30</f>
        <v>237</v>
      </c>
      <c r="S30" s="51">
        <f>+E30*$T$3</f>
        <v>231.2238372093023</v>
      </c>
      <c r="T30" s="46">
        <f t="shared" si="5"/>
        <v>127173.11046511626</v>
      </c>
      <c r="U30" t="str">
        <f>+IF(K30&lt;&gt;"",K30,"")</f>
        <v xml:space="preserve">1 Descuento (Conduct) </v>
      </c>
      <c r="V30">
        <f>+RANK(H30,$H$6:$H$1048576,1)</f>
        <v>24</v>
      </c>
      <c r="Z30" t="str">
        <f>TRIM(Tabla2[[#This Row],[CONDUCTOR]])</f>
        <v>FLORES RINCON JORGE ALBERTO</v>
      </c>
    </row>
    <row r="31" spans="2:26" s="2" customFormat="1" ht="22.5" x14ac:dyDescent="0.2">
      <c r="B31" s="136" t="s">
        <v>121</v>
      </c>
      <c r="C31" s="166">
        <v>28</v>
      </c>
      <c r="D31" s="136" t="s">
        <v>152</v>
      </c>
      <c r="E31" s="150">
        <v>7</v>
      </c>
      <c r="F31" s="150">
        <v>0.5</v>
      </c>
      <c r="G31" s="373">
        <v>123</v>
      </c>
      <c r="H31" s="374">
        <f t="shared" si="2"/>
        <v>17.571428571428573</v>
      </c>
      <c r="I31" s="375">
        <f t="shared" si="3"/>
        <v>154.14244186046511</v>
      </c>
      <c r="J31" s="376">
        <f>+Tabla2[[#This Row],[PROM DE USUARIOS]]-Tabla2[[#This Row],[USUARIOS]]</f>
        <v>31.142441860465112</v>
      </c>
      <c r="K31" s="377" t="s">
        <v>200</v>
      </c>
      <c r="L31" s="163">
        <f t="shared" si="4"/>
        <v>86761.600581395352</v>
      </c>
      <c r="M31" s="162" t="str">
        <f>+VLOOKUP(C31,Lista!B:D,3,0)</f>
        <v>MICRO</v>
      </c>
      <c r="N31" s="164">
        <f t="shared" si="0"/>
        <v>10885</v>
      </c>
      <c r="O31" s="164">
        <f>Tabla2[[#This Row],[USUARIOS]]*150</f>
        <v>18450</v>
      </c>
      <c r="P31" s="50">
        <f>+(E31*1)-W31</f>
        <v>6.5</v>
      </c>
      <c r="Q31" s="47">
        <f>+I31-P31-X31</f>
        <v>136.63244186046512</v>
      </c>
      <c r="R31" s="49">
        <f>+G31-P31</f>
        <v>116.5</v>
      </c>
      <c r="S31" s="51">
        <f>+E31*$T$3</f>
        <v>147.14244186046511</v>
      </c>
      <c r="T31" s="46">
        <f t="shared" si="5"/>
        <v>80928.343023255817</v>
      </c>
      <c r="U31" s="2" t="str">
        <f>+IF(K31&lt;&gt;"",K31,"")</f>
        <v xml:space="preserve">Se descuenta 0.5 viaje de 6 54 pm ya NO cumple con las indicaciones del Despachador en el paradero. </v>
      </c>
      <c r="V31" s="2">
        <f>+RANK(H31,$H$6:$H$1048576,1)</f>
        <v>2</v>
      </c>
      <c r="W31" s="2">
        <v>0.5</v>
      </c>
      <c r="X31" s="379">
        <v>11.01</v>
      </c>
      <c r="Z31" s="2" t="str">
        <f>TRIM(Tabla2[[#This Row],[CONDUCTOR]])</f>
        <v>SUAREZ ESCUDERO JONATAN</v>
      </c>
    </row>
    <row r="32" spans="2:26" x14ac:dyDescent="0.2">
      <c r="B32" s="136" t="s">
        <v>122</v>
      </c>
      <c r="C32" s="166">
        <v>29</v>
      </c>
      <c r="D32" s="151" t="s">
        <v>172</v>
      </c>
      <c r="E32" s="150">
        <v>10</v>
      </c>
      <c r="F32" s="150">
        <v>0</v>
      </c>
      <c r="G32" s="165">
        <v>227</v>
      </c>
      <c r="H32" s="226">
        <f t="shared" si="2"/>
        <v>22.7</v>
      </c>
      <c r="I32" s="227">
        <f t="shared" si="3"/>
        <v>220.20348837209301</v>
      </c>
      <c r="J32" s="363">
        <f>+Tabla2[[#This Row],[PROM DE USUARIOS]]-Tabla2[[#This Row],[USUARIOS]]</f>
        <v>-6.7965116279069946</v>
      </c>
      <c r="K32" s="151" t="s">
        <v>194</v>
      </c>
      <c r="L32" s="163">
        <f t="shared" si="4"/>
        <v>133479.21511627905</v>
      </c>
      <c r="M32" s="162" t="str">
        <f>+VLOOKUP(C32,Lista!B:D,3,0)</f>
        <v>MICRO</v>
      </c>
      <c r="N32" s="164">
        <f t="shared" si="0"/>
        <v>10885</v>
      </c>
      <c r="O32" s="164">
        <f>Tabla2[[#This Row],[USUARIOS]]*150</f>
        <v>34050</v>
      </c>
      <c r="P32" s="50">
        <f>+(E32*1)-W32</f>
        <v>10</v>
      </c>
      <c r="Q32" s="47">
        <f>+I32-P32-X32</f>
        <v>210.20348837209301</v>
      </c>
      <c r="R32" s="49">
        <f>+G32-P32</f>
        <v>217</v>
      </c>
      <c r="S32" s="51">
        <f>+E32*$T$3</f>
        <v>210.20348837209301</v>
      </c>
      <c r="T32" s="46">
        <f t="shared" si="5"/>
        <v>115611.91860465115</v>
      </c>
      <c r="U32" t="str">
        <f>+IF(K32&lt;&gt;"",K32,"")</f>
        <v xml:space="preserve">2 Descuentos (Despachador y usuario desubicado) </v>
      </c>
      <c r="V32">
        <f>+RANK(H32,$H$6:$H$1048576,1)</f>
        <v>25</v>
      </c>
      <c r="Z32" t="str">
        <f>TRIM(Tabla2[[#This Row],[CONDUCTOR]])</f>
        <v>LEON PEREZ RAUL ENRIQUE</v>
      </c>
    </row>
    <row r="33" spans="2:26" x14ac:dyDescent="0.2">
      <c r="B33" s="136" t="s">
        <v>121</v>
      </c>
      <c r="C33" s="166">
        <v>30</v>
      </c>
      <c r="D33" s="151" t="s">
        <v>183</v>
      </c>
      <c r="E33" s="150">
        <v>7.5</v>
      </c>
      <c r="F33" s="150">
        <v>0.5</v>
      </c>
      <c r="G33" s="165">
        <v>144</v>
      </c>
      <c r="H33" s="226">
        <f t="shared" si="2"/>
        <v>19.2</v>
      </c>
      <c r="I33" s="227">
        <f t="shared" si="3"/>
        <v>165.15261627906975</v>
      </c>
      <c r="J33" s="363">
        <f>+Tabla2[[#This Row],[PROM DE USUARIOS]]-Tabla2[[#This Row],[USUARIOS]]</f>
        <v>21.152616279069747</v>
      </c>
      <c r="K33" s="151"/>
      <c r="L33" s="163">
        <f t="shared" si="4"/>
        <v>100109.41133720928</v>
      </c>
      <c r="M33" s="162">
        <f>+VLOOKUP(C33,Lista!B:D,3,0)</f>
        <v>0</v>
      </c>
      <c r="N33" s="164">
        <f t="shared" si="0"/>
        <v>10885</v>
      </c>
      <c r="O33" s="164">
        <f>Tabla2[[#This Row],[USUARIOS]]*150</f>
        <v>21600</v>
      </c>
      <c r="P33" s="50">
        <f>+(E33*1)-W33</f>
        <v>7.5</v>
      </c>
      <c r="Q33" s="47">
        <f>+I33-P33-X33</f>
        <v>157.65261627906975</v>
      </c>
      <c r="R33" s="49">
        <f>+G33-P33</f>
        <v>136.5</v>
      </c>
      <c r="S33" s="51">
        <f>+E33*$T$3</f>
        <v>157.65261627906975</v>
      </c>
      <c r="T33" s="46">
        <f t="shared" si="5"/>
        <v>86708.938953488367</v>
      </c>
      <c r="U33" t="str">
        <f>+IF(K33&lt;&gt;"",K33,"")</f>
        <v/>
      </c>
      <c r="V33">
        <f>+RANK(H33,$H$6:$H$1048576,1)</f>
        <v>4</v>
      </c>
      <c r="Z33" t="str">
        <f>TRIM(Tabla2[[#This Row],[CONDUCTOR]])</f>
        <v>AGUDELO GARCIA LLORDIN ELIAS</v>
      </c>
    </row>
    <row r="34" spans="2:26" x14ac:dyDescent="0.2">
      <c r="B34" s="136" t="s">
        <v>122</v>
      </c>
      <c r="C34" s="166">
        <v>31</v>
      </c>
      <c r="D34" s="151" t="s">
        <v>184</v>
      </c>
      <c r="E34" s="150">
        <v>11</v>
      </c>
      <c r="F34" s="150">
        <v>0</v>
      </c>
      <c r="G34" s="146">
        <v>213</v>
      </c>
      <c r="H34" s="226">
        <f t="shared" si="2"/>
        <v>19.363636363636363</v>
      </c>
      <c r="I34" s="227">
        <f t="shared" si="3"/>
        <v>242.2238372093023</v>
      </c>
      <c r="J34" s="363">
        <f>+Tabla2[[#This Row],[PROM DE USUARIOS]]-Tabla2[[#This Row],[USUARIOS]]</f>
        <v>29.223837209302303</v>
      </c>
      <c r="K34" s="151" t="s">
        <v>195</v>
      </c>
      <c r="L34" s="163">
        <f t="shared" si="4"/>
        <v>146827.13662790696</v>
      </c>
      <c r="M34" s="162" t="str">
        <f>+VLOOKUP(C34,Lista!B:D,3,0)</f>
        <v>MICRO</v>
      </c>
      <c r="N34" s="164">
        <f t="shared" si="0"/>
        <v>10885</v>
      </c>
      <c r="O34" s="164">
        <f>Tabla2[[#This Row],[USUARIOS]]*150</f>
        <v>31950</v>
      </c>
      <c r="P34" s="50">
        <f>+(E34*1)-W34</f>
        <v>11</v>
      </c>
      <c r="Q34" s="47">
        <f>+I34-P34-X34</f>
        <v>231.2238372093023</v>
      </c>
      <c r="R34" s="49">
        <f>+G34-P34</f>
        <v>202</v>
      </c>
      <c r="S34" s="51">
        <f>+E34*$T$3</f>
        <v>231.2238372093023</v>
      </c>
      <c r="T34" s="46">
        <f t="shared" si="5"/>
        <v>127173.11046511626</v>
      </c>
      <c r="U34" t="str">
        <f>+IF(K34&lt;&gt;"",K34,"")</f>
        <v xml:space="preserve">3 Descuentos (Conduct y transbordo) </v>
      </c>
      <c r="V34">
        <f>+RANK(H34,$H$6:$H$1048576,1)</f>
        <v>6</v>
      </c>
      <c r="Z34" t="str">
        <f>TRIM(Tabla2[[#This Row],[CONDUCTOR]])</f>
        <v>FRANCO CARVAJAL GERARDO ANTONIO</v>
      </c>
    </row>
    <row r="35" spans="2:26" x14ac:dyDescent="0.2">
      <c r="B35" s="136" t="s">
        <v>121</v>
      </c>
      <c r="C35" s="166">
        <v>32</v>
      </c>
      <c r="D35" s="151" t="s">
        <v>149</v>
      </c>
      <c r="E35" s="150">
        <v>9</v>
      </c>
      <c r="F35" s="150">
        <v>0</v>
      </c>
      <c r="G35" s="146">
        <v>174</v>
      </c>
      <c r="H35" s="226">
        <f t="shared" si="2"/>
        <v>19.333333333333332</v>
      </c>
      <c r="I35" s="227">
        <f t="shared" si="3"/>
        <v>198.18313953488371</v>
      </c>
      <c r="J35" s="363">
        <f>+Tabla2[[#This Row],[PROM DE USUARIOS]]-Tabla2[[#This Row],[USUARIOS]]</f>
        <v>24.183139534883708</v>
      </c>
      <c r="K35" s="151"/>
      <c r="L35" s="163">
        <f t="shared" si="4"/>
        <v>120131.29360465116</v>
      </c>
      <c r="M35" s="162" t="str">
        <f>+VLOOKUP(C35,Lista!B:D,3,0)</f>
        <v>MICRO</v>
      </c>
      <c r="N35" s="164">
        <f t="shared" si="0"/>
        <v>10885</v>
      </c>
      <c r="O35" s="164">
        <f>Tabla2[[#This Row],[USUARIOS]]*150</f>
        <v>26100</v>
      </c>
      <c r="P35" s="50">
        <f>+(E35*1)-W35</f>
        <v>9</v>
      </c>
      <c r="Q35" s="47">
        <f>+I35-P35-X35</f>
        <v>189.18313953488371</v>
      </c>
      <c r="R35" s="49">
        <f>+G35-P35</f>
        <v>165</v>
      </c>
      <c r="S35" s="51">
        <f>+E35*$T$3</f>
        <v>189.18313953488371</v>
      </c>
      <c r="T35" s="46">
        <f t="shared" si="5"/>
        <v>104050.72674418605</v>
      </c>
      <c r="U35" t="str">
        <f>+IF(K35&lt;&gt;"",K35,"")</f>
        <v/>
      </c>
      <c r="V35">
        <f>+RANK(H35,$H$6:$H$1048576,1)</f>
        <v>5</v>
      </c>
      <c r="Z35" t="str">
        <f>TRIM(Tabla2[[#This Row],[CONDUCTOR]])</f>
        <v>LAYOS JIMENEZ JOHAN CAMILO</v>
      </c>
    </row>
    <row r="36" spans="2:26" x14ac:dyDescent="0.2">
      <c r="B36" s="136" t="s">
        <v>122</v>
      </c>
      <c r="C36" s="166">
        <v>33</v>
      </c>
      <c r="D36" s="151" t="s">
        <v>162</v>
      </c>
      <c r="E36" s="150">
        <v>10</v>
      </c>
      <c r="F36" s="150">
        <v>0</v>
      </c>
      <c r="G36" s="165">
        <v>186</v>
      </c>
      <c r="H36" s="226">
        <f t="shared" si="2"/>
        <v>18.600000000000001</v>
      </c>
      <c r="I36" s="227">
        <f t="shared" si="3"/>
        <v>220.20348837209301</v>
      </c>
      <c r="J36" s="363">
        <f>+Tabla2[[#This Row],[PROM DE USUARIOS]]-Tabla2[[#This Row],[USUARIOS]]</f>
        <v>34.203488372093005</v>
      </c>
      <c r="K36" s="151"/>
      <c r="L36" s="163">
        <f t="shared" si="4"/>
        <v>133479.21511627905</v>
      </c>
      <c r="M36" s="162" t="str">
        <f>+VLOOKUP(C36,Lista!B:D,3,0)</f>
        <v>MICRO</v>
      </c>
      <c r="N36" s="164">
        <f t="shared" si="0"/>
        <v>10885</v>
      </c>
      <c r="O36" s="164">
        <f>Tabla2[[#This Row],[USUARIOS]]*150</f>
        <v>27900</v>
      </c>
      <c r="P36" s="50">
        <f>+(E36*1)-W36</f>
        <v>10</v>
      </c>
      <c r="Q36" s="47">
        <f>+I36-P36-X36</f>
        <v>210.20348837209301</v>
      </c>
      <c r="R36" s="49">
        <f>+G36-P36</f>
        <v>176</v>
      </c>
      <c r="S36" s="51">
        <f>+E36*$T$3</f>
        <v>210.20348837209301</v>
      </c>
      <c r="T36" s="46">
        <f t="shared" si="5"/>
        <v>115611.91860465115</v>
      </c>
      <c r="U36" t="str">
        <f>+IF(K36&lt;&gt;"",K36,"")</f>
        <v/>
      </c>
      <c r="V36">
        <f>+RANK(H36,$H$6:$H$1048576,1)</f>
        <v>3</v>
      </c>
      <c r="Z36" t="str">
        <f>TRIM(Tabla2[[#This Row],[CONDUCTOR]])</f>
        <v>MARULANDA JARAMILLO DAWER ANDRES</v>
      </c>
    </row>
    <row r="37" spans="2:26" x14ac:dyDescent="0.2">
      <c r="B37" s="136" t="s">
        <v>121</v>
      </c>
      <c r="C37" s="166">
        <v>34</v>
      </c>
      <c r="D37" s="151" t="s">
        <v>170</v>
      </c>
      <c r="E37" s="150">
        <v>10</v>
      </c>
      <c r="F37" s="150">
        <v>0</v>
      </c>
      <c r="G37" s="146">
        <v>220</v>
      </c>
      <c r="H37" s="226">
        <f t="shared" si="2"/>
        <v>22</v>
      </c>
      <c r="I37" s="227">
        <f t="shared" si="3"/>
        <v>220.20348837209301</v>
      </c>
      <c r="J37" s="363">
        <f>+Tabla2[[#This Row],[PROM DE USUARIOS]]-Tabla2[[#This Row],[USUARIOS]]</f>
        <v>0.20348837209300541</v>
      </c>
      <c r="K37" s="151" t="s">
        <v>196</v>
      </c>
      <c r="L37" s="163">
        <f t="shared" si="4"/>
        <v>133479.21511627905</v>
      </c>
      <c r="M37" s="162" t="str">
        <f>+VLOOKUP(C37,Lista!B:D,3,0)</f>
        <v>MICRO</v>
      </c>
      <c r="N37" s="164">
        <f t="shared" si="0"/>
        <v>10885</v>
      </c>
      <c r="O37" s="164">
        <f>Tabla2[[#This Row],[USUARIOS]]*150</f>
        <v>33000</v>
      </c>
      <c r="P37" s="50">
        <f>+(E37*1)-W37</f>
        <v>10</v>
      </c>
      <c r="Q37" s="47">
        <f>+I37-P37-X37</f>
        <v>210.20348837209301</v>
      </c>
      <c r="R37" s="49">
        <f>+G37-P37</f>
        <v>210</v>
      </c>
      <c r="S37" s="51">
        <f>+E37*$T$3</f>
        <v>210.20348837209301</v>
      </c>
      <c r="T37" s="46">
        <f t="shared" si="5"/>
        <v>115611.91860465115</v>
      </c>
      <c r="U37" t="str">
        <f>+IF(K37&lt;&gt;"",K37,"")</f>
        <v xml:space="preserve">15 Descuentos (Transbordo) </v>
      </c>
      <c r="V37">
        <f>+RANK(H37,$H$6:$H$1048576,1)</f>
        <v>22</v>
      </c>
      <c r="Z37" t="str">
        <f>TRIM(Tabla2[[#This Row],[CONDUCTOR]])</f>
        <v>ESPINOZA CHAVARRIA GUILLERMO LEON</v>
      </c>
    </row>
    <row r="38" spans="2:26" x14ac:dyDescent="0.2">
      <c r="B38" s="136" t="s">
        <v>122</v>
      </c>
      <c r="C38" s="137">
        <v>35</v>
      </c>
      <c r="D38" s="151" t="s">
        <v>161</v>
      </c>
      <c r="E38" s="150">
        <v>6</v>
      </c>
      <c r="F38" s="150">
        <v>0</v>
      </c>
      <c r="G38" s="146">
        <v>126</v>
      </c>
      <c r="H38" s="226">
        <f t="shared" si="2"/>
        <v>21</v>
      </c>
      <c r="I38" s="227">
        <f t="shared" si="3"/>
        <v>132.12209302325581</v>
      </c>
      <c r="J38" s="363">
        <f>+Tabla2[[#This Row],[PROM DE USUARIOS]]-Tabla2[[#This Row],[USUARIOS]]</f>
        <v>6.1220930232558146</v>
      </c>
      <c r="K38" s="151" t="s">
        <v>197</v>
      </c>
      <c r="L38" s="163">
        <f t="shared" si="4"/>
        <v>80087.529069767435</v>
      </c>
      <c r="M38" s="162">
        <f>+VLOOKUP(C38,Lista!B:D,3,0)</f>
        <v>0</v>
      </c>
      <c r="N38" s="164">
        <f t="shared" si="0"/>
        <v>10885</v>
      </c>
      <c r="O38" s="164">
        <f>Tabla2[[#This Row],[USUARIOS]]*150</f>
        <v>18900</v>
      </c>
      <c r="P38" s="50">
        <f>+(E38*1)-W38</f>
        <v>6</v>
      </c>
      <c r="Q38" s="47">
        <f>+I38-P38-X38</f>
        <v>126.12209302325581</v>
      </c>
      <c r="R38" s="49">
        <f>+G38-P38</f>
        <v>120</v>
      </c>
      <c r="S38" s="51">
        <f>+E38*$T$3</f>
        <v>126.12209302325581</v>
      </c>
      <c r="T38" s="46">
        <f t="shared" si="5"/>
        <v>69367.151162790702</v>
      </c>
      <c r="U38" t="str">
        <f>+IF(K38&lt;&gt;"",K38,"")</f>
        <v xml:space="preserve">1 Descuento (Usuario movilidad reducida) </v>
      </c>
      <c r="V38">
        <f>+RANK(H38,$H$6:$H$1048576,1)</f>
        <v>14</v>
      </c>
      <c r="Z38" t="str">
        <f>TRIM(Tabla2[[#This Row],[CONDUCTOR]])</f>
        <v>ARAQUE ARROYAVE JOSE ALBEIRO</v>
      </c>
    </row>
    <row r="39" spans="2:26" x14ac:dyDescent="0.2">
      <c r="B39" s="136" t="s">
        <v>121</v>
      </c>
      <c r="C39" s="166">
        <v>36</v>
      </c>
      <c r="D39" s="151" t="s">
        <v>182</v>
      </c>
      <c r="E39" s="150">
        <v>5</v>
      </c>
      <c r="F39" s="150">
        <v>0</v>
      </c>
      <c r="G39" s="165">
        <v>99</v>
      </c>
      <c r="H39" s="226">
        <f t="shared" si="2"/>
        <v>19.8</v>
      </c>
      <c r="I39" s="227">
        <f t="shared" si="3"/>
        <v>110.1017441860465</v>
      </c>
      <c r="J39" s="363">
        <f>+Tabla2[[#This Row],[PROM DE USUARIOS]]-Tabla2[[#This Row],[USUARIOS]]</f>
        <v>11.101744186046503</v>
      </c>
      <c r="K39" s="151"/>
      <c r="L39" s="163">
        <f t="shared" si="4"/>
        <v>66739.607558139527</v>
      </c>
      <c r="M39" s="162" t="str">
        <f>+VLOOKUP(C39,Lista!B:D,3,0)</f>
        <v>MICRO</v>
      </c>
      <c r="N39" s="164">
        <f t="shared" si="0"/>
        <v>10885</v>
      </c>
      <c r="O39" s="164">
        <f>Tabla2[[#This Row],[USUARIOS]]*150</f>
        <v>14850</v>
      </c>
      <c r="P39" s="50">
        <f>+(E39*1)-W39</f>
        <v>5</v>
      </c>
      <c r="Q39" s="47">
        <f>+I39-P39-X39</f>
        <v>105.1017441860465</v>
      </c>
      <c r="R39" s="49">
        <f>+G39-P39</f>
        <v>94</v>
      </c>
      <c r="S39" s="51">
        <f>+E39*$T$3</f>
        <v>105.1017441860465</v>
      </c>
      <c r="T39" s="46">
        <f t="shared" si="5"/>
        <v>57805.959302325573</v>
      </c>
      <c r="U39" t="str">
        <f>+IF(K39&lt;&gt;"",K39,"")</f>
        <v/>
      </c>
      <c r="V39">
        <f>+RANK(H39,$H$6:$H$1048576,1)</f>
        <v>10</v>
      </c>
      <c r="Z39" t="str">
        <f>TRIM(Tabla2[[#This Row],[CONDUCTOR]])</f>
        <v>MARTINEZ CHAVERRA LUIS NORBERTO</v>
      </c>
    </row>
    <row r="40" spans="2:26" x14ac:dyDescent="0.2">
      <c r="B40" s="136" t="s">
        <v>122</v>
      </c>
      <c r="C40" s="166">
        <v>37</v>
      </c>
      <c r="D40" s="151" t="s">
        <v>166</v>
      </c>
      <c r="E40" s="150">
        <v>13</v>
      </c>
      <c r="F40" s="150">
        <v>0</v>
      </c>
      <c r="G40" s="146">
        <v>279</v>
      </c>
      <c r="H40" s="226">
        <f t="shared" si="2"/>
        <v>21.46153846153846</v>
      </c>
      <c r="I40" s="227">
        <f t="shared" si="3"/>
        <v>286.2645348837209</v>
      </c>
      <c r="J40" s="363">
        <f>+Tabla2[[#This Row],[PROM DE USUARIOS]]-Tabla2[[#This Row],[USUARIOS]]</f>
        <v>7.2645348837208985</v>
      </c>
      <c r="K40" s="151" t="s">
        <v>199</v>
      </c>
      <c r="L40" s="163">
        <f t="shared" si="4"/>
        <v>173522.97965116278</v>
      </c>
      <c r="M40" s="162">
        <f>+VLOOKUP(C40,Lista!B:D,3,0)</f>
        <v>0</v>
      </c>
      <c r="N40" s="164">
        <f t="shared" si="0"/>
        <v>10885</v>
      </c>
      <c r="O40" s="164">
        <f>Tabla2[[#This Row],[USUARIOS]]*150</f>
        <v>41850</v>
      </c>
      <c r="P40" s="50">
        <f>+(E40*1)-W40</f>
        <v>13</v>
      </c>
      <c r="Q40" s="47">
        <f>+I40-P40-X40</f>
        <v>273.2645348837209</v>
      </c>
      <c r="R40" s="49">
        <f>+G40-P40</f>
        <v>266</v>
      </c>
      <c r="S40" s="51">
        <f>+E40*$T$3</f>
        <v>273.2645348837209</v>
      </c>
      <c r="T40" s="46">
        <f t="shared" si="5"/>
        <v>150295.4941860465</v>
      </c>
      <c r="U40" t="str">
        <f>+IF(K40&lt;&gt;"",K40,"")</f>
        <v xml:space="preserve">32 Descuentos (Transbordo y conducts) </v>
      </c>
      <c r="V40">
        <f>+RANK(H40,$H$6:$H$1048576,1)</f>
        <v>15</v>
      </c>
      <c r="Z40" t="str">
        <f>TRIM(Tabla2[[#This Row],[CONDUCTOR]])</f>
        <v>TORRES JUAN DIEGO</v>
      </c>
    </row>
    <row r="41" spans="2:26" x14ac:dyDescent="0.2">
      <c r="B41" s="136" t="s">
        <v>121</v>
      </c>
      <c r="C41" s="166">
        <v>38</v>
      </c>
      <c r="D41" s="151" t="s">
        <v>159</v>
      </c>
      <c r="E41" s="150">
        <v>10</v>
      </c>
      <c r="F41" s="150">
        <v>0</v>
      </c>
      <c r="G41" s="146">
        <v>219</v>
      </c>
      <c r="H41" s="226">
        <f t="shared" si="2"/>
        <v>21.9</v>
      </c>
      <c r="I41" s="227">
        <f t="shared" si="3"/>
        <v>220.20348837209301</v>
      </c>
      <c r="J41" s="363">
        <f>+Tabla2[[#This Row],[PROM DE USUARIOS]]-Tabla2[[#This Row],[USUARIOS]]</f>
        <v>1.2034883720930054</v>
      </c>
      <c r="K41" s="151"/>
      <c r="L41" s="163">
        <f t="shared" si="4"/>
        <v>133479.21511627905</v>
      </c>
      <c r="M41" s="162" t="str">
        <f>+VLOOKUP(C41,Lista!B:D,3,0)</f>
        <v>MICRO</v>
      </c>
      <c r="N41" s="164">
        <f t="shared" si="0"/>
        <v>10885</v>
      </c>
      <c r="O41" s="164">
        <f>Tabla2[[#This Row],[USUARIOS]]*150</f>
        <v>32850</v>
      </c>
      <c r="P41" s="50">
        <f>+(E41*1)-W41</f>
        <v>10</v>
      </c>
      <c r="Q41" s="47">
        <f>+I41-P41-X41</f>
        <v>210.20348837209301</v>
      </c>
      <c r="R41" s="49">
        <f>+G41-P41</f>
        <v>209</v>
      </c>
      <c r="S41" s="51">
        <f>+E41*$T$3</f>
        <v>210.20348837209301</v>
      </c>
      <c r="T41" s="46">
        <f t="shared" si="5"/>
        <v>115611.91860465115</v>
      </c>
      <c r="U41" t="str">
        <f>+IF(K41&lt;&gt;"",K41,"")</f>
        <v/>
      </c>
      <c r="V41">
        <f>+RANK(H41,$H$6:$H$1048576,1)</f>
        <v>21</v>
      </c>
      <c r="Z41" t="str">
        <f>TRIM(Tabla2[[#This Row],[CONDUCTOR]])</f>
        <v>MARIN JAIR</v>
      </c>
    </row>
    <row r="42" spans="2:26" x14ac:dyDescent="0.2">
      <c r="B42" s="136" t="s">
        <v>122</v>
      </c>
      <c r="C42" s="166">
        <v>39</v>
      </c>
      <c r="D42" s="151" t="s">
        <v>178</v>
      </c>
      <c r="E42" s="150">
        <v>6</v>
      </c>
      <c r="F42" s="150">
        <v>0</v>
      </c>
      <c r="G42" s="146">
        <v>146</v>
      </c>
      <c r="H42" s="226">
        <f t="shared" si="2"/>
        <v>24.333333333333332</v>
      </c>
      <c r="I42" s="227">
        <f t="shared" si="3"/>
        <v>132.12209302325581</v>
      </c>
      <c r="J42" s="363">
        <f>+Tabla2[[#This Row],[PROM DE USUARIOS]]-Tabla2[[#This Row],[USUARIOS]]</f>
        <v>-13.877906976744185</v>
      </c>
      <c r="K42" s="151"/>
      <c r="L42" s="163">
        <f t="shared" si="4"/>
        <v>80087.529069767435</v>
      </c>
      <c r="M42" s="162" t="str">
        <f>+VLOOKUP(C42,Lista!B:D,3,0)</f>
        <v>MICRO</v>
      </c>
      <c r="N42" s="164">
        <f t="shared" si="0"/>
        <v>10885</v>
      </c>
      <c r="O42" s="164">
        <f>Tabla2[[#This Row],[USUARIOS]]*150</f>
        <v>21900</v>
      </c>
      <c r="P42" s="50">
        <f>+(E42*1)-W42</f>
        <v>6</v>
      </c>
      <c r="Q42" s="47">
        <f>+I42-P42-X42</f>
        <v>126.12209302325581</v>
      </c>
      <c r="R42" s="49">
        <f>+G42-P42</f>
        <v>140</v>
      </c>
      <c r="S42" s="51">
        <f>+E42*$T$3</f>
        <v>126.12209302325581</v>
      </c>
      <c r="T42" s="46">
        <f t="shared" si="5"/>
        <v>69367.151162790702</v>
      </c>
      <c r="U42" t="str">
        <f>+IF(K42&lt;&gt;"",K42,"")</f>
        <v/>
      </c>
      <c r="V42">
        <f>+RANK(H42,$H$6:$H$1048576,1)</f>
        <v>34</v>
      </c>
      <c r="Z42" t="str">
        <f>TRIM(Tabla2[[#This Row],[CONDUCTOR]])</f>
        <v>PALMAR PANA EDIXON JOSUE</v>
      </c>
    </row>
    <row r="43" spans="2:26" s="2" customFormat="1" ht="22.5" x14ac:dyDescent="0.2">
      <c r="B43" s="136" t="s">
        <v>121</v>
      </c>
      <c r="C43" s="166">
        <v>40</v>
      </c>
      <c r="D43" s="136" t="s">
        <v>179</v>
      </c>
      <c r="E43" s="150">
        <v>9</v>
      </c>
      <c r="F43" s="150">
        <v>0.5</v>
      </c>
      <c r="G43" s="378">
        <v>208</v>
      </c>
      <c r="H43" s="374">
        <f t="shared" si="2"/>
        <v>23.111111111111111</v>
      </c>
      <c r="I43" s="375">
        <f t="shared" si="3"/>
        <v>198.18313953488371</v>
      </c>
      <c r="J43" s="376">
        <f>+Tabla2[[#This Row],[PROM DE USUARIOS]]-Tabla2[[#This Row],[USUARIOS]]</f>
        <v>-9.8168604651162923</v>
      </c>
      <c r="K43" s="377" t="s">
        <v>202</v>
      </c>
      <c r="L43" s="163">
        <f t="shared" si="4"/>
        <v>113457.44360465115</v>
      </c>
      <c r="M43" s="162" t="str">
        <f>+VLOOKUP(C43,Lista!B:D,3,0)</f>
        <v>MICRO</v>
      </c>
      <c r="N43" s="164">
        <f t="shared" si="0"/>
        <v>10885</v>
      </c>
      <c r="O43" s="164">
        <f>Tabla2[[#This Row],[USUARIOS]]*150</f>
        <v>31200</v>
      </c>
      <c r="P43" s="50">
        <f>+(E43*1)-W43</f>
        <v>8.5</v>
      </c>
      <c r="Q43" s="47">
        <f>+I43-P43-X43</f>
        <v>178.67313953488372</v>
      </c>
      <c r="R43" s="49">
        <f>+G43-P43</f>
        <v>199.5</v>
      </c>
      <c r="S43" s="51">
        <f>+E43*$T$3</f>
        <v>189.18313953488371</v>
      </c>
      <c r="T43" s="46">
        <f t="shared" si="5"/>
        <v>104050.72674418605</v>
      </c>
      <c r="U43" s="2" t="str">
        <f>+IF(K43&lt;&gt;"",K43,"")</f>
        <v xml:space="preserve">Se descuenta 0.5 viaje de 10 45 am ya que NO ingresa al 13. 1 Descuento (Usuario desubicado) </v>
      </c>
      <c r="V43" s="2">
        <f>+RANK(H43,$H$6:$H$1048576,1)</f>
        <v>28</v>
      </c>
      <c r="W43" s="2">
        <v>0.5</v>
      </c>
      <c r="X43" s="379">
        <v>11.01</v>
      </c>
      <c r="Z43" s="2" t="str">
        <f>TRIM(Tabla2[[#This Row],[CONDUCTOR]])</f>
        <v>OCAMPO OCAMPO ANTONIO JOSE</v>
      </c>
    </row>
    <row r="44" spans="2:26" x14ac:dyDescent="0.2">
      <c r="B44" s="136" t="s">
        <v>122</v>
      </c>
      <c r="C44" s="166">
        <v>42</v>
      </c>
      <c r="D44" s="151" t="s">
        <v>173</v>
      </c>
      <c r="E44" s="150">
        <v>10</v>
      </c>
      <c r="F44" s="150">
        <v>0</v>
      </c>
      <c r="G44" s="146">
        <v>264</v>
      </c>
      <c r="H44" s="226">
        <f t="shared" si="2"/>
        <v>26.4</v>
      </c>
      <c r="I44" s="227">
        <f t="shared" si="3"/>
        <v>220.20348837209301</v>
      </c>
      <c r="J44" s="363">
        <f>+Tabla2[[#This Row],[PROM DE USUARIOS]]-Tabla2[[#This Row],[USUARIOS]]</f>
        <v>-43.796511627906995</v>
      </c>
      <c r="K44" s="151" t="s">
        <v>198</v>
      </c>
      <c r="L44" s="163">
        <f t="shared" si="4"/>
        <v>133479.21511627905</v>
      </c>
      <c r="M44" s="162">
        <f>+VLOOKUP(C44,Lista!B:D,3,0)</f>
        <v>0</v>
      </c>
      <c r="N44" s="164">
        <f t="shared" si="0"/>
        <v>10885</v>
      </c>
      <c r="O44" s="164">
        <f>Tabla2[[#This Row],[USUARIOS]]*150</f>
        <v>39600</v>
      </c>
      <c r="P44" s="50">
        <f>+(E44*1)-W44</f>
        <v>10</v>
      </c>
      <c r="Q44" s="47">
        <f>+I44-P44-X44</f>
        <v>210.20348837209301</v>
      </c>
      <c r="R44" s="49">
        <f>+G44-P44</f>
        <v>254</v>
      </c>
      <c r="S44" s="51">
        <f>+E44*$T$3</f>
        <v>210.20348837209301</v>
      </c>
      <c r="T44" s="46">
        <f t="shared" si="5"/>
        <v>115611.91860465115</v>
      </c>
      <c r="U44" t="str">
        <f>+IF(K44&lt;&gt;"",K44,"")</f>
        <v xml:space="preserve">3 Descuentos (Conduct y asociado) </v>
      </c>
      <c r="V44">
        <f>+RANK(H44,$H$6:$H$1048576,1)</f>
        <v>40</v>
      </c>
      <c r="Z44" t="str">
        <f>TRIM(Tabla2[[#This Row],[CONDUCTOR]])</f>
        <v>BETANCUR GUZMAN JHON FERNANDO</v>
      </c>
    </row>
    <row r="45" spans="2:26" x14ac:dyDescent="0.2">
      <c r="B45" s="136" t="s">
        <v>121</v>
      </c>
      <c r="C45" s="166">
        <v>43</v>
      </c>
      <c r="D45" s="151" t="s">
        <v>174</v>
      </c>
      <c r="E45" s="150">
        <v>7</v>
      </c>
      <c r="F45" s="150">
        <v>0</v>
      </c>
      <c r="G45" s="165">
        <v>151</v>
      </c>
      <c r="H45" s="226">
        <f t="shared" si="2"/>
        <v>21.571428571428573</v>
      </c>
      <c r="I45" s="227">
        <f t="shared" si="3"/>
        <v>154.14244186046511</v>
      </c>
      <c r="J45" s="363">
        <f>+Tabla2[[#This Row],[PROM DE USUARIOS]]-Tabla2[[#This Row],[USUARIOS]]</f>
        <v>3.1424418604651123</v>
      </c>
      <c r="K45" s="151" t="s">
        <v>191</v>
      </c>
      <c r="L45" s="163">
        <f t="shared" si="4"/>
        <v>93435.450581395344</v>
      </c>
      <c r="M45" s="162">
        <f>+VLOOKUP(C45,Lista!B:D,3,0)</f>
        <v>0</v>
      </c>
      <c r="N45" s="164">
        <f t="shared" si="0"/>
        <v>10885</v>
      </c>
      <c r="O45" s="164">
        <f>Tabla2[[#This Row],[USUARIOS]]*150</f>
        <v>22650</v>
      </c>
      <c r="P45" s="50">
        <f>+(E45*1)-W45</f>
        <v>7</v>
      </c>
      <c r="Q45" s="47">
        <f>+I45-P45-X45</f>
        <v>147.14244186046511</v>
      </c>
      <c r="R45" s="49">
        <f>+G45-P45</f>
        <v>144</v>
      </c>
      <c r="S45" s="51">
        <f>+E45*$T$3</f>
        <v>147.14244186046511</v>
      </c>
      <c r="T45" s="46">
        <f t="shared" si="5"/>
        <v>80928.343023255817</v>
      </c>
      <c r="U45" t="str">
        <f>+IF(K45&lt;&gt;"",K45,"")</f>
        <v xml:space="preserve">1 Descuento (Despachador) </v>
      </c>
      <c r="V45">
        <f>+RANK(H45,$H$6:$H$1048576,1)</f>
        <v>18</v>
      </c>
      <c r="Z45" t="str">
        <f>TRIM(Tabla2[[#This Row],[CONDUCTOR]])</f>
        <v>MARIN GARCIA JUAN DANIEL</v>
      </c>
    </row>
    <row r="46" spans="2:26" x14ac:dyDescent="0.2">
      <c r="B46" s="136" t="s">
        <v>122</v>
      </c>
      <c r="C46" s="166">
        <v>44</v>
      </c>
      <c r="D46" s="151" t="s">
        <v>176</v>
      </c>
      <c r="E46" s="150">
        <v>8</v>
      </c>
      <c r="F46" s="150">
        <v>0</v>
      </c>
      <c r="G46" s="146">
        <v>164</v>
      </c>
      <c r="H46" s="226">
        <f t="shared" si="2"/>
        <v>20.5</v>
      </c>
      <c r="I46" s="227">
        <f t="shared" si="3"/>
        <v>176.16279069767441</v>
      </c>
      <c r="J46" s="363">
        <f>+Tabla2[[#This Row],[PROM DE USUARIOS]]-Tabla2[[#This Row],[USUARIOS]]</f>
        <v>12.16279069767441</v>
      </c>
      <c r="K46" s="151"/>
      <c r="L46" s="163">
        <f t="shared" si="4"/>
        <v>106783.37209302325</v>
      </c>
      <c r="M46" s="162">
        <f>+VLOOKUP(C46,Lista!B:D,3,0)</f>
        <v>0</v>
      </c>
      <c r="N46" s="164">
        <f t="shared" si="0"/>
        <v>10885</v>
      </c>
      <c r="O46" s="164">
        <f>Tabla2[[#This Row],[USUARIOS]]*150</f>
        <v>24600</v>
      </c>
      <c r="P46" s="50">
        <f>+(E46*1)-W46</f>
        <v>8</v>
      </c>
      <c r="Q46" s="47">
        <f>+I46-P46-X46</f>
        <v>168.16279069767441</v>
      </c>
      <c r="R46" s="49">
        <f>+G46-P46</f>
        <v>156</v>
      </c>
      <c r="S46" s="51">
        <f>+E46*$T$3</f>
        <v>168.16279069767441</v>
      </c>
      <c r="T46" s="46">
        <f t="shared" si="5"/>
        <v>92489.534883720931</v>
      </c>
      <c r="U46" t="str">
        <f>+IF(K46&lt;&gt;"",K46,"")</f>
        <v/>
      </c>
      <c r="V46">
        <f>+RANK(H46,$H$6:$H$1048576,1)</f>
        <v>12</v>
      </c>
      <c r="Z46" t="str">
        <f>TRIM(Tabla2[[#This Row],[CONDUCTOR]])</f>
        <v>MARIN ALZATE KEVIN ANDRES</v>
      </c>
    </row>
    <row r="47" spans="2:26" x14ac:dyDescent="0.2">
      <c r="B47" s="232"/>
      <c r="C47" s="239">
        <f>SUBTOTAL(102,Tabla2[VEH])</f>
        <v>40</v>
      </c>
      <c r="D47" s="233" t="s">
        <v>127</v>
      </c>
      <c r="E47" s="234">
        <f>SUBTOTAL(109,Tabla2[VIAJES])</f>
        <v>344</v>
      </c>
      <c r="F47" s="234">
        <f>SUBTOTAL(109,Tabla2[VIAJES PERD.])</f>
        <v>3.5</v>
      </c>
      <c r="G47" s="240">
        <f>SUBTOTAL(109,Tabla2[USUARIOS])</f>
        <v>7575</v>
      </c>
      <c r="H47" s="372">
        <f>+Tabla2[[#Totals],[USUARIOS]]/Tabla2[[#Totals],[VIAJES]]</f>
        <v>22.020348837209301</v>
      </c>
      <c r="I47" s="240">
        <f>SUBTOTAL(109,Tabla2[PROM DE USUARIOS])</f>
        <v>7574.9999999999982</v>
      </c>
      <c r="J47" s="371">
        <f>SUBTOTAL(109,Tabla2[RECIBE / ENTREGA])</f>
        <v>-4.4053649617126212E-13</v>
      </c>
      <c r="K47" s="235" t="s">
        <v>204</v>
      </c>
      <c r="L47" s="236"/>
      <c r="M47" s="237"/>
      <c r="N47" s="238">
        <f>SUBTOTAL(109,Tabla2[DIFER. MICRO - BUS ])</f>
        <v>435400</v>
      </c>
      <c r="O47" s="238">
        <f>SUBTOTAL(109,Tabla2[FONDO (SIT)])</f>
        <v>1136250</v>
      </c>
      <c r="P47" s="50">
        <f>+(E46*1)-W47</f>
        <v>8</v>
      </c>
      <c r="Q47" s="47">
        <f>+I46-P47-X47</f>
        <v>168.16279069767441</v>
      </c>
      <c r="R47" s="49">
        <f>+G46-P47</f>
        <v>156</v>
      </c>
      <c r="S47" s="51">
        <f>+E46*$T$3</f>
        <v>168.16279069767441</v>
      </c>
      <c r="T47" s="46">
        <f t="shared" ref="T47" si="6">+S47*550</f>
        <v>92489.534883720931</v>
      </c>
      <c r="U47" t="str">
        <f>+IF(K46&lt;&gt;"",K46,"")</f>
        <v/>
      </c>
      <c r="V47">
        <f>+RANK(H46,$H$6:$H$1048576,1)</f>
        <v>12</v>
      </c>
      <c r="Z47" t="e">
        <f>TRIM(Tabla2[[#This Row],[CONDUCTOR]])</f>
        <v>#VALUE!</v>
      </c>
    </row>
    <row r="48" spans="2:26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7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8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49"/>
      <c r="H50" s="250"/>
      <c r="I50" s="251"/>
      <c r="J50" s="341"/>
      <c r="K50" s="247"/>
      <c r="L50" s="252"/>
      <c r="M50" s="253"/>
      <c r="N50" s="203"/>
      <c r="O50">
        <f>+(E110*1)-V50</f>
        <v>0</v>
      </c>
      <c r="P50" s="134">
        <f>+I110-O50-W50</f>
        <v>0</v>
      </c>
      <c r="Q50" s="11">
        <f>+G110-O50</f>
        <v>0</v>
      </c>
      <c r="R50">
        <f>+E110*$T$3</f>
        <v>0</v>
      </c>
      <c r="S50">
        <f t="shared" ref="S50:S55" si="9">+R50*550</f>
        <v>0</v>
      </c>
      <c r="T50" t="str">
        <f>+IF(K110&lt;&gt;"",K110,"")</f>
        <v/>
      </c>
      <c r="U50" t="e">
        <f>+RANK(H110,$H$6:$H$1048576,1)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+(E111*1)-V51</f>
        <v>0</v>
      </c>
      <c r="P51" s="134">
        <f>+I111-O51-W51</f>
        <v>0</v>
      </c>
      <c r="Q51" s="11">
        <f>+G111-O51</f>
        <v>0</v>
      </c>
      <c r="R51">
        <f>+E111*$T$3</f>
        <v>0</v>
      </c>
      <c r="S51">
        <f t="shared" si="9"/>
        <v>0</v>
      </c>
      <c r="T51" t="str">
        <f>+IF(K111&lt;&gt;"",K111,"")</f>
        <v/>
      </c>
      <c r="U51" t="e">
        <f>+RANK(H111,$H$6:$H$1048576,1)</f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>+(E112*1)-V52</f>
        <v>0</v>
      </c>
      <c r="P52" s="134">
        <f>+I112-O52-W52</f>
        <v>0</v>
      </c>
      <c r="Q52" s="11">
        <f>+G112-O52</f>
        <v>0</v>
      </c>
      <c r="R52">
        <f>+E112*$T$3</f>
        <v>0</v>
      </c>
      <c r="S52">
        <f t="shared" si="9"/>
        <v>0</v>
      </c>
      <c r="T52" t="str">
        <f>+IF(K112&lt;&gt;"",K112,"")</f>
        <v/>
      </c>
      <c r="U52" t="e">
        <f>+RANK(H112,$H$6:$H$1048576,1)</f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>+(E113*1)-V53</f>
        <v>0</v>
      </c>
      <c r="P53" s="134">
        <f>+I113-O53-W53</f>
        <v>0</v>
      </c>
      <c r="Q53" s="11">
        <f>+G113-O53</f>
        <v>0</v>
      </c>
      <c r="R53">
        <f>+E113*$T$3</f>
        <v>0</v>
      </c>
      <c r="S53">
        <f t="shared" si="9"/>
        <v>0</v>
      </c>
      <c r="T53" t="str">
        <f>+IF(K113&lt;&gt;"",K113,"")</f>
        <v/>
      </c>
      <c r="U53" t="e">
        <f>+RANK(H113,$H$6:$H$1048576,1)</f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>+(E114*1)-V54</f>
        <v>0</v>
      </c>
      <c r="P54" s="134">
        <f>+I114-O54-W54</f>
        <v>0</v>
      </c>
      <c r="Q54" s="11">
        <f>+G114-O54</f>
        <v>0</v>
      </c>
      <c r="R54">
        <f>+E114*$T$3</f>
        <v>0</v>
      </c>
      <c r="S54">
        <f t="shared" si="9"/>
        <v>0</v>
      </c>
      <c r="T54" t="str">
        <f>+IF(K114&lt;&gt;"",K114,"")</f>
        <v/>
      </c>
      <c r="U54" t="e">
        <f>+RANK(H114,$H$6:$H$1048576,1)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>+(E115*1)-V55</f>
        <v>0</v>
      </c>
      <c r="P55" s="134">
        <f>+I115-O55-W55</f>
        <v>0</v>
      </c>
      <c r="Q55" s="11">
        <f>+G115-O55</f>
        <v>0</v>
      </c>
      <c r="R55">
        <f>+E115*$T$3</f>
        <v>0</v>
      </c>
      <c r="S55">
        <f t="shared" si="9"/>
        <v>0</v>
      </c>
      <c r="T55" t="str">
        <f>+IF(K115&lt;&gt;"",K115,"")</f>
        <v/>
      </c>
      <c r="U55" t="e">
        <f>+RANK(H115,$H$6:$H$1048576,1)</f>
        <v>#N/A</v>
      </c>
    </row>
    <row r="56" spans="2:21" x14ac:dyDescent="0.2">
      <c r="B56" s="245"/>
      <c r="C56" s="255"/>
      <c r="D56" s="247"/>
      <c r="E56" s="248"/>
      <c r="F56" s="248"/>
      <c r="G56" s="199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10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0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0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10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+(E79*1)-V65</f>
        <v>0</v>
      </c>
      <c r="P65" s="134">
        <f>+I79-O65-W65</f>
        <v>0</v>
      </c>
      <c r="Q65" s="11">
        <f>+G79-O65</f>
        <v>0</v>
      </c>
      <c r="R65">
        <f>+E79*$T$3</f>
        <v>0</v>
      </c>
      <c r="S65">
        <f t="shared" si="10"/>
        <v>0</v>
      </c>
      <c r="T65" t="str">
        <f>+IF(K79&lt;&gt;"",K79,"")</f>
        <v/>
      </c>
      <c r="U65" t="e">
        <f>+RANK(H79,$H$6:$H$1048576,1)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+(E80*1)-V66</f>
        <v>0</v>
      </c>
      <c r="P66" s="134">
        <f>+I80-O66-W66</f>
        <v>0</v>
      </c>
      <c r="Q66" s="11">
        <f>+G80-O66</f>
        <v>0</v>
      </c>
      <c r="R66">
        <f>+E80*$T$3</f>
        <v>0</v>
      </c>
      <c r="S66">
        <f t="shared" si="10"/>
        <v>0</v>
      </c>
      <c r="T66" t="str">
        <f>+IF(K80&lt;&gt;"",K80,"")</f>
        <v/>
      </c>
      <c r="U66" t="e">
        <f>+RANK(H80,$H$6:$H$1048576,1)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+(E81*1)-V67</f>
        <v>0</v>
      </c>
      <c r="P67" s="134">
        <f>+I81-O67-W67</f>
        <v>0</v>
      </c>
      <c r="Q67" s="11">
        <f>+G81-O67</f>
        <v>0</v>
      </c>
      <c r="R67">
        <f>+E81*$T$3</f>
        <v>0</v>
      </c>
      <c r="S67">
        <f t="shared" si="10"/>
        <v>0</v>
      </c>
      <c r="T67" t="str">
        <f>+IF(K81&lt;&gt;"",K81,"")</f>
        <v/>
      </c>
      <c r="U67" t="e">
        <f>+RANK(H81,$H$6:$H$1048576,1)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+(E82*1)-V68</f>
        <v>0</v>
      </c>
      <c r="P68" s="134">
        <f>+I82-O68-W68</f>
        <v>0</v>
      </c>
      <c r="Q68" s="11">
        <f>+G82-O68</f>
        <v>0</v>
      </c>
      <c r="R68">
        <f>+E82*$T$3</f>
        <v>0</v>
      </c>
      <c r="S68">
        <f t="shared" si="10"/>
        <v>0</v>
      </c>
      <c r="T68" t="str">
        <f>+IF(K82&lt;&gt;"",K82,"")</f>
        <v/>
      </c>
      <c r="U68" t="e">
        <f>+RANK(H82,$H$6:$H$1048576,1)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+(E83*1)-V69</f>
        <v>0</v>
      </c>
      <c r="P69" s="134">
        <f>+I83-O69-W69</f>
        <v>0</v>
      </c>
      <c r="Q69" s="11">
        <f>+G83-O69</f>
        <v>0</v>
      </c>
      <c r="R69">
        <f>+E83*$T$3</f>
        <v>0</v>
      </c>
      <c r="S69">
        <f t="shared" si="10"/>
        <v>0</v>
      </c>
      <c r="T69" t="str">
        <f>+IF(K83&lt;&gt;"",K83,"")</f>
        <v/>
      </c>
      <c r="U69" t="e">
        <f>+RANK(H83,$H$6:$H$1048576,1)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4"/>
      <c r="H71" s="250"/>
      <c r="I71" s="251"/>
      <c r="J71" s="341"/>
      <c r="K71" s="247"/>
      <c r="L71" s="252"/>
      <c r="M71" s="253"/>
      <c r="N71" s="203"/>
    </row>
    <row r="72" spans="2:21" x14ac:dyDescent="0.2">
      <c r="B72" s="245"/>
      <c r="C72" s="255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6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52"/>
      <c r="M77" s="253"/>
      <c r="N77" s="203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52"/>
      <c r="M78" s="253"/>
      <c r="N78" s="203"/>
    </row>
    <row r="79" spans="2:21" x14ac:dyDescent="0.2">
      <c r="B79" s="245"/>
      <c r="C79" s="255"/>
      <c r="D79" s="247"/>
      <c r="E79" s="248"/>
      <c r="F79" s="248"/>
      <c r="G79" s="199"/>
      <c r="H79" s="257"/>
      <c r="I79" s="222"/>
      <c r="J79" s="343"/>
      <c r="K79" s="247"/>
      <c r="L79" s="252"/>
      <c r="M79" s="253"/>
      <c r="N79" s="258"/>
    </row>
    <row r="80" spans="2:21" x14ac:dyDescent="0.2">
      <c r="B80" s="245"/>
      <c r="C80" s="255"/>
      <c r="D80" s="247"/>
      <c r="E80" s="248"/>
      <c r="F80" s="248"/>
      <c r="G80" s="254"/>
      <c r="H80" s="257"/>
      <c r="I80" s="222"/>
      <c r="J80" s="343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55"/>
      <c r="D84" s="247"/>
      <c r="E84" s="248"/>
      <c r="F84" s="248"/>
      <c r="G84" s="199"/>
      <c r="H84" s="257"/>
      <c r="I84" s="222"/>
      <c r="J84" s="343"/>
      <c r="K84" s="247"/>
      <c r="L84" s="203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6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6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03"/>
      <c r="M92" s="253"/>
      <c r="N92" s="258"/>
    </row>
    <row r="93" spans="2:14" x14ac:dyDescent="0.2">
      <c r="B93" s="245"/>
      <c r="C93" s="255"/>
      <c r="D93" s="247"/>
      <c r="E93" s="248"/>
      <c r="F93" s="248"/>
      <c r="G93" s="199"/>
      <c r="H93" s="257"/>
      <c r="I93" s="222"/>
      <c r="J93" s="343"/>
      <c r="K93" s="247"/>
      <c r="L93" s="203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55"/>
      <c r="D98" s="247"/>
      <c r="E98" s="248"/>
      <c r="F98" s="248"/>
      <c r="G98" s="254"/>
      <c r="H98" s="259"/>
      <c r="I98" s="260"/>
      <c r="J98" s="344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03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6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55"/>
      <c r="D103" s="247"/>
      <c r="E103" s="248"/>
      <c r="F103" s="248"/>
      <c r="G103" s="199"/>
      <c r="H103" s="257"/>
      <c r="I103" s="222"/>
      <c r="J103" s="343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6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6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6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58"/>
    </row>
    <row r="117" spans="2:14" x14ac:dyDescent="0.2">
      <c r="B117" s="245"/>
      <c r="C117" s="255"/>
      <c r="D117" s="247"/>
      <c r="E117" s="248"/>
      <c r="F117" s="248"/>
      <c r="G117" s="199"/>
      <c r="H117" s="257"/>
      <c r="I117" s="222"/>
      <c r="J117" s="343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6"/>
      <c r="H119" s="250"/>
      <c r="I119" s="221"/>
      <c r="J119" s="342"/>
      <c r="K119" s="247"/>
      <c r="L119" s="252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03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5"/>
      <c r="E123" s="248"/>
      <c r="F123" s="248"/>
      <c r="G123" s="261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55"/>
      <c r="D128" s="247"/>
      <c r="E128" s="248"/>
      <c r="F128" s="248"/>
      <c r="G128" s="199"/>
      <c r="H128" s="257"/>
      <c r="I128" s="222"/>
      <c r="J128" s="343"/>
      <c r="K128" s="262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55"/>
      <c r="D130" s="247"/>
      <c r="E130" s="248"/>
      <c r="F130" s="248"/>
      <c r="G130" s="199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0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0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46"/>
      <c r="D136" s="247"/>
      <c r="E136" s="248"/>
      <c r="F136" s="248"/>
      <c r="G136" s="254"/>
      <c r="H136" s="25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03"/>
      <c r="M137" s="253"/>
      <c r="N137" s="258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58"/>
    </row>
    <row r="139" spans="2:14" x14ac:dyDescent="0.2">
      <c r="B139" s="245"/>
      <c r="C139" s="255"/>
      <c r="D139" s="247"/>
      <c r="E139" s="248"/>
      <c r="F139" s="248"/>
      <c r="G139" s="199"/>
      <c r="H139" s="200"/>
      <c r="I139" s="221"/>
      <c r="J139" s="342"/>
      <c r="K139" s="247"/>
      <c r="L139" s="203"/>
      <c r="M139" s="253"/>
      <c r="N139" s="258"/>
    </row>
    <row r="140" spans="2:14" x14ac:dyDescent="0.2">
      <c r="B140" s="245"/>
      <c r="C140" s="246"/>
      <c r="D140" s="247"/>
      <c r="E140" s="248"/>
      <c r="F140" s="248"/>
      <c r="G140" s="254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7"/>
      <c r="E142" s="248"/>
      <c r="F142" s="248"/>
      <c r="G142" s="199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5"/>
      <c r="E143" s="248"/>
      <c r="F143" s="248"/>
      <c r="G143" s="201"/>
      <c r="H143" s="20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5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5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51"/>
      <c r="J157" s="341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55"/>
      <c r="D159" s="247"/>
      <c r="E159" s="248"/>
      <c r="F159" s="248"/>
      <c r="G159" s="199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5"/>
      <c r="E162" s="248"/>
      <c r="F162" s="248"/>
      <c r="G162" s="201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55"/>
      <c r="D163" s="247"/>
      <c r="E163" s="248"/>
      <c r="F163" s="248"/>
      <c r="G163" s="199"/>
      <c r="H163" s="25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50"/>
      <c r="I164" s="221"/>
      <c r="J164" s="342"/>
      <c r="K164" s="247"/>
      <c r="L164" s="252"/>
      <c r="M164" s="253"/>
      <c r="N164" s="258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55"/>
      <c r="D169" s="247"/>
      <c r="E169" s="248"/>
      <c r="F169" s="248"/>
      <c r="G169" s="199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55"/>
      <c r="D171" s="247"/>
      <c r="E171" s="248"/>
      <c r="F171" s="248"/>
      <c r="G171" s="199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55"/>
      <c r="D174" s="247"/>
      <c r="E174" s="248"/>
      <c r="F174" s="248"/>
      <c r="G174" s="199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55"/>
      <c r="D178" s="247"/>
      <c r="E178" s="248"/>
      <c r="F178" s="248"/>
      <c r="G178" s="199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55"/>
      <c r="D183" s="247"/>
      <c r="E183" s="248"/>
      <c r="F183" s="248"/>
      <c r="G183" s="199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55"/>
      <c r="D191" s="247"/>
      <c r="E191" s="248"/>
      <c r="F191" s="248"/>
      <c r="G191" s="199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55"/>
      <c r="D193" s="247"/>
      <c r="E193" s="248"/>
      <c r="F193" s="248"/>
      <c r="G193" s="199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03"/>
      <c r="M194" s="253"/>
      <c r="N194" s="258"/>
    </row>
    <row r="195" spans="2:14" x14ac:dyDescent="0.2">
      <c r="B195" s="245"/>
      <c r="C195" s="246"/>
      <c r="D195" s="247"/>
      <c r="E195" s="248"/>
      <c r="F195" s="248"/>
      <c r="G195" s="254"/>
      <c r="H195" s="250"/>
      <c r="I195" s="221"/>
      <c r="J195" s="342"/>
      <c r="K195" s="247"/>
      <c r="L195" s="252"/>
      <c r="M195" s="253"/>
      <c r="N195" s="258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52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52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55"/>
      <c r="D203" s="247"/>
      <c r="E203" s="248"/>
      <c r="F203" s="248"/>
      <c r="G203" s="199"/>
      <c r="H203" s="244"/>
      <c r="I203" s="222"/>
      <c r="J203" s="343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55"/>
      <c r="D206" s="247"/>
      <c r="E206" s="248"/>
      <c r="F206" s="248"/>
      <c r="G206" s="199"/>
      <c r="H206" s="244"/>
      <c r="I206" s="222"/>
      <c r="J206" s="343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03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03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55"/>
      <c r="D212" s="247"/>
      <c r="E212" s="248"/>
      <c r="F212" s="248"/>
      <c r="G212" s="199"/>
      <c r="H212" s="244"/>
      <c r="I212" s="222"/>
      <c r="J212" s="343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03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55"/>
      <c r="D217" s="247"/>
      <c r="E217" s="248"/>
      <c r="F217" s="248"/>
      <c r="G217" s="199"/>
      <c r="H217" s="244"/>
      <c r="I217" s="222"/>
      <c r="J217" s="343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03"/>
      <c r="M218" s="253"/>
      <c r="N218" s="203"/>
    </row>
    <row r="219" spans="2:14" x14ac:dyDescent="0.2">
      <c r="B219" s="245"/>
      <c r="C219" s="246"/>
      <c r="D219" s="245"/>
      <c r="E219" s="248"/>
      <c r="F219" s="248"/>
      <c r="G219" s="261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5"/>
      <c r="E223" s="248"/>
      <c r="F223" s="248"/>
      <c r="G223" s="261"/>
      <c r="H223" s="200"/>
      <c r="I223" s="221"/>
      <c r="J223" s="342"/>
      <c r="K223" s="247"/>
      <c r="L223" s="203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5"/>
      <c r="E225" s="248"/>
      <c r="F225" s="248"/>
      <c r="G225" s="261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55"/>
      <c r="D228" s="247"/>
      <c r="E228" s="248"/>
      <c r="F228" s="248"/>
      <c r="G228" s="261"/>
      <c r="H228" s="263"/>
      <c r="I228" s="260"/>
      <c r="J228" s="344"/>
      <c r="K228" s="247"/>
      <c r="L228" s="252"/>
      <c r="M228" s="253"/>
      <c r="N228" s="203"/>
    </row>
    <row r="229" spans="2:14" x14ac:dyDescent="0.2">
      <c r="B229" s="245"/>
      <c r="C229" s="246"/>
      <c r="D229" s="245"/>
      <c r="E229" s="248"/>
      <c r="F229" s="248"/>
      <c r="G229" s="261"/>
      <c r="H229" s="200"/>
      <c r="I229" s="221"/>
      <c r="J229" s="342"/>
      <c r="K229" s="245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55"/>
      <c r="D238" s="247"/>
      <c r="E238" s="248"/>
      <c r="F238" s="248"/>
      <c r="G238" s="199"/>
      <c r="H238" s="244"/>
      <c r="I238" s="222"/>
      <c r="J238" s="343"/>
      <c r="K238" s="247"/>
      <c r="L238" s="252"/>
      <c r="M238" s="253"/>
      <c r="N238" s="203"/>
    </row>
    <row r="239" spans="2:14" x14ac:dyDescent="0.2">
      <c r="B239" s="245"/>
      <c r="C239" s="255"/>
      <c r="D239" s="247"/>
      <c r="E239" s="248"/>
      <c r="F239" s="248"/>
      <c r="G239" s="199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03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55"/>
      <c r="D262" s="247"/>
      <c r="E262" s="248"/>
      <c r="F262" s="248"/>
      <c r="G262" s="261"/>
      <c r="H262" s="200"/>
      <c r="I262" s="221"/>
      <c r="J262" s="342"/>
      <c r="K262" s="245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62"/>
      <c r="L263" s="252"/>
      <c r="M263" s="253"/>
      <c r="N263" s="203"/>
    </row>
    <row r="264" spans="2:14" x14ac:dyDescent="0.2">
      <c r="B264" s="245"/>
      <c r="C264" s="255"/>
      <c r="D264" s="245"/>
      <c r="E264" s="248"/>
      <c r="F264" s="248"/>
      <c r="G264" s="201"/>
      <c r="H264" s="200"/>
      <c r="I264" s="221"/>
      <c r="J264" s="342"/>
      <c r="K264" s="262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5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5"/>
      <c r="E268" s="248"/>
      <c r="F268" s="248"/>
      <c r="G268" s="261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55"/>
      <c r="D269" s="247"/>
      <c r="E269" s="248"/>
      <c r="F269" s="248"/>
      <c r="G269" s="199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55"/>
      <c r="D274" s="245"/>
      <c r="E274" s="248"/>
      <c r="F274" s="248"/>
      <c r="G274" s="201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55"/>
      <c r="D275" s="245"/>
      <c r="E275" s="248"/>
      <c r="F275" s="248"/>
      <c r="G275" s="261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55"/>
      <c r="D279" s="247"/>
      <c r="E279" s="248"/>
      <c r="F279" s="248"/>
      <c r="G279" s="199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5"/>
      <c r="E280" s="248"/>
      <c r="F280" s="248"/>
      <c r="G280" s="261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46"/>
      <c r="D281" s="247"/>
      <c r="E281" s="248"/>
      <c r="F281" s="248"/>
      <c r="G281" s="254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55"/>
      <c r="D282" s="245"/>
      <c r="E282" s="248"/>
      <c r="F282" s="248"/>
      <c r="G282" s="201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55"/>
      <c r="D283" s="247"/>
      <c r="E283" s="248"/>
      <c r="F283" s="248"/>
      <c r="G283" s="199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7"/>
      <c r="E284" s="248"/>
      <c r="F284" s="248"/>
      <c r="G284" s="254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5"/>
      <c r="E285" s="248"/>
      <c r="F285" s="248"/>
      <c r="G285" s="261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55"/>
      <c r="D286" s="247"/>
      <c r="E286" s="248"/>
      <c r="F286" s="248"/>
      <c r="G286" s="199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7"/>
      <c r="E287" s="248"/>
      <c r="F287" s="248"/>
      <c r="G287" s="254"/>
      <c r="H287" s="200"/>
      <c r="I287" s="221"/>
      <c r="J287" s="342"/>
      <c r="K287" s="247"/>
      <c r="L287" s="252"/>
      <c r="M287" s="253"/>
      <c r="N287" s="203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4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4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5"/>
      <c r="E303" s="248"/>
      <c r="F303" s="248"/>
      <c r="G303" s="261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4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7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55"/>
      <c r="D376" s="247"/>
      <c r="E376" s="248"/>
      <c r="F376" s="248"/>
      <c r="G376" s="199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55"/>
      <c r="D382" s="247"/>
      <c r="E382" s="248"/>
      <c r="F382" s="248"/>
      <c r="G382" s="199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55"/>
      <c r="D387" s="247"/>
      <c r="E387" s="248"/>
      <c r="F387" s="248"/>
      <c r="G387" s="199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7"/>
      <c r="E391" s="248"/>
      <c r="F391" s="248"/>
      <c r="G391" s="254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5"/>
      <c r="E408" s="248"/>
      <c r="F408" s="248"/>
      <c r="G408" s="261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55"/>
      <c r="D411" s="247"/>
      <c r="E411" s="248"/>
      <c r="F411" s="248"/>
      <c r="G411" s="199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55"/>
      <c r="D416" s="247"/>
      <c r="E416" s="248"/>
      <c r="F416" s="248"/>
      <c r="G416" s="199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55"/>
      <c r="D418" s="247"/>
      <c r="E418" s="248"/>
      <c r="F418" s="248"/>
      <c r="G418" s="199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5"/>
      <c r="E423" s="248"/>
      <c r="F423" s="248"/>
      <c r="G423" s="261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4"/>
      <c r="L429" s="252"/>
      <c r="M429" s="253"/>
      <c r="N429" s="265"/>
    </row>
    <row r="430" spans="2:14" x14ac:dyDescent="0.2">
      <c r="B430" s="245"/>
      <c r="C430" s="246"/>
      <c r="D430" s="245"/>
      <c r="E430" s="248"/>
      <c r="F430" s="248"/>
      <c r="G430" s="261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4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5"/>
      <c r="E438" s="248"/>
      <c r="F438" s="248"/>
      <c r="G438" s="261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55"/>
      <c r="D444" s="247"/>
      <c r="E444" s="248"/>
      <c r="F444" s="248"/>
      <c r="G444" s="199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55"/>
      <c r="D447" s="247"/>
      <c r="E447" s="248"/>
      <c r="F447" s="248"/>
      <c r="G447" s="199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68"/>
      <c r="F451" s="268"/>
      <c r="G451" s="269"/>
      <c r="H451" s="270"/>
      <c r="I451" s="271"/>
      <c r="J451" s="346"/>
      <c r="K451" s="266"/>
      <c r="L451" s="252"/>
      <c r="M451" s="253"/>
      <c r="N451" s="265"/>
    </row>
    <row r="452" spans="2:14" x14ac:dyDescent="0.2">
      <c r="B452" s="245"/>
      <c r="C452" s="255"/>
      <c r="D452" s="247"/>
      <c r="E452" s="248"/>
      <c r="F452" s="248"/>
      <c r="G452" s="261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55"/>
      <c r="D454" s="247"/>
      <c r="E454" s="248"/>
      <c r="F454" s="248"/>
      <c r="G454" s="199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5"/>
      <c r="E455" s="248"/>
      <c r="F455" s="248"/>
      <c r="G455" s="261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4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55"/>
      <c r="D467" s="247"/>
      <c r="E467" s="248"/>
      <c r="F467" s="248"/>
      <c r="G467" s="199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5"/>
      <c r="E490" s="248"/>
      <c r="F490" s="248"/>
      <c r="G490" s="261"/>
      <c r="H490" s="202"/>
      <c r="I490" s="223"/>
      <c r="J490" s="345"/>
      <c r="K490" s="264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4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4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55"/>
      <c r="D503" s="247"/>
      <c r="E503" s="248"/>
      <c r="F503" s="248"/>
      <c r="G503" s="199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4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7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5"/>
      <c r="E523" s="248"/>
      <c r="F523" s="272"/>
      <c r="G523" s="261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5"/>
      <c r="E540" s="248"/>
      <c r="F540" s="248"/>
      <c r="G540" s="261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55"/>
      <c r="D543" s="247"/>
      <c r="E543" s="248"/>
      <c r="F543" s="248"/>
      <c r="G543" s="199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5"/>
      <c r="E546" s="248"/>
      <c r="F546" s="248"/>
      <c r="G546" s="261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55"/>
      <c r="D549" s="247"/>
      <c r="E549" s="248"/>
      <c r="F549" s="248"/>
      <c r="G549" s="199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5"/>
      <c r="E558" s="248"/>
      <c r="F558" s="248"/>
      <c r="G558" s="261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55"/>
      <c r="D566" s="245"/>
      <c r="E566" s="248"/>
      <c r="F566" s="248"/>
      <c r="G566" s="201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55"/>
      <c r="D572" s="245"/>
      <c r="E572" s="248"/>
      <c r="F572" s="248"/>
      <c r="G572" s="201"/>
      <c r="H572" s="202"/>
      <c r="I572" s="223"/>
      <c r="J572" s="345"/>
      <c r="K572" s="264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55"/>
      <c r="D574" s="247"/>
      <c r="E574" s="248"/>
      <c r="F574" s="248"/>
      <c r="G574" s="199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55"/>
      <c r="D582" s="247"/>
      <c r="E582" s="248"/>
      <c r="F582" s="248"/>
      <c r="G582" s="199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55"/>
      <c r="D585" s="247"/>
      <c r="E585" s="248"/>
      <c r="F585" s="248"/>
      <c r="G585" s="199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5"/>
      <c r="E594" s="248"/>
      <c r="F594" s="248"/>
      <c r="G594" s="261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55"/>
      <c r="D599" s="247"/>
      <c r="E599" s="248"/>
      <c r="F599" s="248"/>
      <c r="G599" s="199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55"/>
      <c r="D604" s="245"/>
      <c r="E604" s="248"/>
      <c r="F604" s="248"/>
      <c r="G604" s="201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4"/>
      <c r="L614" s="252"/>
      <c r="M614" s="253"/>
      <c r="N614" s="265"/>
    </row>
    <row r="615" spans="2:14" x14ac:dyDescent="0.2">
      <c r="B615" s="245"/>
      <c r="C615" s="255"/>
      <c r="D615" s="247"/>
      <c r="E615" s="248"/>
      <c r="F615" s="248"/>
      <c r="G615" s="199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5"/>
      <c r="E616" s="248"/>
      <c r="F616" s="248"/>
      <c r="G616" s="261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4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55"/>
      <c r="D623" s="245"/>
      <c r="E623" s="248"/>
      <c r="F623" s="248"/>
      <c r="G623" s="201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55"/>
      <c r="D634" s="247"/>
      <c r="E634" s="248"/>
      <c r="F634" s="248"/>
      <c r="G634" s="199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4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55"/>
      <c r="D642" s="247"/>
      <c r="E642" s="248"/>
      <c r="F642" s="248"/>
      <c r="G642" s="199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55"/>
      <c r="D657" s="247"/>
      <c r="E657" s="248"/>
      <c r="F657" s="248"/>
      <c r="G657" s="199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55"/>
      <c r="D673" s="247"/>
      <c r="E673" s="248"/>
      <c r="F673" s="248"/>
      <c r="G673" s="199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5"/>
      <c r="E677" s="248"/>
      <c r="F677" s="248"/>
      <c r="G677" s="261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55"/>
      <c r="D682" s="247"/>
      <c r="E682" s="248"/>
      <c r="F682" s="248"/>
      <c r="G682" s="199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5"/>
      <c r="E685" s="248"/>
      <c r="F685" s="248"/>
      <c r="G685" s="261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4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55"/>
      <c r="D701" s="245"/>
      <c r="E701" s="248"/>
      <c r="F701" s="248"/>
      <c r="G701" s="201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55"/>
      <c r="D708" s="247"/>
      <c r="E708" s="248"/>
      <c r="F708" s="248"/>
      <c r="G708" s="199"/>
      <c r="H708" s="202"/>
      <c r="I708" s="223"/>
      <c r="J708" s="345"/>
      <c r="K708" s="264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4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55"/>
      <c r="D728" s="247"/>
      <c r="E728" s="248"/>
      <c r="F728" s="248"/>
      <c r="G728" s="199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65"/>
    </row>
    <row r="740" spans="2:14" x14ac:dyDescent="0.2">
      <c r="B740" s="245"/>
      <c r="C740" s="255"/>
      <c r="D740" s="247"/>
      <c r="E740" s="248"/>
      <c r="F740" s="248"/>
      <c r="G740" s="199"/>
      <c r="H740" s="202"/>
      <c r="I740" s="223"/>
      <c r="J740" s="345"/>
      <c r="K740" s="266"/>
      <c r="L740" s="252"/>
      <c r="M740" s="253"/>
      <c r="N740" s="273"/>
    </row>
    <row r="741" spans="2:14" x14ac:dyDescent="0.2">
      <c r="B741" s="245"/>
      <c r="C741" s="255"/>
      <c r="D741" s="245"/>
      <c r="E741" s="248"/>
      <c r="F741" s="248"/>
      <c r="G741" s="201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55"/>
      <c r="D745" s="247"/>
      <c r="E745" s="248"/>
      <c r="F745" s="248"/>
      <c r="G745" s="199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4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55"/>
      <c r="D757" s="247"/>
      <c r="E757" s="248"/>
      <c r="F757" s="248"/>
      <c r="G757" s="199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5"/>
      <c r="E760" s="248"/>
      <c r="F760" s="248"/>
      <c r="G760" s="261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5"/>
      <c r="E765" s="248"/>
      <c r="F765" s="248"/>
      <c r="G765" s="26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55"/>
      <c r="D766" s="245"/>
      <c r="E766" s="248"/>
      <c r="F766" s="248"/>
      <c r="G766" s="201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55"/>
      <c r="D778" s="247"/>
      <c r="E778" s="248"/>
      <c r="F778" s="248"/>
      <c r="G778" s="254"/>
      <c r="H778" s="202"/>
      <c r="I778" s="223"/>
      <c r="J778" s="345"/>
      <c r="K778" s="264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46"/>
      <c r="D784" s="247"/>
      <c r="E784" s="248"/>
      <c r="F784" s="248"/>
      <c r="G784" s="254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7"/>
      <c r="E785" s="248"/>
      <c r="F785" s="248"/>
      <c r="G785" s="199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55"/>
      <c r="D786" s="247"/>
      <c r="E786" s="248"/>
      <c r="F786" s="248"/>
      <c r="G786" s="199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55"/>
      <c r="D791" s="247"/>
      <c r="E791" s="248"/>
      <c r="F791" s="248"/>
      <c r="G791" s="199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55"/>
      <c r="D792" s="247"/>
      <c r="E792" s="248"/>
      <c r="F792" s="248"/>
      <c r="G792" s="199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4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5"/>
      <c r="E802" s="248"/>
      <c r="F802" s="248"/>
      <c r="G802" s="261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4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5"/>
      <c r="E805" s="248"/>
      <c r="F805" s="248"/>
      <c r="G805" s="261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55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5"/>
      <c r="E808" s="248"/>
      <c r="F808" s="248"/>
      <c r="G808" s="261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55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55"/>
      <c r="D826" s="247"/>
      <c r="E826" s="248"/>
      <c r="F826" s="248"/>
      <c r="G826" s="199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5"/>
      <c r="E837" s="248"/>
      <c r="F837" s="248"/>
      <c r="G837" s="261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4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5"/>
      <c r="E846" s="248"/>
      <c r="F846" s="248"/>
      <c r="G846" s="261"/>
      <c r="H846" s="202"/>
      <c r="I846" s="223"/>
      <c r="J846" s="345"/>
      <c r="K846" s="264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7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55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55"/>
      <c r="D868" s="247"/>
      <c r="E868" s="248"/>
      <c r="F868" s="248"/>
      <c r="G868" s="199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55"/>
      <c r="D869" s="247"/>
      <c r="E869" s="248"/>
      <c r="F869" s="248"/>
      <c r="G869" s="199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55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199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55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74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5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199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46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7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199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46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199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46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199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55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46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46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199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46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199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199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199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199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199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199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199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199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199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199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199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5"/>
      <c r="E1014" s="248"/>
      <c r="F1014" s="248"/>
      <c r="G1014" s="26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5"/>
      <c r="E1015" s="248"/>
      <c r="F1015" s="248"/>
      <c r="G1015" s="26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01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4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01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01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5"/>
      <c r="E1048" s="248"/>
      <c r="F1048" s="248"/>
      <c r="G1048" s="261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5"/>
      <c r="E1061" s="248"/>
      <c r="F1061" s="248"/>
      <c r="G1061" s="261"/>
      <c r="H1061" s="202"/>
      <c r="I1061" s="223"/>
      <c r="J1061" s="345"/>
      <c r="K1061" s="264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03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199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5"/>
      <c r="E1089" s="275"/>
      <c r="F1089" s="275"/>
      <c r="G1089" s="205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199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5"/>
      <c r="E1097" s="248"/>
      <c r="F1097" s="248"/>
      <c r="G1097" s="205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199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199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199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199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03"/>
      <c r="M1118" s="253"/>
      <c r="N1118" s="203"/>
    </row>
    <row r="1119" spans="2:14" x14ac:dyDescent="0.2">
      <c r="B1119" s="245"/>
      <c r="C1119" s="255"/>
      <c r="D1119" s="245"/>
      <c r="E1119" s="248"/>
      <c r="F1119" s="248"/>
      <c r="G1119" s="205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199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199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5"/>
      <c r="E1128" s="248"/>
      <c r="F1128" s="248"/>
      <c r="G1128" s="206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76"/>
      <c r="D1139" s="276"/>
      <c r="E1139" s="248"/>
      <c r="F1139" s="277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5"/>
      <c r="E1141" s="248"/>
      <c r="F1141" s="248"/>
      <c r="G1141" s="201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4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74"/>
      <c r="L1147" s="252"/>
      <c r="M1147" s="253"/>
      <c r="N1147" s="203"/>
    </row>
    <row r="1148" spans="2:14" x14ac:dyDescent="0.2">
      <c r="B1148" s="245"/>
      <c r="C1148" s="255"/>
      <c r="D1148" s="245"/>
      <c r="E1148" s="248"/>
      <c r="F1148" s="248"/>
      <c r="G1148" s="261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74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199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61"/>
      <c r="H1155" s="202"/>
      <c r="I1155" s="223"/>
      <c r="J1155" s="345"/>
      <c r="K1155" s="266"/>
      <c r="L1155" s="252"/>
      <c r="M1155" s="253"/>
      <c r="N1155" s="203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199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5"/>
      <c r="E1163" s="275"/>
      <c r="F1163" s="275"/>
      <c r="G1163" s="205"/>
      <c r="H1163" s="202"/>
      <c r="I1163" s="223"/>
      <c r="J1163" s="345"/>
      <c r="K1163" s="274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199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74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199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199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5"/>
      <c r="E1190" s="248"/>
      <c r="F1190" s="248"/>
      <c r="G1190" s="261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199"/>
      <c r="H1191" s="202"/>
      <c r="I1191" s="223"/>
      <c r="J1191" s="345"/>
      <c r="K1191" s="274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66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199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199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199"/>
      <c r="H1201" s="202"/>
      <c r="I1201" s="223"/>
      <c r="J1201" s="345"/>
      <c r="K1201" s="278"/>
      <c r="L1201" s="252"/>
      <c r="M1201" s="253"/>
      <c r="N1201" s="204"/>
    </row>
    <row r="1202" spans="2:14" x14ac:dyDescent="0.2">
      <c r="B1202" s="245"/>
      <c r="C1202" s="255"/>
      <c r="D1202" s="245"/>
      <c r="E1202" s="275"/>
      <c r="F1202" s="275"/>
      <c r="G1202" s="205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5"/>
      <c r="E1210" s="248"/>
      <c r="F1210" s="248"/>
      <c r="G1210" s="205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01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5"/>
      <c r="E1216" s="248"/>
      <c r="F1216" s="248"/>
      <c r="G1216" s="206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5"/>
      <c r="E1218" s="275"/>
      <c r="F1218" s="275"/>
      <c r="G1218" s="205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254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199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199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199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03"/>
      <c r="M1232" s="253"/>
      <c r="N1232" s="204"/>
    </row>
    <row r="1233" spans="2:14" x14ac:dyDescent="0.2">
      <c r="B1233" s="245"/>
      <c r="C1233" s="280"/>
      <c r="D1233" s="281"/>
      <c r="E1233" s="275"/>
      <c r="F1233" s="275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199"/>
      <c r="H1235" s="202"/>
      <c r="I1235" s="223"/>
      <c r="J1235" s="345"/>
      <c r="K1235" s="279"/>
      <c r="L1235" s="203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199"/>
      <c r="H1237" s="202"/>
      <c r="I1237" s="223"/>
      <c r="J1237" s="345"/>
      <c r="K1237" s="279"/>
      <c r="L1237" s="252"/>
      <c r="M1237" s="253"/>
      <c r="N1237" s="204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46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76"/>
      <c r="D1243" s="276"/>
      <c r="E1243" s="277"/>
      <c r="F1243" s="277"/>
      <c r="G1243" s="209"/>
      <c r="H1243" s="207"/>
      <c r="I1243" s="221"/>
      <c r="J1243" s="342"/>
      <c r="K1243" s="282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5"/>
      <c r="E1247" s="248"/>
      <c r="F1247" s="248"/>
      <c r="G1247" s="261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46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05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46"/>
      <c r="D1253" s="247"/>
      <c r="E1253" s="248"/>
      <c r="F1253" s="248"/>
      <c r="G1253" s="261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54"/>
      <c r="H1255" s="207"/>
      <c r="I1255" s="221"/>
      <c r="J1255" s="342"/>
      <c r="K1255" s="279"/>
      <c r="L1255" s="210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61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46"/>
      <c r="D1257" s="247"/>
      <c r="E1257" s="248"/>
      <c r="F1257" s="248"/>
      <c r="G1257" s="261"/>
      <c r="H1257" s="207"/>
      <c r="I1257" s="221"/>
      <c r="J1257" s="342"/>
      <c r="K1257" s="279"/>
      <c r="L1257" s="252"/>
      <c r="M1257" s="253"/>
      <c r="N1257" s="208"/>
    </row>
    <row r="1258" spans="2:14" x14ac:dyDescent="0.2">
      <c r="B1258" s="245"/>
      <c r="C1258" s="255"/>
      <c r="D1258" s="247"/>
      <c r="E1258" s="248"/>
      <c r="F1258" s="248"/>
      <c r="G1258" s="254"/>
      <c r="H1258" s="207"/>
      <c r="I1258" s="221"/>
      <c r="J1258" s="342"/>
      <c r="K1258" s="279"/>
      <c r="L1258" s="252"/>
      <c r="M1258" s="253"/>
      <c r="N1258" s="208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0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78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283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x14ac:dyDescent="0.2">
      <c r="B1266" s="37"/>
      <c r="C1266" s="286"/>
      <c r="D1266" s="37"/>
      <c r="E1266" s="60"/>
      <c r="F1266" s="60"/>
      <c r="G1266" s="213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78"/>
      <c r="D1267" s="109"/>
      <c r="E1267" s="68"/>
      <c r="F1267" s="68"/>
      <c r="G1267" s="21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283"/>
      <c r="D1268" s="109"/>
      <c r="E1268" s="68"/>
      <c r="F1268" s="68"/>
      <c r="G1268" s="28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283"/>
      <c r="D1269" s="109"/>
      <c r="E1269" s="68"/>
      <c r="F1269" s="68"/>
      <c r="G1269" s="28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7"/>
      <c r="C1270" s="66"/>
      <c r="D1270" s="287"/>
      <c r="E1270" s="68"/>
      <c r="F1270" s="68"/>
      <c r="G1270" s="214"/>
      <c r="H1270" s="211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8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30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30"/>
      <c r="C1276" s="78"/>
      <c r="D1276" s="109"/>
      <c r="E1276" s="68"/>
      <c r="F1276" s="68"/>
      <c r="G1276" s="21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78"/>
      <c r="D1283" s="109"/>
      <c r="E1283" s="68"/>
      <c r="F1283" s="68"/>
      <c r="G1283" s="21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30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16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1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16"/>
      <c r="M1290" s="116"/>
      <c r="N1290" s="212"/>
    </row>
    <row r="1291" spans="2:14" ht="15" x14ac:dyDescent="0.25">
      <c r="B1291" s="65"/>
      <c r="C1291" s="78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283"/>
      <c r="D1295" s="109"/>
      <c r="E1295" s="68"/>
      <c r="F1295" s="68"/>
      <c r="G1295" s="284"/>
      <c r="H1295" s="215"/>
      <c r="I1295" s="224"/>
      <c r="J1295" s="347"/>
      <c r="K1295" s="69"/>
      <c r="L1295" s="216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1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16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283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289"/>
      <c r="D1304" s="290"/>
      <c r="E1304" s="291"/>
      <c r="F1304" s="291"/>
      <c r="G1304" s="284"/>
      <c r="H1304" s="215"/>
      <c r="I1304" s="224"/>
      <c r="J1304" s="347"/>
      <c r="K1304" s="69"/>
      <c r="L1304" s="216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283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30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x14ac:dyDescent="0.2">
      <c r="B1308" s="30"/>
      <c r="C1308" s="78"/>
      <c r="D1308" s="109"/>
      <c r="E1308" s="68"/>
      <c r="F1308" s="68"/>
      <c r="G1308" s="288"/>
      <c r="H1308" s="211"/>
      <c r="I1308" s="224"/>
      <c r="J1308" s="347"/>
      <c r="K1308" s="80"/>
      <c r="L1308" s="285"/>
      <c r="M1308" s="116"/>
      <c r="N1308" s="212"/>
    </row>
    <row r="1309" spans="2:14" ht="15" x14ac:dyDescent="0.25">
      <c r="B1309" s="30"/>
      <c r="C1309" s="283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16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14"/>
      <c r="H1315" s="215"/>
      <c r="I1315" s="224"/>
      <c r="J1315" s="347"/>
      <c r="K1315" s="69"/>
      <c r="L1315" s="216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16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1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30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292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1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84"/>
      <c r="H1345" s="215"/>
      <c r="I1345" s="224"/>
      <c r="J1345" s="347"/>
      <c r="K1345" s="69"/>
      <c r="L1345" s="285"/>
      <c r="M1345" s="116"/>
      <c r="N1345" s="212"/>
    </row>
    <row r="1346" spans="2:14" ht="15" x14ac:dyDescent="0.25">
      <c r="B1346" s="65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1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8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13"/>
      <c r="H1353" s="215"/>
      <c r="I1353" s="293"/>
      <c r="J1353" s="348"/>
      <c r="K1353" s="69"/>
      <c r="L1353" s="285"/>
      <c r="M1353" s="116"/>
      <c r="N1353" s="212"/>
    </row>
    <row r="1354" spans="2:14" x14ac:dyDescent="0.2">
      <c r="B1354" s="292"/>
      <c r="C1354" s="78"/>
      <c r="D1354" s="109"/>
      <c r="E1354" s="68"/>
      <c r="F1354" s="68"/>
      <c r="G1354" s="288"/>
      <c r="H1354" s="211"/>
      <c r="I1354" s="224"/>
      <c r="J1354" s="347"/>
      <c r="K1354" s="80"/>
      <c r="L1354" s="216"/>
      <c r="M1354" s="116"/>
      <c r="N1354" s="212"/>
    </row>
    <row r="1355" spans="2:14" ht="15" x14ac:dyDescent="0.25">
      <c r="B1355" s="292"/>
      <c r="C1355" s="78"/>
      <c r="D1355" s="109"/>
      <c r="E1355" s="68"/>
      <c r="F1355" s="68"/>
      <c r="G1355" s="288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289"/>
      <c r="D1356" s="290"/>
      <c r="E1356" s="294"/>
      <c r="F1356" s="295"/>
      <c r="G1356" s="296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65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297"/>
      <c r="F1359" s="298"/>
      <c r="G1359" s="299"/>
      <c r="H1359" s="300"/>
      <c r="I1359" s="301"/>
      <c r="J1359" s="349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14"/>
      <c r="H1362" s="215"/>
      <c r="I1362" s="293"/>
      <c r="J1362" s="348"/>
      <c r="K1362" s="69"/>
      <c r="L1362" s="216"/>
      <c r="M1362" s="116"/>
      <c r="N1362" s="212"/>
    </row>
    <row r="1363" spans="2:14" ht="15" x14ac:dyDescent="0.25">
      <c r="B1363" s="292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289"/>
      <c r="D1365" s="290"/>
      <c r="E1365" s="291"/>
      <c r="F1365" s="284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66"/>
      <c r="D1366" s="109"/>
      <c r="E1366" s="68"/>
      <c r="F1366" s="77"/>
      <c r="G1366" s="296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4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8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88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66"/>
      <c r="D1374" s="109"/>
      <c r="E1374" s="68"/>
      <c r="F1374" s="77"/>
      <c r="G1374" s="296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1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1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292"/>
      <c r="C1380" s="78"/>
      <c r="D1380" s="109"/>
      <c r="E1380" s="68"/>
      <c r="F1380" s="77"/>
      <c r="G1380" s="288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91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1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78"/>
      <c r="D1384" s="109"/>
      <c r="E1384" s="68"/>
      <c r="F1384" s="77"/>
      <c r="G1384" s="284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66"/>
      <c r="D1385" s="109"/>
      <c r="E1385" s="68"/>
      <c r="F1385" s="77"/>
      <c r="G1385" s="296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66"/>
      <c r="D1386" s="109"/>
      <c r="E1386" s="68"/>
      <c r="F1386" s="68"/>
      <c r="G1386" s="296"/>
      <c r="H1386" s="215"/>
      <c r="I1386" s="293"/>
      <c r="J1386" s="348"/>
      <c r="K1386" s="69"/>
      <c r="L1386" s="285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14"/>
      <c r="H1387" s="215"/>
      <c r="I1387" s="293"/>
      <c r="J1387" s="348"/>
      <c r="K1387" s="69"/>
      <c r="L1387" s="285"/>
      <c r="M1387" s="116"/>
      <c r="N1387" s="212"/>
    </row>
    <row r="1388" spans="2:14" x14ac:dyDescent="0.2">
      <c r="B1388" s="65"/>
      <c r="C1388" s="78"/>
      <c r="D1388" s="109"/>
      <c r="E1388" s="68"/>
      <c r="F1388" s="77"/>
      <c r="G1388" s="302"/>
      <c r="H1388" s="211"/>
      <c r="I1388" s="224"/>
      <c r="J1388" s="347"/>
      <c r="K1388" s="80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66"/>
      <c r="D1390" s="109"/>
      <c r="E1390" s="68"/>
      <c r="F1390" s="77"/>
      <c r="G1390" s="296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78"/>
      <c r="D1392" s="109"/>
      <c r="E1392" s="68"/>
      <c r="F1392" s="77"/>
      <c r="G1392" s="284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215"/>
      <c r="I1393" s="293"/>
      <c r="J1393" s="348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289"/>
      <c r="D1395" s="290"/>
      <c r="E1395" s="291"/>
      <c r="F1395" s="304"/>
      <c r="G1395" s="284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65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78"/>
      <c r="D1401" s="109"/>
      <c r="E1401" s="68"/>
      <c r="F1401" s="68"/>
      <c r="G1401" s="214"/>
      <c r="H1401" s="215"/>
      <c r="I1401" s="293"/>
      <c r="J1401" s="348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91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289"/>
      <c r="D1412" s="290"/>
      <c r="E1412" s="291"/>
      <c r="F1412" s="304"/>
      <c r="G1412" s="28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78"/>
      <c r="D1415" s="109"/>
      <c r="E1415" s="68"/>
      <c r="F1415" s="77"/>
      <c r="G1415" s="214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68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91"/>
      <c r="C1426" s="66"/>
      <c r="D1426" s="109"/>
      <c r="E1426" s="68"/>
      <c r="F1426" s="77"/>
      <c r="G1426" s="2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78"/>
      <c r="D1430" s="109"/>
      <c r="E1430" s="68"/>
      <c r="F1430" s="77"/>
      <c r="G1430" s="214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23"/>
      <c r="D1433" s="37"/>
      <c r="E1433" s="60"/>
      <c r="F1433" s="26"/>
      <c r="G1433" s="2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66"/>
      <c r="D1434" s="109"/>
      <c r="E1434" s="68"/>
      <c r="F1434" s="77"/>
      <c r="G1434" s="29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65"/>
      <c r="C1435" s="78"/>
      <c r="D1435" s="109"/>
      <c r="E1435" s="68"/>
      <c r="F1435" s="77"/>
      <c r="G1435" s="305"/>
      <c r="H1435" s="215"/>
      <c r="I1435" s="293"/>
      <c r="J1435" s="348"/>
      <c r="K1435" s="69"/>
      <c r="L1435" s="216"/>
      <c r="M1435" s="116"/>
      <c r="N1435" s="212"/>
    </row>
    <row r="1436" spans="2:14" ht="15" x14ac:dyDescent="0.25">
      <c r="B1436" s="91"/>
      <c r="C1436" s="78"/>
      <c r="D1436" s="109"/>
      <c r="E1436" s="68"/>
      <c r="F1436" s="77"/>
      <c r="G1436" s="302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78"/>
      <c r="D1440" s="109"/>
      <c r="E1440" s="68"/>
      <c r="F1440" s="77"/>
      <c r="G1440" s="21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91"/>
      <c r="C1443" s="23"/>
      <c r="D1443" s="37"/>
      <c r="E1443" s="60"/>
      <c r="F1443" s="26"/>
      <c r="G1443" s="104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23"/>
      <c r="D1446" s="290"/>
      <c r="E1446" s="291"/>
      <c r="F1446" s="304"/>
      <c r="G1446" s="284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80"/>
      <c r="L1449" s="285"/>
      <c r="M1449" s="116"/>
      <c r="N1449" s="212"/>
    </row>
    <row r="1450" spans="2:14" ht="15" x14ac:dyDescent="0.25">
      <c r="B1450" s="91"/>
      <c r="C1450" s="23"/>
      <c r="D1450" s="37"/>
      <c r="E1450" s="60"/>
      <c r="F1450" s="26"/>
      <c r="G1450" s="104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27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78"/>
      <c r="D1453" s="109"/>
      <c r="E1453" s="68"/>
      <c r="F1453" s="77"/>
      <c r="G1453" s="214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9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78"/>
      <c r="D1456" s="109"/>
      <c r="E1456" s="68"/>
      <c r="F1456" s="77"/>
      <c r="G1456" s="214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6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91"/>
      <c r="C1458" s="66"/>
      <c r="D1458" s="109"/>
      <c r="E1458" s="68"/>
      <c r="F1458" s="77"/>
      <c r="G1458" s="296"/>
      <c r="H1458" s="303"/>
      <c r="I1458" s="225"/>
      <c r="J1458" s="350"/>
      <c r="K1458" s="290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104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296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286"/>
      <c r="D1461" s="286"/>
      <c r="E1461" s="306"/>
      <c r="F1461" s="307"/>
      <c r="G1461" s="307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78"/>
      <c r="D1462" s="109"/>
      <c r="E1462" s="68"/>
      <c r="F1462" s="77"/>
      <c r="G1462" s="214"/>
      <c r="H1462" s="215"/>
      <c r="I1462" s="293"/>
      <c r="J1462" s="348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296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78"/>
      <c r="D1471" s="109"/>
      <c r="E1471" s="68"/>
      <c r="F1471" s="77"/>
      <c r="G1471" s="308"/>
      <c r="H1471" s="215"/>
      <c r="I1471" s="293"/>
      <c r="J1471" s="348"/>
      <c r="K1471" s="69"/>
      <c r="L1471" s="216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9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309"/>
      <c r="H1473" s="303"/>
      <c r="I1473" s="225"/>
      <c r="J1473" s="350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310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6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104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65"/>
      <c r="C1479" s="66"/>
      <c r="D1479" s="109"/>
      <c r="E1479" s="68"/>
      <c r="F1479" s="77"/>
      <c r="G1479" s="296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78"/>
      <c r="D1480" s="109"/>
      <c r="E1480" s="68"/>
      <c r="F1480" s="77"/>
      <c r="G1480" s="311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68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296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78"/>
      <c r="D1487" s="109"/>
      <c r="E1487" s="68"/>
      <c r="F1487" s="77"/>
      <c r="G1487" s="311"/>
      <c r="H1487" s="312"/>
      <c r="I1487" s="313"/>
      <c r="J1487" s="352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78"/>
      <c r="D1493" s="109"/>
      <c r="E1493" s="68"/>
      <c r="F1493" s="77"/>
      <c r="G1493" s="311"/>
      <c r="H1493" s="312"/>
      <c r="I1493" s="313"/>
      <c r="J1493" s="352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11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66"/>
      <c r="D1497" s="109"/>
      <c r="E1497" s="68"/>
      <c r="F1497" s="77"/>
      <c r="G1497" s="104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91"/>
      <c r="C1498" s="78"/>
      <c r="D1498" s="109"/>
      <c r="E1498" s="68"/>
      <c r="F1498" s="77"/>
      <c r="G1498" s="311"/>
      <c r="H1498" s="121"/>
      <c r="I1498" s="107"/>
      <c r="J1498" s="351"/>
      <c r="K1498" s="69"/>
      <c r="L1498" s="285"/>
      <c r="M1498" s="116"/>
      <c r="N1498" s="212"/>
    </row>
    <row r="1499" spans="2:14" ht="15" x14ac:dyDescent="0.25">
      <c r="B1499" s="65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.75" x14ac:dyDescent="0.25">
      <c r="B1500" s="314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.75" x14ac:dyDescent="0.25">
      <c r="B1501" s="315"/>
      <c r="C1501" s="66"/>
      <c r="D1501" s="109"/>
      <c r="E1501" s="68"/>
      <c r="F1501" s="77"/>
      <c r="G1501" s="104"/>
      <c r="H1501" s="121"/>
      <c r="I1501" s="107"/>
      <c r="J1501" s="351"/>
      <c r="K1501" s="69"/>
      <c r="L1501" s="126"/>
      <c r="M1501" s="116"/>
      <c r="N1501" s="217"/>
    </row>
    <row r="1502" spans="2:14" ht="15.75" x14ac:dyDescent="0.25">
      <c r="B1502" s="31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126"/>
      <c r="M1502" s="116"/>
      <c r="N1502" s="217"/>
    </row>
    <row r="1503" spans="2:14" ht="15.75" x14ac:dyDescent="0.25">
      <c r="B1503" s="314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7"/>
    </row>
    <row r="1505" spans="2:14" ht="15" x14ac:dyDescent="0.25">
      <c r="B1505" s="91"/>
      <c r="C1505" s="316"/>
      <c r="D1505" s="65"/>
      <c r="E1505" s="68"/>
      <c r="F1505" s="117"/>
      <c r="G1505" s="117"/>
      <c r="H1505" s="121"/>
      <c r="I1505" s="107"/>
      <c r="J1505" s="351"/>
      <c r="K1505" s="69"/>
      <c r="L1505" s="126"/>
      <c r="M1505" s="116"/>
      <c r="N1505" s="217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1"/>
      <c r="H1511" s="312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78"/>
      <c r="D1512" s="109"/>
      <c r="E1512" s="68"/>
      <c r="F1512" s="77"/>
      <c r="G1512" s="311"/>
      <c r="H1512" s="312"/>
      <c r="I1512" s="313"/>
      <c r="J1512" s="352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313"/>
      <c r="J1516" s="352"/>
      <c r="K1516" s="69"/>
      <c r="L1516" s="216"/>
      <c r="M1516" s="116"/>
      <c r="N1516" s="212"/>
    </row>
    <row r="1517" spans="2:14" ht="15" x14ac:dyDescent="0.25">
      <c r="B1517" s="65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107"/>
      <c r="J1518" s="351"/>
      <c r="K1518" s="69"/>
      <c r="L1518" s="285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3"/>
      <c r="I1526" s="107"/>
      <c r="J1526" s="351"/>
      <c r="K1526" s="69"/>
      <c r="L1526" s="126"/>
      <c r="M1526" s="116"/>
      <c r="N1526" s="217"/>
    </row>
    <row r="1527" spans="2:14" ht="15" x14ac:dyDescent="0.25">
      <c r="B1527" s="91"/>
      <c r="C1527" s="66"/>
      <c r="D1527" s="109"/>
      <c r="E1527" s="68"/>
      <c r="F1527" s="77"/>
      <c r="G1527" s="104"/>
      <c r="H1527" s="121"/>
      <c r="I1527" s="107"/>
      <c r="J1527" s="351"/>
      <c r="K1527" s="80"/>
      <c r="L1527" s="126"/>
      <c r="M1527" s="117"/>
      <c r="N1527" s="217"/>
    </row>
    <row r="1528" spans="2:14" ht="15" x14ac:dyDescent="0.25">
      <c r="B1528" s="37"/>
      <c r="C1528" s="66"/>
      <c r="D1528" s="109"/>
      <c r="E1528" s="68"/>
      <c r="F1528" s="77"/>
      <c r="G1528" s="104"/>
      <c r="H1528" s="123"/>
      <c r="I1528" s="107"/>
      <c r="J1528" s="351"/>
      <c r="K1528" s="80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68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316"/>
      <c r="D1530" s="65"/>
      <c r="E1530" s="68"/>
      <c r="F1530" s="117"/>
      <c r="G1530" s="117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11"/>
      <c r="H1537" s="312"/>
      <c r="I1537" s="313"/>
      <c r="J1537" s="352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78"/>
      <c r="D1539" s="109"/>
      <c r="E1539" s="68"/>
      <c r="F1539" s="77"/>
      <c r="G1539" s="311"/>
      <c r="H1539" s="312"/>
      <c r="I1539" s="313"/>
      <c r="J1539" s="352"/>
      <c r="K1539" s="69"/>
      <c r="L1539" s="216"/>
      <c r="M1539" s="116"/>
      <c r="N1539" s="212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91"/>
      <c r="C1541" s="66"/>
      <c r="D1541" s="109"/>
      <c r="E1541" s="68"/>
      <c r="F1541" s="77"/>
      <c r="G1541" s="104"/>
      <c r="H1541" s="121"/>
      <c r="I1541" s="107"/>
      <c r="J1541" s="351"/>
      <c r="K1541" s="69"/>
      <c r="L1541" s="126"/>
      <c r="M1541" s="116"/>
      <c r="N1541" s="217"/>
    </row>
    <row r="1542" spans="2:14" ht="15" x14ac:dyDescent="0.25">
      <c r="B1542" s="91"/>
      <c r="C1542" s="78"/>
      <c r="D1542" s="109"/>
      <c r="E1542" s="68"/>
      <c r="F1542" s="77"/>
      <c r="G1542" s="311"/>
      <c r="H1542" s="312"/>
      <c r="I1542" s="107"/>
      <c r="J1542" s="351"/>
      <c r="K1542" s="69"/>
      <c r="L1542" s="126"/>
      <c r="M1542" s="116"/>
      <c r="N1542" s="217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212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78"/>
      <c r="D1552" s="109"/>
      <c r="E1552" s="68"/>
      <c r="F1552" s="77"/>
      <c r="G1552" s="311"/>
      <c r="H1552" s="312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68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123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212"/>
    </row>
    <row r="1562" spans="2:14" x14ac:dyDescent="0.2">
      <c r="B1562" s="91"/>
      <c r="C1562" s="66"/>
      <c r="D1562" s="109"/>
      <c r="E1562" s="68"/>
      <c r="F1562" s="77"/>
      <c r="G1562" s="104"/>
      <c r="H1562" s="121"/>
      <c r="I1562" s="129"/>
      <c r="J1562" s="353"/>
      <c r="K1562" s="80"/>
      <c r="L1562" s="126"/>
      <c r="M1562" s="116"/>
      <c r="N1562" s="2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212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317"/>
    </row>
    <row r="1565" spans="2:14" ht="15" x14ac:dyDescent="0.25">
      <c r="B1565" s="65"/>
      <c r="C1565" s="78"/>
      <c r="D1565" s="109"/>
      <c r="E1565" s="68"/>
      <c r="F1565" s="77"/>
      <c r="G1565" s="311"/>
      <c r="H1565" s="312"/>
      <c r="I1565" s="313"/>
      <c r="J1565" s="352"/>
      <c r="K1565" s="69"/>
      <c r="L1565" s="216"/>
      <c r="M1565" s="116"/>
      <c r="N1565" s="317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79"/>
      <c r="L1575" s="126"/>
      <c r="M1575" s="115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79"/>
      <c r="L1578" s="126"/>
      <c r="M1578" s="115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78"/>
      <c r="D1584" s="109"/>
      <c r="E1584" s="68"/>
      <c r="F1584" s="77"/>
      <c r="G1584" s="311"/>
      <c r="H1584" s="312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3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6"/>
      <c r="M1591" s="116"/>
      <c r="N1591" s="217"/>
    </row>
    <row r="1592" spans="2:14" ht="15" x14ac:dyDescent="0.25">
      <c r="B1592" s="65"/>
      <c r="C1592" s="78"/>
      <c r="D1592" s="109"/>
      <c r="E1592" s="68"/>
      <c r="F1592" s="77"/>
      <c r="G1592" s="311"/>
      <c r="H1592" s="312"/>
      <c r="I1592" s="313"/>
      <c r="J1592" s="352"/>
      <c r="K1592" s="69"/>
      <c r="L1592" s="216"/>
      <c r="M1592" s="116"/>
      <c r="N1592" s="212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68"/>
      <c r="G1596" s="104"/>
      <c r="H1596" s="121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51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318"/>
      <c r="M1598" s="116"/>
      <c r="N1598" s="318"/>
    </row>
    <row r="1599" spans="2:14" ht="15" x14ac:dyDescent="0.25">
      <c r="B1599" s="91"/>
      <c r="C1599" s="66"/>
      <c r="D1599" s="109"/>
      <c r="E1599" s="68"/>
      <c r="F1599" s="77"/>
      <c r="G1599" s="104"/>
      <c r="H1599" s="121"/>
      <c r="I1599" s="107"/>
      <c r="J1599" s="351"/>
      <c r="K1599" s="69"/>
      <c r="L1599" s="120"/>
      <c r="M1599" s="116"/>
      <c r="N1599" s="2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3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118"/>
      <c r="M1601" s="116"/>
      <c r="N1601" s="318"/>
    </row>
    <row r="1602" spans="2:14" ht="15" x14ac:dyDescent="0.25">
      <c r="B1602" s="65"/>
      <c r="C1602" s="66"/>
      <c r="D1602" s="109"/>
      <c r="E1602" s="68"/>
      <c r="F1602" s="77"/>
      <c r="G1602" s="104"/>
      <c r="H1602" s="121"/>
      <c r="I1602" s="107"/>
      <c r="J1602" s="351"/>
      <c r="K1602" s="69"/>
      <c r="L1602" s="1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66"/>
      <c r="D1606" s="109"/>
      <c r="E1606" s="68"/>
      <c r="F1606" s="68"/>
      <c r="G1606" s="104"/>
      <c r="H1606" s="121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78"/>
      <c r="D1607" s="109"/>
      <c r="E1607" s="68"/>
      <c r="F1607" s="77"/>
      <c r="G1607" s="311"/>
      <c r="H1607" s="312"/>
      <c r="I1607" s="313"/>
      <c r="J1607" s="352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65"/>
      <c r="C1612" s="66"/>
      <c r="D1612" s="109"/>
      <c r="E1612" s="68"/>
      <c r="F1612" s="77"/>
      <c r="G1612" s="311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78"/>
      <c r="D1615" s="109"/>
      <c r="E1615" s="68"/>
      <c r="F1615" s="77"/>
      <c r="G1615" s="311"/>
      <c r="H1615" s="312"/>
      <c r="I1615" s="313"/>
      <c r="J1615" s="352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3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120"/>
      <c r="M1621" s="116"/>
      <c r="N1621" s="218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1"/>
      <c r="K1622" s="69"/>
      <c r="L1622" s="318"/>
      <c r="M1622" s="116"/>
      <c r="N1622" s="318"/>
    </row>
    <row r="1623" spans="2:14" ht="15" x14ac:dyDescent="0.25">
      <c r="B1623" s="91"/>
      <c r="C1623" s="66"/>
      <c r="D1623" s="109"/>
      <c r="E1623" s="68"/>
      <c r="F1623" s="68"/>
      <c r="G1623" s="104"/>
      <c r="H1623" s="121"/>
      <c r="I1623" s="107"/>
      <c r="J1623" s="351"/>
      <c r="K1623" s="69"/>
      <c r="L1623" s="118"/>
      <c r="M1623" s="116"/>
      <c r="N1623" s="318"/>
    </row>
    <row r="1624" spans="2:14" ht="15" x14ac:dyDescent="0.25">
      <c r="B1624" s="65"/>
      <c r="C1624" s="78"/>
      <c r="D1624" s="109"/>
      <c r="E1624" s="68"/>
      <c r="F1624" s="77"/>
      <c r="G1624" s="311"/>
      <c r="H1624" s="312"/>
      <c r="I1624" s="313"/>
      <c r="J1624" s="352"/>
      <c r="K1624" s="69"/>
      <c r="L1624" s="318"/>
      <c r="M1624" s="116"/>
      <c r="N1624" s="318"/>
    </row>
    <row r="1625" spans="2:14" ht="15" x14ac:dyDescent="0.25">
      <c r="B1625" s="65"/>
      <c r="C1625" s="78"/>
      <c r="D1625" s="109"/>
      <c r="E1625" s="68"/>
      <c r="F1625" s="77"/>
      <c r="G1625" s="311"/>
      <c r="H1625" s="312"/>
      <c r="I1625" s="313"/>
      <c r="J1625" s="352"/>
      <c r="K1625" s="69"/>
      <c r="L1625" s="3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1"/>
      <c r="I1626" s="107"/>
      <c r="J1626" s="351"/>
      <c r="K1626" s="69"/>
      <c r="L1626" s="3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18"/>
      <c r="M1627" s="116"/>
      <c r="N1627" s="318"/>
    </row>
    <row r="1628" spans="2:14" ht="15" x14ac:dyDescent="0.25">
      <c r="B1628" s="65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18"/>
      <c r="M1628" s="116"/>
      <c r="N1628" s="318"/>
    </row>
    <row r="1629" spans="2:14" ht="15" x14ac:dyDescent="0.25">
      <c r="B1629" s="65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318"/>
      <c r="M1629" s="116"/>
      <c r="N1629" s="318"/>
    </row>
    <row r="1630" spans="2:14" ht="15" x14ac:dyDescent="0.25">
      <c r="B1630" s="65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318"/>
      <c r="M1630" s="116"/>
      <c r="N1630" s="319"/>
    </row>
    <row r="1631" spans="2:14" ht="15" x14ac:dyDescent="0.25">
      <c r="B1631" s="91"/>
      <c r="C1631" s="66"/>
      <c r="D1631" s="109"/>
      <c r="E1631" s="68"/>
      <c r="F1631" s="68"/>
      <c r="G1631" s="104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91"/>
      <c r="C1632" s="66"/>
      <c r="D1632" s="109"/>
      <c r="E1632" s="68"/>
      <c r="F1632" s="77"/>
      <c r="G1632" s="104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91"/>
      <c r="C1633" s="78"/>
      <c r="D1633" s="109"/>
      <c r="E1633" s="68"/>
      <c r="F1633" s="77"/>
      <c r="G1633" s="311"/>
      <c r="H1633" s="123"/>
      <c r="I1633" s="107"/>
      <c r="J1633" s="351"/>
      <c r="K1633" s="69"/>
      <c r="L1633" s="120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65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311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1"/>
      <c r="I1644" s="107"/>
      <c r="J1644" s="351"/>
      <c r="K1644" s="69"/>
      <c r="L1644" s="120"/>
      <c r="M1644" s="116"/>
      <c r="N1644" s="219"/>
    </row>
    <row r="1645" spans="2:14" ht="15" x14ac:dyDescent="0.25">
      <c r="B1645" s="91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311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68"/>
      <c r="G1651" s="311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120"/>
      <c r="M1652" s="116"/>
      <c r="N1652" s="219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1"/>
      <c r="K1653" s="69"/>
      <c r="L1653" s="318"/>
      <c r="M1653" s="116"/>
      <c r="N1653" s="319"/>
    </row>
    <row r="1654" spans="2:14" ht="15" x14ac:dyDescent="0.25">
      <c r="B1654" s="37"/>
      <c r="C1654" s="78"/>
      <c r="D1654" s="109"/>
      <c r="E1654" s="68"/>
      <c r="F1654" s="77"/>
      <c r="G1654" s="311"/>
      <c r="H1654" s="123"/>
      <c r="I1654" s="107"/>
      <c r="J1654" s="351"/>
      <c r="K1654" s="69"/>
      <c r="L1654" s="118"/>
      <c r="M1654" s="116"/>
      <c r="N1654" s="319"/>
    </row>
    <row r="1655" spans="2:14" ht="15" x14ac:dyDescent="0.25">
      <c r="B1655" s="37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37"/>
      <c r="C1656" s="66"/>
      <c r="D1656" s="109"/>
      <c r="E1656" s="68"/>
      <c r="F1656" s="77"/>
      <c r="G1656" s="104"/>
      <c r="H1656" s="123"/>
      <c r="I1656" s="107"/>
      <c r="J1656" s="351"/>
      <c r="K1656" s="69"/>
      <c r="L1656" s="1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3"/>
      <c r="I1660" s="107"/>
      <c r="J1660" s="351"/>
      <c r="K1660" s="69"/>
      <c r="L1660" s="120"/>
      <c r="M1660" s="116"/>
      <c r="N1660" s="219"/>
    </row>
    <row r="1661" spans="2:14" ht="15" x14ac:dyDescent="0.25">
      <c r="B1661" s="65"/>
      <c r="C1661" s="78"/>
      <c r="D1661" s="109"/>
      <c r="E1661" s="68"/>
      <c r="F1661" s="77"/>
      <c r="G1661" s="311"/>
      <c r="H1661" s="312"/>
      <c r="I1661" s="313"/>
      <c r="J1661" s="352"/>
      <c r="K1661" s="69"/>
      <c r="L1661" s="318"/>
      <c r="M1661" s="116"/>
      <c r="N1661" s="319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20"/>
      <c r="M1663" s="116"/>
      <c r="N1663" s="219"/>
    </row>
    <row r="1664" spans="2:14" ht="15" x14ac:dyDescent="0.25">
      <c r="B1664" s="37"/>
      <c r="C1664" s="66"/>
      <c r="D1664" s="109"/>
      <c r="E1664" s="68"/>
      <c r="F1664" s="68"/>
      <c r="G1664" s="104"/>
      <c r="H1664" s="121"/>
      <c r="I1664" s="107"/>
      <c r="J1664" s="351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79"/>
      <c r="L1671" s="120"/>
      <c r="M1671" s="115"/>
      <c r="N1671" s="219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114"/>
      <c r="L1674" s="118"/>
      <c r="M1674" s="117"/>
      <c r="N1674" s="320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20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118"/>
      <c r="M1681" s="116"/>
      <c r="N1681" s="319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1"/>
      <c r="K1682" s="69"/>
      <c r="L1682" s="318"/>
      <c r="M1682" s="116"/>
      <c r="N1682" s="319"/>
    </row>
    <row r="1683" spans="2:14" ht="15" x14ac:dyDescent="0.25">
      <c r="B1683" s="91"/>
      <c r="C1683" s="78"/>
      <c r="D1683" s="109"/>
      <c r="E1683" s="68"/>
      <c r="F1683" s="77"/>
      <c r="G1683" s="311"/>
      <c r="H1683" s="312"/>
      <c r="I1683" s="313"/>
      <c r="J1683" s="352"/>
      <c r="K1683" s="69"/>
      <c r="L1683" s="318"/>
      <c r="M1683" s="116"/>
      <c r="N1683" s="319"/>
    </row>
    <row r="1684" spans="2:14" ht="15" x14ac:dyDescent="0.25">
      <c r="B1684" s="91"/>
      <c r="C1684" s="78"/>
      <c r="D1684" s="109"/>
      <c r="E1684" s="68"/>
      <c r="F1684" s="77"/>
      <c r="G1684" s="311"/>
      <c r="H1684" s="312"/>
      <c r="I1684" s="313"/>
      <c r="J1684" s="352"/>
      <c r="K1684" s="69"/>
      <c r="L1684" s="318"/>
      <c r="M1684" s="116"/>
      <c r="N1684" s="319"/>
    </row>
    <row r="1685" spans="2:14" ht="15" x14ac:dyDescent="0.25">
      <c r="B1685" s="91"/>
      <c r="C1685" s="66"/>
      <c r="D1685" s="109"/>
      <c r="E1685" s="68"/>
      <c r="F1685" s="68"/>
      <c r="G1685" s="104"/>
      <c r="H1685" s="121"/>
      <c r="I1685" s="107"/>
      <c r="J1685" s="351"/>
      <c r="K1685" s="69"/>
      <c r="L1685" s="118"/>
      <c r="M1685" s="116"/>
      <c r="N1685" s="320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1"/>
      <c r="K1686" s="69"/>
      <c r="L1686" s="118"/>
      <c r="M1686" s="116"/>
      <c r="N1686" s="319"/>
    </row>
    <row r="1687" spans="2:14" ht="15" x14ac:dyDescent="0.25">
      <c r="B1687" s="91"/>
      <c r="C1687" s="66"/>
      <c r="D1687" s="109"/>
      <c r="E1687" s="68"/>
      <c r="F1687" s="77"/>
      <c r="G1687" s="104"/>
      <c r="H1687" s="121"/>
      <c r="I1687" s="107"/>
      <c r="J1687" s="351"/>
      <c r="K1687" s="69"/>
      <c r="L1687" s="1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3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318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216"/>
      <c r="M1690" s="116"/>
      <c r="N1690" s="319"/>
    </row>
    <row r="1691" spans="2:14" ht="15" x14ac:dyDescent="0.25">
      <c r="B1691" s="65"/>
      <c r="C1691" s="78"/>
      <c r="D1691" s="109"/>
      <c r="E1691" s="68"/>
      <c r="F1691" s="77"/>
      <c r="G1691" s="311"/>
      <c r="H1691" s="312"/>
      <c r="I1691" s="313"/>
      <c r="J1691" s="352"/>
      <c r="K1691" s="69"/>
      <c r="L1691" s="216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91"/>
      <c r="C1697" s="78"/>
      <c r="D1697" s="100"/>
      <c r="E1697" s="101"/>
      <c r="F1697" s="77"/>
      <c r="G1697" s="311"/>
      <c r="H1697" s="321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78"/>
      <c r="D1701" s="100"/>
      <c r="E1701" s="101"/>
      <c r="F1701" s="77"/>
      <c r="G1701" s="311"/>
      <c r="H1701" s="321"/>
      <c r="I1701" s="313"/>
      <c r="J1701" s="352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19"/>
    </row>
    <row r="1704" spans="2:14" ht="15" x14ac:dyDescent="0.25">
      <c r="B1704" s="65"/>
      <c r="C1704" s="78"/>
      <c r="D1704" s="100"/>
      <c r="E1704" s="101"/>
      <c r="F1704" s="77"/>
      <c r="G1704" s="311"/>
      <c r="H1704" s="321"/>
      <c r="I1704" s="313"/>
      <c r="J1704" s="352"/>
      <c r="K1704" s="69"/>
      <c r="L1704" s="84"/>
      <c r="M1704" s="82"/>
      <c r="N1704" s="319"/>
    </row>
    <row r="1705" spans="2:14" ht="15" x14ac:dyDescent="0.25">
      <c r="B1705" s="65"/>
      <c r="C1705" s="66"/>
      <c r="D1705" s="109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19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84"/>
      <c r="M1706" s="82"/>
      <c r="N1706" s="319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322"/>
      <c r="M1707" s="82"/>
      <c r="N1707" s="319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19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313"/>
      <c r="J1711" s="352"/>
      <c r="K1711" s="69"/>
      <c r="L1711" s="322"/>
      <c r="M1711" s="82"/>
      <c r="N1711" s="323"/>
    </row>
    <row r="1712" spans="2:14" ht="15" x14ac:dyDescent="0.25">
      <c r="B1712" s="65"/>
      <c r="C1712" s="78"/>
      <c r="D1712" s="100"/>
      <c r="E1712" s="101"/>
      <c r="F1712" s="77"/>
      <c r="G1712" s="311"/>
      <c r="H1712" s="321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68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78"/>
      <c r="D1719" s="100"/>
      <c r="E1719" s="101"/>
      <c r="F1719" s="77"/>
      <c r="G1719" s="311"/>
      <c r="H1719" s="321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70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78"/>
      <c r="D1723" s="100"/>
      <c r="E1723" s="101"/>
      <c r="F1723" s="68"/>
      <c r="G1723" s="311"/>
      <c r="H1723" s="321"/>
      <c r="I1723" s="107"/>
      <c r="J1723" s="351"/>
      <c r="K1723" s="69"/>
      <c r="L1723" s="84"/>
      <c r="M1723" s="82"/>
      <c r="N1723" s="323"/>
    </row>
    <row r="1724" spans="2:14" ht="15" x14ac:dyDescent="0.25">
      <c r="B1724" s="91"/>
      <c r="C1724" s="66"/>
      <c r="D1724" s="100"/>
      <c r="E1724" s="101"/>
      <c r="F1724" s="77"/>
      <c r="G1724" s="104"/>
      <c r="H1724" s="106"/>
      <c r="I1724" s="107"/>
      <c r="J1724" s="351"/>
      <c r="K1724" s="69"/>
      <c r="L1724" s="322"/>
      <c r="M1724" s="82"/>
      <c r="N1724" s="323"/>
    </row>
    <row r="1725" spans="2:14" ht="15" x14ac:dyDescent="0.25">
      <c r="B1725" s="65"/>
      <c r="C1725" s="78"/>
      <c r="D1725" s="100"/>
      <c r="E1725" s="101"/>
      <c r="F1725" s="77"/>
      <c r="G1725" s="311"/>
      <c r="H1725" s="321"/>
      <c r="I1725" s="313"/>
      <c r="J1725" s="352"/>
      <c r="K1725" s="69"/>
      <c r="L1725" s="322"/>
      <c r="M1725" s="82"/>
      <c r="N1725" s="323"/>
    </row>
    <row r="1726" spans="2:14" ht="15" x14ac:dyDescent="0.25">
      <c r="B1726" s="65"/>
      <c r="C1726" s="66"/>
      <c r="D1726" s="100"/>
      <c r="E1726" s="101"/>
      <c r="F1726" s="68"/>
      <c r="G1726" s="104"/>
      <c r="H1726" s="106"/>
      <c r="I1726" s="107"/>
      <c r="J1726" s="351"/>
      <c r="K1726" s="69"/>
      <c r="L1726" s="84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84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322"/>
      <c r="M1728" s="82"/>
      <c r="N1728" s="323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1"/>
      <c r="K1729" s="69"/>
      <c r="L1729" s="322"/>
      <c r="M1729" s="82"/>
      <c r="N1729" s="323"/>
    </row>
    <row r="1730" spans="2:14" x14ac:dyDescent="0.2">
      <c r="B1730" s="65"/>
      <c r="C1730" s="78"/>
      <c r="D1730" s="100"/>
      <c r="E1730" s="101"/>
      <c r="F1730" s="77"/>
      <c r="G1730" s="311"/>
      <c r="H1730" s="321"/>
      <c r="I1730" s="324"/>
      <c r="J1730" s="354"/>
      <c r="K1730" s="69"/>
      <c r="L1730" s="84"/>
      <c r="M1730" s="82"/>
      <c r="N1730" s="323"/>
    </row>
    <row r="1731" spans="2:14" x14ac:dyDescent="0.2">
      <c r="B1731" s="65"/>
      <c r="C1731" s="78"/>
      <c r="D1731" s="100"/>
      <c r="E1731" s="101"/>
      <c r="F1731" s="77"/>
      <c r="G1731" s="311"/>
      <c r="H1731" s="321"/>
      <c r="I1731" s="324"/>
      <c r="J1731" s="354"/>
      <c r="K1731" s="69"/>
      <c r="L1731" s="84"/>
      <c r="M1731" s="82"/>
      <c r="N1731" s="323"/>
    </row>
    <row r="1732" spans="2:14" ht="15" x14ac:dyDescent="0.25">
      <c r="B1732" s="65"/>
      <c r="C1732" s="78"/>
      <c r="D1732" s="100"/>
      <c r="E1732" s="101"/>
      <c r="F1732" s="77"/>
      <c r="G1732" s="311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100"/>
      <c r="E1733" s="102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13"/>
      <c r="J1735" s="352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26"/>
      <c r="J1736" s="355"/>
      <c r="K1736" s="69"/>
      <c r="L1736" s="322"/>
      <c r="M1736" s="82"/>
      <c r="N1736" s="323"/>
    </row>
    <row r="1737" spans="2:14" ht="15" x14ac:dyDescent="0.25">
      <c r="B1737" s="65"/>
      <c r="C1737" s="78"/>
      <c r="D1737" s="97"/>
      <c r="E1737" s="67"/>
      <c r="F1737" s="77"/>
      <c r="G1737" s="325"/>
      <c r="H1737" s="321"/>
      <c r="I1737" s="326"/>
      <c r="J1737" s="355"/>
      <c r="K1737" s="69"/>
      <c r="L1737" s="322"/>
      <c r="M1737" s="82"/>
      <c r="N1737" s="323"/>
    </row>
    <row r="1738" spans="2:14" x14ac:dyDescent="0.2">
      <c r="B1738" s="65"/>
      <c r="C1738" s="66"/>
      <c r="D1738" s="90"/>
      <c r="E1738" s="67"/>
      <c r="F1738" s="77"/>
      <c r="G1738" s="77"/>
      <c r="H1738" s="106"/>
      <c r="I1738" s="94"/>
      <c r="J1738" s="356"/>
      <c r="K1738" s="80"/>
      <c r="L1738" s="84"/>
      <c r="M1738" s="82"/>
      <c r="N1738" s="327"/>
    </row>
    <row r="1739" spans="2:14" ht="15" x14ac:dyDescent="0.25">
      <c r="B1739" s="65"/>
      <c r="C1739" s="78"/>
      <c r="D1739" s="90"/>
      <c r="E1739" s="67"/>
      <c r="F1739" s="77"/>
      <c r="G1739" s="328"/>
      <c r="H1739" s="321"/>
      <c r="I1739" s="326"/>
      <c r="J1739" s="355"/>
      <c r="K1739" s="69"/>
      <c r="L1739" s="322"/>
      <c r="M1739" s="82"/>
      <c r="N1739" s="327"/>
    </row>
    <row r="1740" spans="2:14" ht="15" x14ac:dyDescent="0.25">
      <c r="B1740" s="65"/>
      <c r="C1740" s="66"/>
      <c r="D1740" s="90"/>
      <c r="E1740" s="67"/>
      <c r="F1740" s="77"/>
      <c r="G1740" s="77"/>
      <c r="H1740" s="106"/>
      <c r="I1740" s="95"/>
      <c r="J1740" s="357"/>
      <c r="K1740" s="80"/>
      <c r="L1740" s="84"/>
      <c r="M1740" s="82"/>
      <c r="N1740" s="327"/>
    </row>
    <row r="1741" spans="2:14" ht="15" x14ac:dyDescent="0.25">
      <c r="B1741" s="91"/>
      <c r="C1741" s="66"/>
      <c r="D1741" s="90"/>
      <c r="E1741" s="67"/>
      <c r="F1741" s="77"/>
      <c r="G1741" s="77"/>
      <c r="H1741" s="106"/>
      <c r="I1741" s="95"/>
      <c r="J1741" s="357"/>
      <c r="K1741" s="69"/>
      <c r="L1741" s="84"/>
      <c r="M1741" s="82"/>
      <c r="N1741" s="327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6"/>
      <c r="K1742" s="69"/>
      <c r="L1742" s="84"/>
      <c r="M1742" s="82"/>
      <c r="N1742" s="327"/>
    </row>
    <row r="1743" spans="2:14" x14ac:dyDescent="0.2">
      <c r="B1743" s="91"/>
      <c r="C1743" s="66"/>
      <c r="D1743" s="90"/>
      <c r="E1743" s="67"/>
      <c r="F1743" s="77"/>
      <c r="G1743" s="77"/>
      <c r="H1743" s="106"/>
      <c r="I1743" s="94"/>
      <c r="J1743" s="356"/>
      <c r="K1743" s="69"/>
      <c r="L1743" s="84"/>
      <c r="M1743" s="82"/>
      <c r="N1743" s="327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7"/>
      <c r="K1744" s="80"/>
      <c r="L1744" s="84"/>
      <c r="M1744" s="82"/>
      <c r="N1744" s="327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7"/>
      <c r="K1745" s="69"/>
      <c r="L1745" s="84"/>
      <c r="M1745" s="82"/>
      <c r="N1745" s="327"/>
    </row>
    <row r="1746" spans="2:14" ht="15" x14ac:dyDescent="0.25">
      <c r="B1746" s="91"/>
      <c r="C1746" s="78"/>
      <c r="D1746" s="90"/>
      <c r="E1746" s="67"/>
      <c r="F1746" s="77"/>
      <c r="G1746" s="328"/>
      <c r="H1746" s="321"/>
      <c r="I1746" s="326"/>
      <c r="J1746" s="355"/>
      <c r="K1746" s="69"/>
      <c r="L1746" s="84"/>
      <c r="M1746" s="82"/>
      <c r="N1746" s="327"/>
    </row>
    <row r="1747" spans="2:14" x14ac:dyDescent="0.2">
      <c r="B1747" s="91"/>
      <c r="C1747" s="66"/>
      <c r="D1747" s="90"/>
      <c r="E1747" s="67"/>
      <c r="F1747" s="77"/>
      <c r="G1747" s="77"/>
      <c r="H1747" s="106"/>
      <c r="I1747" s="94"/>
      <c r="J1747" s="356"/>
      <c r="K1747" s="69"/>
      <c r="L1747" s="84"/>
      <c r="M1747" s="82"/>
      <c r="N1747" s="327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69"/>
      <c r="L1748" s="84"/>
      <c r="M1748" s="82"/>
      <c r="N1748" s="327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80"/>
      <c r="L1749" s="84"/>
      <c r="M1749" s="82"/>
      <c r="N1749" s="327"/>
    </row>
    <row r="1750" spans="2:14" x14ac:dyDescent="0.2">
      <c r="B1750" s="91"/>
      <c r="C1750" s="66"/>
      <c r="D1750" s="90"/>
      <c r="E1750" s="67"/>
      <c r="F1750" s="77"/>
      <c r="G1750" s="77"/>
      <c r="H1750" s="106"/>
      <c r="I1750" s="94"/>
      <c r="J1750" s="356"/>
      <c r="K1750" s="69"/>
      <c r="L1750" s="84"/>
      <c r="M1750" s="82"/>
      <c r="N1750" s="323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69"/>
      <c r="L1751" s="322"/>
      <c r="M1751" s="82"/>
      <c r="N1751" s="323"/>
    </row>
    <row r="1752" spans="2:14" ht="15" x14ac:dyDescent="0.25">
      <c r="B1752" s="91"/>
      <c r="C1752" s="66"/>
      <c r="D1752" s="90"/>
      <c r="E1752" s="67"/>
      <c r="F1752" s="77"/>
      <c r="G1752" s="77"/>
      <c r="H1752" s="106"/>
      <c r="I1752" s="95"/>
      <c r="J1752" s="357"/>
      <c r="K1752" s="69"/>
      <c r="L1752" s="84"/>
      <c r="M1752" s="82"/>
      <c r="N1752" s="323"/>
    </row>
    <row r="1753" spans="2:14" ht="15" x14ac:dyDescent="0.25">
      <c r="B1753" s="65"/>
      <c r="C1753" s="78"/>
      <c r="D1753" s="90"/>
      <c r="E1753" s="67"/>
      <c r="F1753" s="77"/>
      <c r="G1753" s="328"/>
      <c r="H1753" s="321"/>
      <c r="I1753" s="326"/>
      <c r="J1753" s="355"/>
      <c r="K1753" s="69"/>
      <c r="L1753" s="322"/>
      <c r="M1753" s="82"/>
      <c r="N1753" s="323"/>
    </row>
    <row r="1754" spans="2:14" ht="15" x14ac:dyDescent="0.25">
      <c r="B1754" s="37"/>
      <c r="C1754" s="52"/>
      <c r="D1754" s="24"/>
      <c r="E1754" s="25"/>
      <c r="F1754" s="26"/>
      <c r="G1754" s="26"/>
      <c r="H1754" s="329"/>
      <c r="I1754" s="41"/>
      <c r="J1754" s="358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0"/>
      <c r="C1759" s="52"/>
      <c r="D1759" s="24"/>
      <c r="E1759" s="25"/>
      <c r="F1759" s="26"/>
      <c r="G1759" s="26"/>
      <c r="H1759" s="329"/>
      <c r="I1759" s="41"/>
      <c r="J1759" s="358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31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2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ht="15" x14ac:dyDescent="0.25">
      <c r="B1764" s="30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60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0"/>
      <c r="M1773" s="34"/>
      <c r="N1773" s="35"/>
    </row>
    <row r="1774" spans="2:14" x14ac:dyDescent="0.2">
      <c r="B1774" s="37"/>
      <c r="C1774" s="23"/>
      <c r="D1774" s="24"/>
      <c r="E1774" s="25"/>
      <c r="F1774" s="60"/>
      <c r="G1774" s="26"/>
      <c r="H1774" s="329"/>
      <c r="I1774" s="42"/>
      <c r="J1774" s="360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26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60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0"/>
      <c r="C1778" s="52"/>
      <c r="D1778" s="24"/>
      <c r="E1778" s="25"/>
      <c r="F1778" s="26"/>
      <c r="G1778" s="26"/>
      <c r="H1778" s="329"/>
      <c r="I1778" s="41"/>
      <c r="J1778" s="358"/>
      <c r="K1778" s="27"/>
      <c r="L1778" s="33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5"/>
      <c r="H1781" s="332"/>
      <c r="I1781" s="333"/>
      <c r="J1781" s="359"/>
      <c r="K1781" s="27"/>
      <c r="L1781" s="330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0"/>
      <c r="C1788" s="52"/>
      <c r="D1788" s="24"/>
      <c r="E1788" s="25"/>
      <c r="F1788" s="26"/>
      <c r="G1788" s="26"/>
      <c r="H1788" s="329"/>
      <c r="I1788" s="41"/>
      <c r="J1788" s="358"/>
      <c r="K1788" s="27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26"/>
      <c r="H1789" s="329"/>
      <c r="I1789" s="41"/>
      <c r="J1789" s="358"/>
      <c r="K1789" s="36"/>
      <c r="L1789" s="33"/>
      <c r="M1789" s="34"/>
      <c r="N1789" s="35"/>
    </row>
    <row r="1790" spans="2:14" ht="15" x14ac:dyDescent="0.25">
      <c r="B1790" s="30"/>
      <c r="C1790" s="23"/>
      <c r="D1790" s="24"/>
      <c r="E1790" s="25"/>
      <c r="F1790" s="26"/>
      <c r="G1790" s="325"/>
      <c r="H1790" s="332"/>
      <c r="I1790" s="333"/>
      <c r="J1790" s="359"/>
      <c r="K1790" s="27"/>
      <c r="L1790" s="33"/>
      <c r="M1790" s="34"/>
      <c r="N1790" s="35"/>
    </row>
    <row r="1791" spans="2:14" ht="15" x14ac:dyDescent="0.25">
      <c r="B1791" s="30"/>
      <c r="C1791" s="52"/>
      <c r="D1791" s="24"/>
      <c r="E1791" s="25"/>
      <c r="F1791" s="26"/>
      <c r="G1791" s="26"/>
      <c r="H1791" s="329"/>
      <c r="I1791" s="41"/>
      <c r="J1791" s="358"/>
      <c r="K1791" s="27"/>
      <c r="L1791" s="33"/>
      <c r="M1791" s="34"/>
      <c r="N1791" s="35"/>
    </row>
    <row r="1792" spans="2:14" x14ac:dyDescent="0.2">
      <c r="B1792" s="37"/>
      <c r="C1792" s="52"/>
      <c r="D1792" s="24"/>
      <c r="E1792" s="25"/>
      <c r="F1792" s="26"/>
      <c r="G1792" s="26"/>
      <c r="H1792" s="329"/>
      <c r="I1792" s="42"/>
      <c r="J1792" s="360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60"/>
      <c r="G1793" s="26"/>
      <c r="H1793" s="329"/>
      <c r="I1793" s="41"/>
      <c r="J1793" s="358"/>
      <c r="K1793" s="27"/>
      <c r="L1793" s="33"/>
      <c r="M1793" s="34"/>
      <c r="N1793" s="35"/>
    </row>
    <row r="1794" spans="2:14" ht="15" x14ac:dyDescent="0.25">
      <c r="B1794" s="37"/>
      <c r="C1794" s="52"/>
      <c r="D1794" s="24"/>
      <c r="E1794" s="25"/>
      <c r="F1794" s="26"/>
      <c r="G1794" s="26"/>
      <c r="H1794" s="329"/>
      <c r="I1794" s="41"/>
      <c r="J1794" s="358"/>
      <c r="K1794" s="27"/>
      <c r="L1794" s="33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9"/>
      <c r="I1795" s="42"/>
      <c r="J1795" s="360"/>
      <c r="K1795" s="27"/>
      <c r="L1795" s="33"/>
      <c r="M1795" s="34"/>
      <c r="N1795" s="35"/>
    </row>
    <row r="1796" spans="2:14" ht="15" x14ac:dyDescent="0.25">
      <c r="B1796" s="37"/>
      <c r="C1796" s="53"/>
      <c r="D1796" s="24"/>
      <c r="E1796" s="25"/>
      <c r="F1796" s="26"/>
      <c r="G1796" s="325"/>
      <c r="H1796" s="332"/>
      <c r="I1796" s="333"/>
      <c r="J1796" s="359"/>
      <c r="K1796" s="27"/>
      <c r="L1796" s="330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27"/>
      <c r="L1797" s="33"/>
      <c r="M1797" s="34"/>
      <c r="N1797" s="35"/>
    </row>
    <row r="1798" spans="2:14" x14ac:dyDescent="0.2">
      <c r="B1798" s="37"/>
      <c r="C1798" s="23"/>
      <c r="D1798" s="24"/>
      <c r="E1798" s="25"/>
      <c r="F1798" s="26"/>
      <c r="G1798" s="325"/>
      <c r="H1798" s="332"/>
      <c r="I1798" s="334"/>
      <c r="J1798" s="361"/>
      <c r="K1798" s="27"/>
      <c r="L1798" s="33"/>
      <c r="M1798" s="34"/>
      <c r="N1798" s="35"/>
    </row>
    <row r="1799" spans="2:14" x14ac:dyDescent="0.2">
      <c r="B1799" s="37"/>
      <c r="C1799" s="52"/>
      <c r="D1799" s="24"/>
      <c r="E1799" s="25"/>
      <c r="F1799" s="26"/>
      <c r="G1799" s="26"/>
      <c r="H1799" s="329"/>
      <c r="I1799" s="42"/>
      <c r="J1799" s="360"/>
      <c r="K1799" s="36"/>
      <c r="L1799" s="33"/>
      <c r="M1799" s="34"/>
      <c r="N1799" s="35"/>
    </row>
    <row r="1800" spans="2:14" x14ac:dyDescent="0.2">
      <c r="B1800" s="37"/>
      <c r="C1800" s="53"/>
      <c r="D1800" s="24"/>
      <c r="E1800" s="25"/>
      <c r="F1800" s="26"/>
      <c r="G1800" s="26"/>
      <c r="H1800" s="329"/>
      <c r="I1800" s="334"/>
      <c r="J1800" s="361"/>
      <c r="K1800" s="36"/>
      <c r="L1800" s="330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0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26"/>
      <c r="H1803" s="329"/>
      <c r="I1803" s="333"/>
      <c r="J1803" s="359"/>
      <c r="K1803" s="36"/>
      <c r="L1803" s="33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0"/>
      <c r="C1807" s="52"/>
      <c r="D1807" s="24"/>
      <c r="E1807" s="25"/>
      <c r="F1807" s="26"/>
      <c r="G1807" s="26"/>
      <c r="H1807" s="329"/>
      <c r="I1807" s="41"/>
      <c r="J1807" s="358"/>
      <c r="K1807" s="27"/>
      <c r="L1807" s="33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5"/>
      <c r="H1811" s="332"/>
      <c r="I1811" s="333"/>
      <c r="J1811" s="359"/>
      <c r="K1811" s="27"/>
      <c r="L1811" s="330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36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23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3"/>
      <c r="D1819" s="24"/>
      <c r="E1819" s="25"/>
      <c r="F1819" s="26"/>
      <c r="G1819" s="325"/>
      <c r="H1819" s="332"/>
      <c r="I1819" s="333"/>
      <c r="J1819" s="359"/>
      <c r="K1819" s="36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ht="15" x14ac:dyDescent="0.25">
      <c r="B1821" s="30"/>
      <c r="C1821" s="52"/>
      <c r="D1821" s="24"/>
      <c r="E1821" s="25"/>
      <c r="F1821" s="26"/>
      <c r="G1821" s="26"/>
      <c r="H1821" s="329"/>
      <c r="I1821" s="41"/>
      <c r="J1821" s="358"/>
      <c r="K1821" s="36"/>
      <c r="L1821" s="33"/>
      <c r="M1821" s="34"/>
      <c r="N1821" s="35"/>
    </row>
    <row r="1822" spans="2:14" ht="15" x14ac:dyDescent="0.25">
      <c r="B1822" s="37"/>
      <c r="C1822" s="52"/>
      <c r="D1822" s="24"/>
      <c r="E1822" s="25"/>
      <c r="F1822" s="26"/>
      <c r="G1822" s="26"/>
      <c r="H1822" s="329"/>
      <c r="I1822" s="41"/>
      <c r="J1822" s="358"/>
      <c r="K1822" s="27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ht="15" x14ac:dyDescent="0.25">
      <c r="B1825" s="37"/>
      <c r="C1825" s="23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9"/>
      <c r="I1826" s="42"/>
      <c r="J1826" s="360"/>
      <c r="K1826" s="36"/>
      <c r="L1826" s="33"/>
      <c r="M1826" s="34"/>
      <c r="N1826" s="35"/>
    </row>
    <row r="1827" spans="2:14" ht="15" x14ac:dyDescent="0.25">
      <c r="B1827" s="37"/>
      <c r="C1827" s="52"/>
      <c r="D1827" s="24"/>
      <c r="E1827" s="25"/>
      <c r="F1827" s="26"/>
      <c r="G1827" s="26"/>
      <c r="H1827" s="329"/>
      <c r="I1827" s="41"/>
      <c r="J1827" s="358"/>
      <c r="K1827" s="27"/>
      <c r="L1827" s="33"/>
      <c r="M1827" s="34"/>
      <c r="N1827" s="35"/>
    </row>
    <row r="1828" spans="2:14" x14ac:dyDescent="0.2">
      <c r="B1828" s="37"/>
      <c r="C1828" s="52"/>
      <c r="D1828" s="24"/>
      <c r="E1828" s="25"/>
      <c r="F1828" s="26"/>
      <c r="G1828" s="26"/>
      <c r="H1828" s="329"/>
      <c r="I1828" s="42"/>
      <c r="J1828" s="360"/>
      <c r="K1828" s="36"/>
      <c r="L1828" s="330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0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29"/>
      <c r="I1830" s="41"/>
      <c r="J1830" s="358"/>
      <c r="K1830" s="27"/>
      <c r="L1830" s="330"/>
      <c r="M1830" s="34"/>
      <c r="N1830" s="35"/>
    </row>
    <row r="1831" spans="2:14" x14ac:dyDescent="0.2">
      <c r="B1831" s="37"/>
      <c r="C1831" s="23"/>
      <c r="D1831" s="24"/>
      <c r="E1831" s="25"/>
      <c r="F1831" s="26"/>
      <c r="G1831" s="325"/>
      <c r="H1831" s="332"/>
      <c r="I1831" s="334"/>
      <c r="J1831" s="361"/>
      <c r="K1831" s="27"/>
      <c r="L1831" s="33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5"/>
      <c r="H1833" s="332"/>
      <c r="I1833" s="333"/>
      <c r="J1833" s="359"/>
      <c r="K1833" s="27"/>
      <c r="L1833" s="330"/>
      <c r="M1833" s="34"/>
      <c r="N1833" s="35"/>
    </row>
    <row r="1834" spans="2:14" ht="15" x14ac:dyDescent="0.25">
      <c r="B1834" s="37"/>
      <c r="C1834" s="52"/>
      <c r="D1834" s="24"/>
      <c r="E1834" s="25"/>
      <c r="F1834" s="26"/>
      <c r="G1834" s="26"/>
      <c r="H1834" s="329"/>
      <c r="I1834" s="41"/>
      <c r="J1834" s="358"/>
      <c r="K1834" s="27"/>
      <c r="L1834" s="33"/>
      <c r="M1834" s="34"/>
      <c r="N1834" s="35"/>
    </row>
    <row r="1835" spans="2:14" x14ac:dyDescent="0.2">
      <c r="B1835" s="37"/>
      <c r="C1835" s="23"/>
      <c r="D1835" s="24"/>
      <c r="E1835" s="25"/>
      <c r="F1835" s="26"/>
      <c r="G1835" s="325"/>
      <c r="H1835" s="332"/>
      <c r="I1835" s="334"/>
      <c r="J1835" s="361"/>
      <c r="K1835" s="27"/>
      <c r="L1835" s="33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7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27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29"/>
      <c r="I1842" s="41"/>
      <c r="J1842" s="358"/>
      <c r="K1842" s="36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325"/>
      <c r="H1843" s="332"/>
      <c r="I1843" s="333"/>
      <c r="J1843" s="359"/>
      <c r="K1843" s="27"/>
      <c r="L1843" s="33"/>
      <c r="M1843" s="34"/>
      <c r="N1843" s="35"/>
    </row>
    <row r="1844" spans="2:14" x14ac:dyDescent="0.2">
      <c r="B1844" s="30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9"/>
      <c r="I1846" s="42"/>
      <c r="J1846" s="360"/>
      <c r="K1846" s="36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26"/>
      <c r="H1847" s="329"/>
      <c r="I1847" s="41"/>
      <c r="J1847" s="358"/>
      <c r="K1847" s="27"/>
      <c r="L1847" s="33"/>
      <c r="M1847" s="34"/>
      <c r="N1847" s="35"/>
    </row>
    <row r="1848" spans="2:14" x14ac:dyDescent="0.2">
      <c r="B1848" s="30"/>
      <c r="C1848" s="23"/>
      <c r="D1848" s="24"/>
      <c r="E1848" s="25"/>
      <c r="F1848" s="26"/>
      <c r="G1848" s="26"/>
      <c r="H1848" s="329"/>
      <c r="I1848" s="42"/>
      <c r="J1848" s="360"/>
      <c r="K1848" s="27"/>
      <c r="L1848" s="33"/>
      <c r="M1848" s="34"/>
      <c r="N1848" s="35"/>
    </row>
    <row r="1849" spans="2:14" ht="15" x14ac:dyDescent="0.25">
      <c r="B1849" s="30"/>
      <c r="C1849" s="23"/>
      <c r="D1849" s="24"/>
      <c r="E1849" s="25"/>
      <c r="F1849" s="26"/>
      <c r="G1849" s="325"/>
      <c r="H1849" s="332"/>
      <c r="I1849" s="333"/>
      <c r="J1849" s="359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"/>
      <c r="M1850" s="34"/>
      <c r="N1850" s="35"/>
    </row>
    <row r="1851" spans="2:14" x14ac:dyDescent="0.2">
      <c r="B1851" s="37"/>
      <c r="C1851" s="23"/>
      <c r="D1851" s="24"/>
      <c r="E1851" s="25"/>
      <c r="F1851" s="26"/>
      <c r="G1851" s="26"/>
      <c r="H1851" s="329"/>
      <c r="I1851" s="334"/>
      <c r="J1851" s="361"/>
      <c r="K1851" s="27"/>
      <c r="L1851" s="33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0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26"/>
      <c r="H1853" s="329"/>
      <c r="I1853" s="41"/>
      <c r="J1853" s="358"/>
      <c r="K1853" s="27"/>
      <c r="L1853" s="330"/>
      <c r="M1853" s="34"/>
      <c r="N1853" s="35"/>
    </row>
    <row r="1854" spans="2:14" x14ac:dyDescent="0.2">
      <c r="B1854" s="37"/>
      <c r="C1854" s="23"/>
      <c r="D1854" s="24"/>
      <c r="E1854" s="25"/>
      <c r="F1854" s="26"/>
      <c r="G1854" s="26"/>
      <c r="H1854" s="329"/>
      <c r="I1854" s="42"/>
      <c r="J1854" s="360"/>
      <c r="K1854" s="27"/>
      <c r="L1854" s="33"/>
      <c r="M1854" s="34"/>
      <c r="N1854" s="35"/>
    </row>
    <row r="1855" spans="2:14" x14ac:dyDescent="0.2">
      <c r="B1855" s="30"/>
      <c r="C1855" s="23"/>
      <c r="D1855" s="24"/>
      <c r="E1855" s="25"/>
      <c r="F1855" s="26"/>
      <c r="G1855" s="26"/>
      <c r="H1855" s="329"/>
      <c r="I1855" s="42"/>
      <c r="J1855" s="360"/>
      <c r="K1855" s="27"/>
      <c r="L1855" s="33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9"/>
      <c r="I1859" s="41"/>
      <c r="J1859" s="358"/>
      <c r="K1859" s="27"/>
      <c r="L1859" s="33"/>
      <c r="M1859" s="34"/>
      <c r="N1859" s="35"/>
    </row>
    <row r="1860" spans="2:14" ht="15" x14ac:dyDescent="0.25">
      <c r="B1860" s="30"/>
      <c r="C1860" s="23"/>
      <c r="D1860" s="24"/>
      <c r="E1860" s="25"/>
      <c r="F1860" s="26"/>
      <c r="G1860" s="26"/>
      <c r="H1860" s="329"/>
      <c r="I1860" s="41"/>
      <c r="J1860" s="358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5"/>
      <c r="H1863" s="332"/>
      <c r="I1863" s="333"/>
      <c r="J1863" s="359"/>
      <c r="K1863" s="27"/>
      <c r="L1863" s="330"/>
      <c r="M1863" s="34"/>
      <c r="N1863" s="35"/>
    </row>
    <row r="1864" spans="2:14" x14ac:dyDescent="0.2">
      <c r="B1864" s="30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x14ac:dyDescent="0.2">
      <c r="B1866" s="37"/>
      <c r="C1866" s="23"/>
      <c r="D1866" s="24"/>
      <c r="E1866" s="25"/>
      <c r="F1866" s="26"/>
      <c r="G1866" s="26"/>
      <c r="H1866" s="329"/>
      <c r="I1866" s="42"/>
      <c r="J1866" s="360"/>
      <c r="K1866" s="27"/>
      <c r="L1866" s="33"/>
      <c r="M1866" s="34"/>
      <c r="N1866" s="35"/>
    </row>
    <row r="1867" spans="2:14" ht="15" x14ac:dyDescent="0.25">
      <c r="B1867" s="37"/>
      <c r="C1867" s="23"/>
      <c r="D1867" s="24"/>
      <c r="E1867" s="25"/>
      <c r="F1867" s="26"/>
      <c r="G1867" s="26"/>
      <c r="H1867" s="329"/>
      <c r="I1867" s="41"/>
      <c r="J1867" s="358"/>
      <c r="K1867" s="36"/>
      <c r="L1867" s="33"/>
      <c r="M1867" s="34"/>
      <c r="N1867" s="35"/>
    </row>
  </sheetData>
  <sortState xmlns:xlrd2="http://schemas.microsoft.com/office/spreadsheetml/2017/richdata2" ref="B7:I1048575">
    <sortCondition ref="C7:C44"/>
  </sortState>
  <mergeCells count="3">
    <mergeCell ref="D1:H1"/>
    <mergeCell ref="D2:K2"/>
    <mergeCell ref="B3:F4"/>
  </mergeCells>
  <phoneticPr fontId="19" type="noConversion"/>
  <conditionalFormatting sqref="H1840:H1863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0:H1862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0:H1861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0:E1867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0:E1867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0:E1867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0:E1867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0:E1867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0:E1867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0:E1867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0:E1867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0:H1867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0:H1867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0:H1867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0:E1867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0:H1867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0:E1867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0:H1867">
    <cfRule type="iconSet" priority="282941">
      <iconSet>
        <cfvo type="percent" val="0"/>
        <cfvo type="percent" val="23"/>
        <cfvo type="percent" val="70"/>
      </iconSet>
    </cfRule>
  </conditionalFormatting>
  <conditionalFormatting sqref="H1840:H1867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0:H1867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0:H1867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0:H1867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0:E1867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0:H1867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0:H1867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0:H1867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0:H1867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0:H1867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0:E1867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0:H1867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0:H1867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0:E1867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0:E1867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0:H1867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0:H1867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0:H1867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0:E1867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0:H1867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0:H1867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0:H1867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0:H1867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0:H1867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0:H1867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0:E1867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0:H1867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0:H1867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0:H1867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0:H1867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0:H1867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0:H1867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0:E1867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0:H1867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0:E1867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0:H1867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0:E1867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0:H1867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09">
      <iconSet>
        <cfvo type="percent" val="0"/>
        <cfvo type="num" val="22"/>
        <cfvo type="num" val="26"/>
      </iconSet>
    </cfRule>
  </conditionalFormatting>
  <conditionalFormatting sqref="H1840:H1867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15">
      <iconSet>
        <cfvo type="percent" val="0"/>
        <cfvo type="num" val="21"/>
        <cfvo type="num" val="25"/>
      </iconSet>
    </cfRule>
  </conditionalFormatting>
  <conditionalFormatting sqref="H1840:H1867">
    <cfRule type="iconSet" priority="283417">
      <iconSet>
        <cfvo type="percent" val="0"/>
        <cfvo type="num" val="19"/>
        <cfvo type="num" val="23"/>
      </iconSet>
    </cfRule>
  </conditionalFormatting>
  <conditionalFormatting sqref="H1840:H1867">
    <cfRule type="iconSet" priority="283419">
      <iconSet>
        <cfvo type="percent" val="0"/>
        <cfvo type="num" val="23"/>
        <cfvo type="num" val="27"/>
      </iconSet>
    </cfRule>
  </conditionalFormatting>
  <conditionalFormatting sqref="E1754:E1756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9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48:E1177 E7:E46">
    <cfRule type="cellIs" dxfId="19" priority="170" operator="greaterThan">
      <formula>7</formula>
    </cfRule>
  </conditionalFormatting>
  <conditionalFormatting sqref="E1487:E4765">
    <cfRule type="cellIs" dxfId="18" priority="137" operator="greaterThan">
      <formula>7</formula>
    </cfRule>
  </conditionalFormatting>
  <conditionalFormatting sqref="I48:I1249 G48:G50 I7:I46">
    <cfRule type="cellIs" dxfId="17" priority="41" operator="lessThan">
      <formula>E7</formula>
    </cfRule>
  </conditionalFormatting>
  <conditionalFormatting sqref="I1840:I1867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0:I1867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0:I1867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0:I1867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0:I1867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0:I1867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0:I1867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0:I1867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0:I1867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0:I1867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0:I1867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0:I1867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0:I1867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0:I1867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6:H1473 H1260:H1434 H48:H1249 H7:H46">
    <cfRule type="cellIs" dxfId="16" priority="297758" operator="greaterThan">
      <formula>$H$47</formula>
    </cfRule>
  </conditionalFormatting>
  <conditionalFormatting sqref="L7:L1249">
    <cfRule type="top10" dxfId="15" priority="297769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59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E1754:E1756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E1734:E1753</xm:sqref>
        </x14:conditionalFormatting>
        <x14:conditionalFormatting xmlns:xm="http://schemas.microsoft.com/office/excel/2006/main">
          <x14:cfRule type="iconSet" priority="29776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$H$47</xm:f>
              </x14:cfvo>
              <x14:cfIcon iconSet="NoIcons" iconId="0"/>
              <x14:cfIcon iconSet="NoIcons" iconId="0"/>
              <x14:cfIcon iconSet="3Stars" iconId="2"/>
            </x14:iconSet>
          </x14:cfRule>
          <xm:sqref>H1260:H1270 H48:H1249 H7:H46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68" t="s">
        <v>110</v>
      </c>
      <c r="E1" s="368"/>
      <c r="F1" s="368"/>
      <c r="G1" s="368"/>
      <c r="H1" s="368"/>
      <c r="I1" s="19"/>
      <c r="J1" s="16"/>
      <c r="K1"/>
    </row>
    <row r="2" spans="2:75" ht="33.75" customHeight="1" thickBot="1" x14ac:dyDescent="0.35">
      <c r="D2" s="369" t="s">
        <v>111</v>
      </c>
      <c r="E2" s="369"/>
      <c r="F2" s="369"/>
      <c r="G2" s="369"/>
      <c r="H2" s="369"/>
      <c r="I2" s="369"/>
      <c r="J2" s="369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0" t="s">
        <v>115</v>
      </c>
      <c r="E3" s="370"/>
      <c r="F3" s="370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0"/>
      <c r="E4" s="370"/>
      <c r="F4" s="370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10" workbookViewId="0">
      <selection activeCell="E19" sqref="E1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/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4">
        <v>43</v>
      </c>
      <c r="C46" t="s">
        <v>145</v>
      </c>
      <c r="F46" t="s">
        <v>80</v>
      </c>
    </row>
    <row r="47" spans="2:16" x14ac:dyDescent="0.2">
      <c r="B47" s="364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2026-02-18T07:11:56Z</cp:lastPrinted>
  <dcterms:created xsi:type="dcterms:W3CDTF">2021-05-05T13:25:05Z</dcterms:created>
  <dcterms:modified xsi:type="dcterms:W3CDTF">2026-02-18T07:12:40Z</dcterms:modified>
</cp:coreProperties>
</file>