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F2A32D4B-76E8-4FEA-99F0-E518C62173D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" l="1"/>
  <c r="H11" i="1"/>
  <c r="M11" i="1"/>
  <c r="O28" i="1"/>
  <c r="Q28" i="1" s="1"/>
  <c r="T28" i="1"/>
  <c r="G29" i="1"/>
  <c r="I11" i="1" s="1"/>
  <c r="J11" i="1" s="1"/>
  <c r="F29" i="1"/>
  <c r="E29" i="1"/>
  <c r="G11" i="6"/>
  <c r="F11" i="6"/>
  <c r="E11" i="6"/>
  <c r="M7" i="6" s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M7" i="1"/>
  <c r="N11" i="1" s="1"/>
  <c r="M8" i="1"/>
  <c r="M9" i="1"/>
  <c r="M10" i="1"/>
  <c r="M28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H27" i="1"/>
  <c r="H8" i="1"/>
  <c r="H9" i="1"/>
  <c r="H10" i="1"/>
  <c r="H28" i="1"/>
  <c r="H12" i="1"/>
  <c r="H13" i="1"/>
  <c r="H14" i="1"/>
  <c r="H20" i="1"/>
  <c r="H15" i="1"/>
  <c r="H16" i="1"/>
  <c r="H17" i="1"/>
  <c r="H18" i="1"/>
  <c r="H19" i="1"/>
  <c r="H21" i="1"/>
  <c r="H22" i="1"/>
  <c r="H23" i="1"/>
  <c r="H24" i="1"/>
  <c r="H25" i="1"/>
  <c r="H26" i="1"/>
  <c r="H7" i="1"/>
  <c r="O43" i="1"/>
  <c r="Q43" i="1" s="1"/>
  <c r="T43" i="1"/>
  <c r="O44" i="1"/>
  <c r="Q44" i="1" s="1"/>
  <c r="T44" i="1"/>
  <c r="O45" i="1"/>
  <c r="Q45" i="1" s="1"/>
  <c r="T45" i="1"/>
  <c r="P3" i="6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I23" i="1" l="1"/>
  <c r="J23" i="1" s="1"/>
  <c r="I20" i="1"/>
  <c r="I8" i="1"/>
  <c r="P8" i="1" s="1"/>
  <c r="L8" i="1" s="1"/>
  <c r="I27" i="1"/>
  <c r="P27" i="1" s="1"/>
  <c r="L27" i="1" s="1"/>
  <c r="I22" i="1"/>
  <c r="J22" i="1" s="1"/>
  <c r="I14" i="1"/>
  <c r="J14" i="1" s="1"/>
  <c r="I7" i="1"/>
  <c r="J7" i="1" s="1"/>
  <c r="I18" i="1"/>
  <c r="J18" i="1" s="1"/>
  <c r="I28" i="1"/>
  <c r="J28" i="1" s="1"/>
  <c r="I26" i="1"/>
  <c r="J26" i="1" s="1"/>
  <c r="I17" i="1"/>
  <c r="J17" i="1" s="1"/>
  <c r="I10" i="1"/>
  <c r="J10" i="1" s="1"/>
  <c r="N10" i="1"/>
  <c r="I25" i="1"/>
  <c r="P25" i="1" s="1"/>
  <c r="L25" i="1" s="1"/>
  <c r="I21" i="1"/>
  <c r="P21" i="1" s="1"/>
  <c r="L21" i="1" s="1"/>
  <c r="I16" i="1"/>
  <c r="I13" i="1"/>
  <c r="P13" i="1" s="1"/>
  <c r="I9" i="1"/>
  <c r="P9" i="1" s="1"/>
  <c r="I24" i="1"/>
  <c r="P24" i="1" s="1"/>
  <c r="L24" i="1" s="1"/>
  <c r="I19" i="1"/>
  <c r="P19" i="1" s="1"/>
  <c r="L19" i="1" s="1"/>
  <c r="I15" i="1"/>
  <c r="J15" i="1" s="1"/>
  <c r="I12" i="1"/>
  <c r="P12" i="1" s="1"/>
  <c r="H29" i="1"/>
  <c r="U28" i="1" s="1"/>
  <c r="N25" i="1"/>
  <c r="N21" i="1"/>
  <c r="N17" i="1"/>
  <c r="N13" i="1"/>
  <c r="N9" i="1"/>
  <c r="N24" i="1"/>
  <c r="N20" i="1"/>
  <c r="N16" i="1"/>
  <c r="N12" i="1"/>
  <c r="N8" i="1"/>
  <c r="N27" i="1"/>
  <c r="N23" i="1"/>
  <c r="N19" i="1"/>
  <c r="N15" i="1"/>
  <c r="N28" i="1"/>
  <c r="N7" i="1"/>
  <c r="P16" i="1"/>
  <c r="N26" i="1"/>
  <c r="N22" i="1"/>
  <c r="N18" i="1"/>
  <c r="N14" i="1"/>
  <c r="P11" i="1"/>
  <c r="J13" i="1"/>
  <c r="P26" i="1"/>
  <c r="L26" i="1" s="1"/>
  <c r="J20" i="1"/>
  <c r="J16" i="1"/>
  <c r="P39" i="1"/>
  <c r="P36" i="1"/>
  <c r="P44" i="1"/>
  <c r="P29" i="1"/>
  <c r="P30" i="1"/>
  <c r="P43" i="1"/>
  <c r="P45" i="1"/>
  <c r="P41" i="1"/>
  <c r="P37" i="1"/>
  <c r="P33" i="1"/>
  <c r="P40" i="1"/>
  <c r="P32" i="1"/>
  <c r="P35" i="1"/>
  <c r="P31" i="1"/>
  <c r="P42" i="1"/>
  <c r="P34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2" i="1" l="1"/>
  <c r="L22" i="1" s="1"/>
  <c r="P28" i="1"/>
  <c r="L28" i="1" s="1"/>
  <c r="P23" i="1"/>
  <c r="L23" i="1" s="1"/>
  <c r="J8" i="1"/>
  <c r="U26" i="1"/>
  <c r="U9" i="1"/>
  <c r="U16" i="1"/>
  <c r="U13" i="1"/>
  <c r="U23" i="1"/>
  <c r="J24" i="1"/>
  <c r="U12" i="1"/>
  <c r="U19" i="1"/>
  <c r="U22" i="1"/>
  <c r="U25" i="1"/>
  <c r="U8" i="1"/>
  <c r="P14" i="1"/>
  <c r="L14" i="1" s="1"/>
  <c r="U24" i="1"/>
  <c r="U7" i="1"/>
  <c r="U15" i="1"/>
  <c r="U18" i="1"/>
  <c r="U21" i="1"/>
  <c r="U10" i="1"/>
  <c r="U20" i="1"/>
  <c r="U27" i="1"/>
  <c r="U11" i="1"/>
  <c r="U14" i="1"/>
  <c r="U17" i="1"/>
  <c r="P20" i="1"/>
  <c r="J9" i="1"/>
  <c r="P17" i="1"/>
  <c r="L17" i="1" s="1"/>
  <c r="J27" i="1"/>
  <c r="I29" i="1"/>
  <c r="P7" i="1"/>
  <c r="L7" i="1" s="1"/>
  <c r="P18" i="1"/>
  <c r="P15" i="1"/>
  <c r="L15" i="1" s="1"/>
  <c r="P10" i="1"/>
  <c r="L10" i="1" s="1"/>
  <c r="J25" i="1"/>
  <c r="J19" i="1"/>
  <c r="L11" i="1"/>
  <c r="J12" i="1"/>
  <c r="J21" i="1"/>
  <c r="N29" i="1"/>
  <c r="L12" i="1"/>
  <c r="L20" i="1"/>
  <c r="L9" i="1"/>
  <c r="L13" i="1"/>
  <c r="L18" i="1"/>
  <c r="P38" i="1"/>
  <c r="L16" i="1"/>
  <c r="U33" i="1"/>
  <c r="U39" i="1"/>
  <c r="U44" i="1"/>
  <c r="U45" i="1"/>
  <c r="U43" i="1"/>
  <c r="U30" i="1"/>
  <c r="U36" i="1"/>
  <c r="U35" i="1"/>
  <c r="U42" i="1"/>
  <c r="U29" i="1"/>
  <c r="U32" i="1"/>
  <c r="U31" i="1"/>
  <c r="U38" i="1"/>
  <c r="U41" i="1"/>
  <c r="U46" i="1"/>
  <c r="U34" i="1"/>
  <c r="U37" i="1"/>
  <c r="U40" i="1"/>
  <c r="U47" i="1"/>
  <c r="U48" i="1"/>
  <c r="S3" i="1"/>
  <c r="T3" i="1" s="1"/>
  <c r="R28" i="1" s="1"/>
  <c r="S28" i="1" s="1"/>
  <c r="U69" i="1"/>
  <c r="U68" i="1"/>
  <c r="U52" i="1"/>
  <c r="U65" i="1"/>
  <c r="U54" i="1"/>
  <c r="U51" i="1"/>
  <c r="U66" i="1"/>
  <c r="U53" i="1"/>
  <c r="U67" i="1"/>
  <c r="U50" i="1"/>
  <c r="U55" i="1"/>
  <c r="J29" i="1" l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45" i="1"/>
  <c r="S45" i="1" s="1"/>
  <c r="R43" i="1"/>
  <c r="S43" i="1" s="1"/>
  <c r="R44" i="1"/>
  <c r="S44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32" i="1"/>
  <c r="S32" i="1" s="1"/>
  <c r="R36" i="1"/>
  <c r="S36" i="1" s="1"/>
  <c r="R40" i="1"/>
  <c r="S40" i="1" s="1"/>
  <c r="R29" i="1"/>
  <c r="S29" i="1" s="1"/>
  <c r="R33" i="1"/>
  <c r="S33" i="1" s="1"/>
  <c r="R37" i="1"/>
  <c r="S37" i="1" s="1"/>
  <c r="R41" i="1"/>
  <c r="S41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<sst xmlns="http://schemas.openxmlformats.org/spreadsheetml/2006/main" count="264" uniqueCount="175">
  <si>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</si>
  <si>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</si>
  <si>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</si>
  <si>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</si>
  <si>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</si>
  <si>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</si>
  <si>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</si>
  <si>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</si>
  <si>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</si>
  <si>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</si>
  <si>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</si>
  <si>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</si>
  <si>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</si>
  <si>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</si>
  <si>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</si>
  <si>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</si>
  <si>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</si>
  <si>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</si>
  <si>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</si>
  <si>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</si>
  <si>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</si>
  <si>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</si>
  <si>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</si>
  <si>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</si>
  <si>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</si>
  <si>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</si>
  <si>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</si>
  <si>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</si>
  <si>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</si>
  <si>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</si>
  <si>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</si>
  <si>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</si>
  <si>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</si>
  <si>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</si>
  <si>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</si>
  <si>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</si>
  <si>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</si>
  <si>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</si>
  <si>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</si>
  <si>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</si>
  <si>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</si>
  <si>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</si>
  <si>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</si>
  <si>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</si>
  <si>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</si>
  <si>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</si>
  <si>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</si>
  <si>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</si>
  <si>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</si>
  <si>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</si>
  <si>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</si>
  <si>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</si>
  <si>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</si>
  <si>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</si>
  <si>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</si>
  <si>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</si>
  <si>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</si>
  <si>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</si>
  <si>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</si>
  <si>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</si>
  <si>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</si>
  <si>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</si>
  <si>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</si>
  <si>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</si>
  <si>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</si>
  <si>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</si>
  <si>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</si>
  <si>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</si>
  <si>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</si>
  <si>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</si>
  <si>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</si>
  <si>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</si>
  <si>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</si>
  <si>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</si>
  <si>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</si>
  <si>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</si>
  <si>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</si>
  <si>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</si>
  <si>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</si>
  <si>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</si>
  <si>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</si>
  <si>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</si>
  <si>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</si>
  <si>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</si>
  <si>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</si>
  <si>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</si>
  <si>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</si>
  <si>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</si>
  <si>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</si>
  <si>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</si>
  <si>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</si>
  <si>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</si>
  <si>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</si>
  <si>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</si>
  <si>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</si>
  <si>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</si>
  <si>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</si>
  <si>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</si>
  <si>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</si>
  <si>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</si>
  <si>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</si>
  <si>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</si>
  <si>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</si>
  <si>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</si>
  <si>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</si>
  <si>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</si>
  <si>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</si>
  <si>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</si>
  <si>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</si>
  <si>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</si>
  <si>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</si>
  <si>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</si>
  <si>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</si>
  <si>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</si>
  <si>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</si>
  <si>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</si>
  <si>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</si>
  <si>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</si>
  <si>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</si>
  <si>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</si>
  <si>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</si>
  <si>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</si>
  <si>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</si>
  <si>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</si>
  <si>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</si>
  <si>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</si>
  <si>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</si>
  <si>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</si>
  <si>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</si>
  <si>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</si>
  <si>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</si>
  <si>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</si>
  <si>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</si>
  <si>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</si>
  <si>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</si>
  <si>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</si>
  <si>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</si>
  <si>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</si>
  <si>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</si>
  <si>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</si>
  <si>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</si>
  <si>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</si>
  <si>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</si>
  <si>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</si>
  <si>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</si>
  <si>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</si>
  <si>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</si>
  <si>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</si>
  <si>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VERENZUELA MARTINEZ ALEXANDER</t>
  </si>
  <si>
    <t>PARIAS MURIEL JHON FREDY</t>
  </si>
  <si>
    <t>SANCHEZ BETANCOURT FRANSCISCO</t>
  </si>
  <si>
    <t>ALBERTO ARISTIZABAL RAFAEL</t>
  </si>
  <si>
    <t>GONZALEZ PEREZ RAFAEL JOSE</t>
  </si>
  <si>
    <t>SUAREZ ESCUDERO JONATAN</t>
  </si>
  <si>
    <t>AGUDELO GARCIA LLORDIN ELIAS</t>
  </si>
  <si>
    <t>QUIRAMA CASTAÑEDA JHON JADER</t>
  </si>
  <si>
    <t>GUTIERREZ ARICAPA DANIEL HUMBERTO</t>
  </si>
  <si>
    <t>GONZALEZ IPUANA RENE</t>
  </si>
  <si>
    <t>MURILLO  YOIMAR ANDRES</t>
  </si>
  <si>
    <t>DAVID  HENRY GIOVANNY</t>
  </si>
  <si>
    <t>JIMENEZ HERNANDEZ ESTEBAN CAMILO</t>
  </si>
  <si>
    <t>OCAMPO OCAMPO ANTONIO JOSE</t>
  </si>
  <si>
    <t>LOPEZ PINEDA DANIEL ESTIVEN</t>
  </si>
  <si>
    <t>PALMAR PANA EDIXON JOSUE</t>
  </si>
  <si>
    <t>88XM</t>
  </si>
  <si>
    <t>AGUDELO GARCIA DENIN ANGELO</t>
  </si>
  <si>
    <t>MARIN ALZATE KEVIN ANDRES</t>
  </si>
  <si>
    <t>PEREZ GARCIA JUAN ESTEBAN</t>
  </si>
  <si>
    <t>LAYOS JIMENEZ JOHAN CAMILO</t>
  </si>
  <si>
    <t>JARAMILLO JARAMILLO FRANCISCO WBEIMAR</t>
  </si>
  <si>
    <t xml:space="preserve">CARTAGENA RAMIREZ FREDY ALONSO </t>
  </si>
  <si>
    <t xml:space="preserve">2 Descuentos (Conducts) </t>
  </si>
  <si>
    <t xml:space="preserve">1 Descuento (Despachador) </t>
  </si>
  <si>
    <t xml:space="preserve">4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</si>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</sst>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Import!$C$7:$C$29</c:f>
              <c:numCache>
                <c:formatCode>0</c:formatCode>
                <c:ptCount val="2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14</c:v>
                </c:pt>
                <c:pt idx="6" formatCode="General">
                  <c:v>16</c:v>
                </c:pt>
                <c:pt idx="7" formatCode="General">
                  <c:v>18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30</c:v>
                </c:pt>
                <c:pt idx="14">
                  <c:v>32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 formatCode="General">
                  <c:v>40</c:v>
                </c:pt>
                <c:pt idx="20">
                  <c:v>42</c:v>
                </c:pt>
                <c:pt idx="21">
                  <c:v>44</c:v>
                </c:pt>
              </c:numCache>
            </c:numRef>
          </c:cat>
          <c:val>
            <c:numRef>
              <c:f>Import!$H$7:$H$29</c:f>
              <c:numCache>
                <c:formatCode>_-* #,##0.0_-;\-* #,##0.0_-;_-* "-"??_-;_-@_-</c:formatCode>
                <c:ptCount val="22"/>
                <c:pt idx="0">
                  <c:v>18</c:v>
                </c:pt>
                <c:pt idx="1">
                  <c:v>14</c:v>
                </c:pt>
                <c:pt idx="2">
                  <c:v>19.272727272727273</c:v>
                </c:pt>
                <c:pt idx="3">
                  <c:v>17.777777777777779</c:v>
                </c:pt>
                <c:pt idx="4">
                  <c:v>16.25</c:v>
                </c:pt>
                <c:pt idx="5">
                  <c:v>17.555555555555557</c:v>
                </c:pt>
                <c:pt idx="6">
                  <c:v>23.363636363636363</c:v>
                </c:pt>
                <c:pt idx="7">
                  <c:v>20</c:v>
                </c:pt>
                <c:pt idx="8">
                  <c:v>22.222222222222221</c:v>
                </c:pt>
                <c:pt idx="9">
                  <c:v>26.3</c:v>
                </c:pt>
                <c:pt idx="10">
                  <c:v>17.111111111111111</c:v>
                </c:pt>
                <c:pt idx="11">
                  <c:v>20</c:v>
                </c:pt>
                <c:pt idx="12">
                  <c:v>17.083333333333332</c:v>
                </c:pt>
                <c:pt idx="13">
                  <c:v>20.555555555555557</c:v>
                </c:pt>
                <c:pt idx="14">
                  <c:v>13.222222222222221</c:v>
                </c:pt>
                <c:pt idx="15">
                  <c:v>16.100000000000001</c:v>
                </c:pt>
                <c:pt idx="16">
                  <c:v>22.333333333333332</c:v>
                </c:pt>
                <c:pt idx="17">
                  <c:v>24.222222222222221</c:v>
                </c:pt>
                <c:pt idx="18">
                  <c:v>19.571428571428573</c:v>
                </c:pt>
                <c:pt idx="19">
                  <c:v>22.666666666666668</c:v>
                </c:pt>
                <c:pt idx="20">
                  <c:v>21.555555555555557</c:v>
                </c:pt>
                <c:pt idx="21">
                  <c:v>15.833333333333334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9" totalsRowCount="1" headerRowDxfId="55" dataDxfId="54" totalsRowDxfId="53">
  <sortState xmlns:xlrd2="http://schemas.microsoft.com/office/spreadsheetml/2017/richdata2" ref="B7:N28">
    <sortCondition ref="C28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19.4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+(SUMIFS(G:G,M:M,"MICRO",E:E,"&gt;0")*100)/COUNTIF($E$7:$E$28,"&gt;0")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9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9" t="s">
        <v>142</v>
      </c>
      <c r="E1" s="369"/>
      <c r="F1" s="369"/>
      <c r="G1" s="369"/>
      <c r="H1" s="369"/>
      <c r="I1" s="19"/>
      <c r="J1" s="338"/>
      <c r="K1" s="195"/>
      <c r="L1"/>
    </row>
    <row r="2" spans="1:32" ht="49.5" thickBot="1" x14ac:dyDescent="0.35">
      <c r="D2" s="370" t="s">
        <v>141</v>
      </c>
      <c r="E2" s="370"/>
      <c r="F2" s="370"/>
      <c r="G2" s="370"/>
      <c r="H2" s="370"/>
      <c r="I2" s="370"/>
      <c r="J2" s="370"/>
      <c r="K2" s="370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1"/>
      <c r="C3" s="371"/>
      <c r="D3" s="371"/>
      <c r="E3" s="371"/>
      <c r="F3" s="371"/>
      <c r="G3" s="241"/>
      <c r="H3" s="243"/>
      <c r="I3" s="19"/>
      <c r="J3" s="338"/>
      <c r="K3" s="195"/>
      <c r="L3" s="197"/>
      <c r="Q3" s="55">
        <f>+SUM(G6:G1840)/2</f>
        <v>3901</v>
      </c>
      <c r="R3" s="55">
        <f>+SUM(E6:E1840)/2</f>
        <v>200.5</v>
      </c>
      <c r="S3" s="55">
        <f>+Q3-R3</f>
        <v>3700.5</v>
      </c>
      <c r="T3" s="56">
        <f>+S3/R3</f>
        <v>18.456359102244388</v>
      </c>
      <c r="V3" s="15"/>
      <c r="X3" s="15"/>
      <c r="Z3" s="15"/>
      <c r="AB3" s="15"/>
      <c r="AD3" s="15"/>
      <c r="AF3" s="15"/>
    </row>
    <row r="4" spans="1:32" x14ac:dyDescent="0.2">
      <c r="B4" s="371"/>
      <c r="C4" s="371"/>
      <c r="D4" s="371"/>
      <c r="E4" s="371"/>
      <c r="F4" s="371"/>
      <c r="G4" s="194">
        <v>46019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164</v>
      </c>
      <c r="C7" s="166">
        <v>2</v>
      </c>
      <c r="D7" s="151" t="s">
        <v>149</v>
      </c>
      <c r="E7" s="150">
        <v>8</v>
      </c>
      <c r="F7" s="150">
        <v>0</v>
      </c>
      <c r="G7" s="165">
        <v>144</v>
      </c>
      <c r="H7" s="226">
        <f t="shared" ref="H7:H28" si="0">+G7/E7</f>
        <v>18</v>
      </c>
      <c r="I7" s="227">
        <f t="shared" ref="I7:I28" si="1">+(SUM($G$7:$G$1048576)/SUM($E$7:$E$1048576))*E7</f>
        <v>155.6508728179551</v>
      </c>
      <c r="J7" s="363">
        <f>+Tabla2[[#This Row],[PROM DE USUARIOS]]-Tabla2[[#This Row],[USUARIOS]]</f>
        <v>11.650872817955104</v>
      </c>
      <c r="K7" s="151"/>
      <c r="L7" s="163">
        <f t="shared" ref="L7:L28" si="2">P7*585</f>
        <v>86375.760598503737</v>
      </c>
      <c r="M7" s="162">
        <f>+VLOOKUP(C7,Lista!B:D,3,0)</f>
        <v>0</v>
      </c>
      <c r="N7" s="366">
        <f t="shared" ref="N7:N28" si="3">+(SUMIFS(G:G,M:M,"MICRO",E:E,"&gt;0")*100)/COUNTIF($E$7:$E$28,"&gt;0")</f>
        <v>11431.818181818182</v>
      </c>
      <c r="O7" s="50">
        <f t="shared" ref="O7:O27" si="4">+(E7*1)-V7</f>
        <v>8</v>
      </c>
      <c r="P7" s="47">
        <f t="shared" ref="P7:P27" si="5">+I7-O7-W7</f>
        <v>147.6508728179551</v>
      </c>
      <c r="Q7" s="49">
        <f t="shared" ref="Q7:Q27" si="6">+G7-O7</f>
        <v>136</v>
      </c>
      <c r="R7" s="51">
        <f t="shared" ref="R7:R27" si="7">+E7*$T$3</f>
        <v>147.6508728179551</v>
      </c>
      <c r="S7" s="46">
        <f t="shared" ref="S7:S28" si="8">+R7*550</f>
        <v>81207.980049875303</v>
      </c>
      <c r="T7" t="str">
        <f t="shared" ref="T7:T27" si="9">+IF(K7&lt;&gt;"",K7,"")</f>
        <v/>
      </c>
      <c r="U7">
        <f t="shared" ref="U7:U28" si="10">+RANK(H7,$H$6:$H$1048576,1)</f>
        <v>10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164</v>
      </c>
      <c r="C8" s="166">
        <v>4</v>
      </c>
      <c r="D8" s="151" t="s">
        <v>150</v>
      </c>
      <c r="E8" s="150">
        <v>3.5</v>
      </c>
      <c r="F8" s="150">
        <v>0.5</v>
      </c>
      <c r="G8" s="165">
        <v>49</v>
      </c>
      <c r="H8" s="226">
        <f t="shared" si="0"/>
        <v>14</v>
      </c>
      <c r="I8" s="227">
        <f t="shared" si="1"/>
        <v>68.097256857855356</v>
      </c>
      <c r="J8" s="363">
        <f>+Tabla2[[#This Row],[PROM DE USUARIOS]]-Tabla2[[#This Row],[USUARIOS]]</f>
        <v>19.097256857855356</v>
      </c>
      <c r="K8" s="151"/>
      <c r="L8" s="163">
        <f t="shared" si="2"/>
        <v>37789.395261845384</v>
      </c>
      <c r="M8" s="162" t="str">
        <f>+VLOOKUP(C8,Lista!B:D,3,0)</f>
        <v>MICRO</v>
      </c>
      <c r="N8" s="366">
        <f t="shared" si="3"/>
        <v>11431.818181818182</v>
      </c>
      <c r="O8" s="50">
        <f t="shared" si="4"/>
        <v>3.5</v>
      </c>
      <c r="P8" s="47">
        <f t="shared" si="5"/>
        <v>64.597256857855356</v>
      </c>
      <c r="Q8" s="49">
        <f t="shared" si="6"/>
        <v>45.5</v>
      </c>
      <c r="R8" s="51">
        <f t="shared" si="7"/>
        <v>64.597256857855356</v>
      </c>
      <c r="S8" s="46">
        <f t="shared" si="8"/>
        <v>35528.491271820443</v>
      </c>
      <c r="T8" t="str">
        <f t="shared" si="9"/>
        <v/>
      </c>
      <c r="U8">
        <f t="shared" si="10"/>
        <v>2</v>
      </c>
      <c r="Y8" t="str">
        <f>TRIM(Tabla2[[#This Row],[CONDUCTOR]])</f>
        <v>SANCHEZ BETANCOURT FRANSCISCO</v>
      </c>
    </row>
    <row r="9" spans="1:32" x14ac:dyDescent="0.2">
      <c r="B9" s="136" t="s">
        <v>164</v>
      </c>
      <c r="C9" s="166">
        <v>6</v>
      </c>
      <c r="D9" s="151" t="s">
        <v>162</v>
      </c>
      <c r="E9" s="150">
        <v>11</v>
      </c>
      <c r="F9" s="150">
        <v>0</v>
      </c>
      <c r="G9" s="165">
        <v>212</v>
      </c>
      <c r="H9" s="226">
        <f t="shared" si="0"/>
        <v>19.272727272727273</v>
      </c>
      <c r="I9" s="227">
        <f t="shared" si="1"/>
        <v>214.01995012468828</v>
      </c>
      <c r="J9" s="363">
        <f>+Tabla2[[#This Row],[PROM DE USUARIOS]]-Tabla2[[#This Row],[USUARIOS]]</f>
        <v>2.0199501246882789</v>
      </c>
      <c r="K9" s="151"/>
      <c r="L9" s="163">
        <f t="shared" si="2"/>
        <v>118766.67082294264</v>
      </c>
      <c r="M9" s="162" t="str">
        <f>+VLOOKUP(C9,Lista!B:D,3,0)</f>
        <v>MICRO</v>
      </c>
      <c r="N9" s="366">
        <f t="shared" si="3"/>
        <v>11431.818181818182</v>
      </c>
      <c r="O9" s="50">
        <f t="shared" si="4"/>
        <v>11</v>
      </c>
      <c r="P9" s="47">
        <f t="shared" si="5"/>
        <v>203.01995012468828</v>
      </c>
      <c r="Q9" s="49">
        <f t="shared" si="6"/>
        <v>201</v>
      </c>
      <c r="R9" s="51">
        <f t="shared" si="7"/>
        <v>203.01995012468828</v>
      </c>
      <c r="S9" s="46">
        <f t="shared" si="8"/>
        <v>111660.97256857855</v>
      </c>
      <c r="T9" t="str">
        <f t="shared" si="9"/>
        <v/>
      </c>
      <c r="U9">
        <f t="shared" si="10"/>
        <v>11</v>
      </c>
      <c r="Y9" t="str">
        <f>TRIM(Tabla2[[#This Row],[CONDUCTOR]])</f>
        <v>LOPEZ PINEDA DANIEL ESTIVEN</v>
      </c>
    </row>
    <row r="10" spans="1:32" x14ac:dyDescent="0.2">
      <c r="B10" s="136" t="s">
        <v>164</v>
      </c>
      <c r="C10" s="166">
        <v>8</v>
      </c>
      <c r="D10" s="151" t="s">
        <v>152</v>
      </c>
      <c r="E10" s="150">
        <v>9</v>
      </c>
      <c r="F10" s="150">
        <v>0</v>
      </c>
      <c r="G10" s="165">
        <v>160</v>
      </c>
      <c r="H10" s="226">
        <f t="shared" si="0"/>
        <v>17.777777777777779</v>
      </c>
      <c r="I10" s="227">
        <f t="shared" si="1"/>
        <v>175.1072319201995</v>
      </c>
      <c r="J10" s="363">
        <f>+Tabla2[[#This Row],[PROM DE USUARIOS]]-Tabla2[[#This Row],[USUARIOS]]</f>
        <v>15.107231920199496</v>
      </c>
      <c r="K10" s="151"/>
      <c r="L10" s="163">
        <f t="shared" si="2"/>
        <v>97172.730673316706</v>
      </c>
      <c r="M10" s="162">
        <f>+VLOOKUP(C10,Lista!B:D,3,0)</f>
        <v>0</v>
      </c>
      <c r="N10" s="366">
        <f t="shared" si="3"/>
        <v>11431.818181818182</v>
      </c>
      <c r="O10" s="50">
        <f t="shared" si="4"/>
        <v>9</v>
      </c>
      <c r="P10" s="47">
        <f t="shared" si="5"/>
        <v>166.1072319201995</v>
      </c>
      <c r="Q10" s="49">
        <f t="shared" si="6"/>
        <v>151</v>
      </c>
      <c r="R10" s="51">
        <f t="shared" si="7"/>
        <v>166.1072319201995</v>
      </c>
      <c r="S10" s="46">
        <f t="shared" si="8"/>
        <v>91358.977556109719</v>
      </c>
      <c r="T10" t="str">
        <f t="shared" si="9"/>
        <v/>
      </c>
      <c r="U10">
        <f t="shared" si="10"/>
        <v>9</v>
      </c>
      <c r="Y10" t="str">
        <f>TRIM(Tabla2[[#This Row],[CONDUCTOR]])</f>
        <v>GONZALEZ PEREZ RAFAEL JOSE</v>
      </c>
    </row>
    <row r="11" spans="1:32" x14ac:dyDescent="0.2">
      <c r="B11" s="136" t="s">
        <v>164</v>
      </c>
      <c r="C11" s="166">
        <v>9</v>
      </c>
      <c r="D11" s="151" t="s">
        <v>170</v>
      </c>
      <c r="E11" s="150">
        <v>8</v>
      </c>
      <c r="F11" s="150">
        <v>0</v>
      </c>
      <c r="G11" s="146">
        <v>130</v>
      </c>
      <c r="H11" s="226">
        <f t="shared" si="0"/>
        <v>16.25</v>
      </c>
      <c r="I11" s="227">
        <f t="shared" si="1"/>
        <v>155.6508728179551</v>
      </c>
      <c r="J11" s="363">
        <f>+Tabla2[[#This Row],[PROM DE USUARIOS]]-Tabla2[[#This Row],[USUARIOS]]</f>
        <v>25.650872817955104</v>
      </c>
      <c r="K11" s="151"/>
      <c r="L11" s="163">
        <f t="shared" si="2"/>
        <v>86375.760598503737</v>
      </c>
      <c r="M11" s="162" t="str">
        <f>+VLOOKUP(C11,Lista!B:D,3,0)</f>
        <v>MICRO</v>
      </c>
      <c r="N11" s="366">
        <f t="shared" si="3"/>
        <v>11431.818181818182</v>
      </c>
      <c r="O11" s="50">
        <f t="shared" si="4"/>
        <v>8</v>
      </c>
      <c r="P11" s="47">
        <f t="shared" si="5"/>
        <v>147.6508728179551</v>
      </c>
      <c r="Q11" s="49">
        <f t="shared" si="6"/>
        <v>122</v>
      </c>
      <c r="R11" s="51">
        <f t="shared" si="7"/>
        <v>147.6508728179551</v>
      </c>
      <c r="S11" s="46">
        <f t="shared" si="8"/>
        <v>81207.980049875303</v>
      </c>
      <c r="T11" t="str">
        <f t="shared" si="9"/>
        <v/>
      </c>
      <c r="U11">
        <f t="shared" si="10"/>
        <v>5</v>
      </c>
      <c r="Y11" t="str">
        <f>TRIM(Tabla2[[#This Row],[CONDUCTOR]])</f>
        <v>CARTAGENA RAMIREZ FREDY ALONSO</v>
      </c>
    </row>
    <row r="12" spans="1:32" x14ac:dyDescent="0.2">
      <c r="B12" s="136" t="s">
        <v>164</v>
      </c>
      <c r="C12" s="166">
        <v>14</v>
      </c>
      <c r="D12" s="151" t="s">
        <v>148</v>
      </c>
      <c r="E12" s="150">
        <v>9</v>
      </c>
      <c r="F12" s="150">
        <v>0</v>
      </c>
      <c r="G12" s="165">
        <v>158</v>
      </c>
      <c r="H12" s="226">
        <f t="shared" si="0"/>
        <v>17.555555555555557</v>
      </c>
      <c r="I12" s="227">
        <f t="shared" si="1"/>
        <v>175.1072319201995</v>
      </c>
      <c r="J12" s="363">
        <f>+Tabla2[[#This Row],[PROM DE USUARIOS]]-Tabla2[[#This Row],[USUARIOS]]</f>
        <v>17.107231920199496</v>
      </c>
      <c r="K12" s="151"/>
      <c r="L12" s="163">
        <f t="shared" si="2"/>
        <v>97172.730673316706</v>
      </c>
      <c r="M12" s="162">
        <f>+VLOOKUP(C12,Lista!B:D,3,0)</f>
        <v>0</v>
      </c>
      <c r="N12" s="366">
        <f t="shared" si="3"/>
        <v>11431.818181818182</v>
      </c>
      <c r="O12" s="50">
        <f t="shared" si="4"/>
        <v>9</v>
      </c>
      <c r="P12" s="47">
        <f t="shared" si="5"/>
        <v>166.1072319201995</v>
      </c>
      <c r="Q12" s="49">
        <f t="shared" si="6"/>
        <v>149</v>
      </c>
      <c r="R12" s="51">
        <f t="shared" si="7"/>
        <v>166.1072319201995</v>
      </c>
      <c r="S12" s="46">
        <f t="shared" si="8"/>
        <v>91358.977556109719</v>
      </c>
      <c r="T12" t="str">
        <f t="shared" si="9"/>
        <v/>
      </c>
      <c r="U12">
        <f t="shared" si="10"/>
        <v>8</v>
      </c>
      <c r="Y12" t="str">
        <f>TRIM(Tabla2[[#This Row],[CONDUCTOR]])</f>
        <v>VERENZUELA MARTINEZ ALEXANDER</v>
      </c>
    </row>
    <row r="13" spans="1:32" x14ac:dyDescent="0.2">
      <c r="B13" s="136" t="s">
        <v>164</v>
      </c>
      <c r="C13" s="137">
        <v>16</v>
      </c>
      <c r="D13" s="151" t="s">
        <v>167</v>
      </c>
      <c r="E13" s="150">
        <v>11</v>
      </c>
      <c r="F13" s="150">
        <v>0</v>
      </c>
      <c r="G13" s="146">
        <v>257</v>
      </c>
      <c r="H13" s="226">
        <f t="shared" si="0"/>
        <v>23.363636363636363</v>
      </c>
      <c r="I13" s="227">
        <f t="shared" si="1"/>
        <v>214.01995012468828</v>
      </c>
      <c r="J13" s="363">
        <f>+Tabla2[[#This Row],[PROM DE USUARIOS]]-Tabla2[[#This Row],[USUARIOS]]</f>
        <v>-42.980049875311721</v>
      </c>
      <c r="K13" s="151"/>
      <c r="L13" s="163">
        <f t="shared" si="2"/>
        <v>118766.67082294264</v>
      </c>
      <c r="M13" s="162" t="str">
        <f>+VLOOKUP(C13,Lista!B:D,3,0)</f>
        <v>MICRO</v>
      </c>
      <c r="N13" s="366">
        <f t="shared" si="3"/>
        <v>11431.818181818182</v>
      </c>
      <c r="O13" s="50">
        <f t="shared" si="4"/>
        <v>11</v>
      </c>
      <c r="P13" s="47">
        <f t="shared" si="5"/>
        <v>203.01995012468828</v>
      </c>
      <c r="Q13" s="49">
        <f t="shared" si="6"/>
        <v>246</v>
      </c>
      <c r="R13" s="51">
        <f t="shared" si="7"/>
        <v>203.01995012468828</v>
      </c>
      <c r="S13" s="46">
        <f t="shared" si="8"/>
        <v>111660.97256857855</v>
      </c>
      <c r="T13" t="str">
        <f t="shared" si="9"/>
        <v/>
      </c>
      <c r="U13">
        <f t="shared" si="10"/>
        <v>21</v>
      </c>
      <c r="Y13" t="str">
        <f>TRIM(Tabla2[[#This Row],[CONDUCTOR]])</f>
        <v>PEREZ GARCIA JUAN ESTEBAN</v>
      </c>
    </row>
    <row r="14" spans="1:32" x14ac:dyDescent="0.2">
      <c r="B14" s="136" t="s">
        <v>164</v>
      </c>
      <c r="C14" s="137">
        <v>18</v>
      </c>
      <c r="D14" s="151" t="s">
        <v>151</v>
      </c>
      <c r="E14" s="150">
        <v>9</v>
      </c>
      <c r="F14" s="150">
        <v>0</v>
      </c>
      <c r="G14" s="146">
        <v>180</v>
      </c>
      <c r="H14" s="226">
        <f t="shared" si="0"/>
        <v>20</v>
      </c>
      <c r="I14" s="227">
        <f t="shared" si="1"/>
        <v>175.1072319201995</v>
      </c>
      <c r="J14" s="363">
        <f>+Tabla2[[#This Row],[PROM DE USUARIOS]]-Tabla2[[#This Row],[USUARIOS]]</f>
        <v>-4.8927680798005042</v>
      </c>
      <c r="K14" s="151"/>
      <c r="L14" s="163">
        <f t="shared" si="2"/>
        <v>97172.730673316706</v>
      </c>
      <c r="M14" s="162" t="str">
        <f>+VLOOKUP(C14,Lista!B:D,3,0)</f>
        <v>MICRO</v>
      </c>
      <c r="N14" s="366">
        <f t="shared" si="3"/>
        <v>11431.818181818182</v>
      </c>
      <c r="O14" s="50">
        <f t="shared" si="4"/>
        <v>9</v>
      </c>
      <c r="P14" s="47">
        <f t="shared" si="5"/>
        <v>166.1072319201995</v>
      </c>
      <c r="Q14" s="49">
        <f t="shared" si="6"/>
        <v>171</v>
      </c>
      <c r="R14" s="51">
        <f t="shared" si="7"/>
        <v>166.1072319201995</v>
      </c>
      <c r="S14" s="46">
        <f t="shared" si="8"/>
        <v>91358.977556109719</v>
      </c>
      <c r="T14" t="str">
        <f t="shared" si="9"/>
        <v/>
      </c>
      <c r="U14">
        <f t="shared" si="10"/>
        <v>14</v>
      </c>
      <c r="Y14" t="str">
        <f>TRIM(Tabla2[[#This Row],[CONDUCTOR]])</f>
        <v>ALBERTO ARISTIZABAL RAFAEL</v>
      </c>
    </row>
    <row r="15" spans="1:32" x14ac:dyDescent="0.2">
      <c r="B15" s="136" t="s">
        <v>164</v>
      </c>
      <c r="C15" s="166">
        <v>20</v>
      </c>
      <c r="D15" s="151" t="s">
        <v>158</v>
      </c>
      <c r="E15" s="150">
        <v>9</v>
      </c>
      <c r="F15" s="150">
        <v>0</v>
      </c>
      <c r="G15" s="165">
        <v>200</v>
      </c>
      <c r="H15" s="226">
        <f t="shared" si="0"/>
        <v>22.222222222222221</v>
      </c>
      <c r="I15" s="227">
        <f t="shared" si="1"/>
        <v>175.1072319201995</v>
      </c>
      <c r="J15" s="363">
        <f>+Tabla2[[#This Row],[PROM DE USUARIOS]]-Tabla2[[#This Row],[USUARIOS]]</f>
        <v>-24.892768079800504</v>
      </c>
      <c r="K15" s="151"/>
      <c r="L15" s="163">
        <f t="shared" si="2"/>
        <v>97172.730673316706</v>
      </c>
      <c r="M15" s="162" t="str">
        <f>+VLOOKUP(C15,Lista!B:D,3,0)</f>
        <v>MICRO</v>
      </c>
      <c r="N15" s="366">
        <f t="shared" si="3"/>
        <v>11431.818181818182</v>
      </c>
      <c r="O15" s="50">
        <f t="shared" si="4"/>
        <v>9</v>
      </c>
      <c r="P15" s="47">
        <f t="shared" si="5"/>
        <v>166.1072319201995</v>
      </c>
      <c r="Q15" s="49">
        <f t="shared" si="6"/>
        <v>191</v>
      </c>
      <c r="R15" s="51">
        <f t="shared" si="7"/>
        <v>166.1072319201995</v>
      </c>
      <c r="S15" s="46">
        <f t="shared" si="8"/>
        <v>91358.977556109719</v>
      </c>
      <c r="T15" t="str">
        <f t="shared" si="9"/>
        <v/>
      </c>
      <c r="U15">
        <f t="shared" si="10"/>
        <v>18</v>
      </c>
      <c r="Y15" t="str">
        <f>TRIM(Tabla2[[#This Row],[CONDUCTOR]])</f>
        <v>MURILLO YOIMAR ANDRES</v>
      </c>
    </row>
    <row r="16" spans="1:32" x14ac:dyDescent="0.2">
      <c r="B16" s="136" t="s">
        <v>164</v>
      </c>
      <c r="C16" s="166">
        <v>21</v>
      </c>
      <c r="D16" s="151" t="s">
        <v>159</v>
      </c>
      <c r="E16" s="150">
        <v>10</v>
      </c>
      <c r="F16" s="150"/>
      <c r="G16" s="165">
        <v>263</v>
      </c>
      <c r="H16" s="226">
        <f t="shared" si="0"/>
        <v>26.3</v>
      </c>
      <c r="I16" s="227">
        <f t="shared" si="1"/>
        <v>194.56359102244389</v>
      </c>
      <c r="J16" s="363">
        <f>+Tabla2[[#This Row],[PROM DE USUARIOS]]-Tabla2[[#This Row],[USUARIOS]]</f>
        <v>-68.436408977556113</v>
      </c>
      <c r="K16" s="151"/>
      <c r="L16" s="163">
        <f t="shared" si="2"/>
        <v>107969.70074812968</v>
      </c>
      <c r="M16" s="162" t="str">
        <f>+VLOOKUP(C16,Lista!B:D,3,0)</f>
        <v>MICRO</v>
      </c>
      <c r="N16" s="366">
        <f t="shared" si="3"/>
        <v>11431.818181818182</v>
      </c>
      <c r="O16" s="50">
        <f t="shared" si="4"/>
        <v>10</v>
      </c>
      <c r="P16" s="47">
        <f t="shared" si="5"/>
        <v>184.56359102244389</v>
      </c>
      <c r="Q16" s="49">
        <f t="shared" si="6"/>
        <v>253</v>
      </c>
      <c r="R16" s="51">
        <f t="shared" si="7"/>
        <v>184.56359102244389</v>
      </c>
      <c r="S16" s="46">
        <f t="shared" si="8"/>
        <v>101509.97506234414</v>
      </c>
      <c r="T16" t="str">
        <f t="shared" si="9"/>
        <v/>
      </c>
      <c r="U16">
        <f t="shared" si="10"/>
        <v>23</v>
      </c>
      <c r="Y16" t="str">
        <f>TRIM(Tabla2[[#This Row],[CONDUCTOR]])</f>
        <v>DAVID HENRY GIOVANNY</v>
      </c>
    </row>
    <row r="17" spans="2:25" x14ac:dyDescent="0.2">
      <c r="B17" s="136" t="s">
        <v>164</v>
      </c>
      <c r="C17" s="166">
        <v>22</v>
      </c>
      <c r="D17" s="151" t="s">
        <v>155</v>
      </c>
      <c r="E17" s="150">
        <v>9</v>
      </c>
      <c r="F17" s="150"/>
      <c r="G17" s="146">
        <v>154</v>
      </c>
      <c r="H17" s="226">
        <f t="shared" si="0"/>
        <v>17.111111111111111</v>
      </c>
      <c r="I17" s="227">
        <f t="shared" si="1"/>
        <v>175.1072319201995</v>
      </c>
      <c r="J17" s="363">
        <f>+Tabla2[[#This Row],[PROM DE USUARIOS]]-Tabla2[[#This Row],[USUARIOS]]</f>
        <v>21.107231920199496</v>
      </c>
      <c r="K17" s="151"/>
      <c r="L17" s="163">
        <f t="shared" si="2"/>
        <v>97172.730673316706</v>
      </c>
      <c r="M17" s="162">
        <f>+VLOOKUP(C17,Lista!B:D,3,0)</f>
        <v>0</v>
      </c>
      <c r="N17" s="366">
        <f t="shared" si="3"/>
        <v>11431.818181818182</v>
      </c>
      <c r="O17" s="50">
        <f t="shared" si="4"/>
        <v>9</v>
      </c>
      <c r="P17" s="47">
        <f t="shared" si="5"/>
        <v>166.1072319201995</v>
      </c>
      <c r="Q17" s="49">
        <f t="shared" si="6"/>
        <v>145</v>
      </c>
      <c r="R17" s="51">
        <f t="shared" si="7"/>
        <v>166.1072319201995</v>
      </c>
      <c r="S17" s="46">
        <f t="shared" si="8"/>
        <v>91358.977556109719</v>
      </c>
      <c r="T17" t="str">
        <f t="shared" si="9"/>
        <v/>
      </c>
      <c r="U17">
        <f t="shared" si="10"/>
        <v>7</v>
      </c>
      <c r="Y17" t="str">
        <f>TRIM(Tabla2[[#This Row],[CONDUCTOR]])</f>
        <v>QUIRAMA CASTAÑEDA JHON JADER</v>
      </c>
    </row>
    <row r="18" spans="2:25" x14ac:dyDescent="0.2">
      <c r="B18" s="136" t="s">
        <v>164</v>
      </c>
      <c r="C18" s="166">
        <v>24</v>
      </c>
      <c r="D18" s="151" t="s">
        <v>160</v>
      </c>
      <c r="E18" s="150">
        <v>9</v>
      </c>
      <c r="F18" s="150">
        <v>0</v>
      </c>
      <c r="G18" s="165">
        <v>180</v>
      </c>
      <c r="H18" s="226">
        <f t="shared" si="0"/>
        <v>20</v>
      </c>
      <c r="I18" s="227">
        <f t="shared" si="1"/>
        <v>175.1072319201995</v>
      </c>
      <c r="J18" s="363">
        <f>+Tabla2[[#This Row],[PROM DE USUARIOS]]-Tabla2[[#This Row],[USUARIOS]]</f>
        <v>-4.8927680798005042</v>
      </c>
      <c r="K18" s="151" t="s">
        <v>171</v>
      </c>
      <c r="L18" s="163">
        <f t="shared" si="2"/>
        <v>97172.730673316706</v>
      </c>
      <c r="M18" s="162" t="str">
        <f>+VLOOKUP(C18,Lista!B:D,3,0)</f>
        <v>MICRO</v>
      </c>
      <c r="N18" s="366">
        <f t="shared" si="3"/>
        <v>11431.818181818182</v>
      </c>
      <c r="O18" s="50">
        <f t="shared" si="4"/>
        <v>9</v>
      </c>
      <c r="P18" s="47">
        <f t="shared" si="5"/>
        <v>166.1072319201995</v>
      </c>
      <c r="Q18" s="49">
        <f t="shared" si="6"/>
        <v>171</v>
      </c>
      <c r="R18" s="51">
        <f t="shared" si="7"/>
        <v>166.1072319201995</v>
      </c>
      <c r="S18" s="46">
        <f t="shared" si="8"/>
        <v>91358.977556109719</v>
      </c>
      <c r="T18" t="str">
        <f t="shared" si="9"/>
        <v xml:space="preserve">2 Descuentos (Conducts) </v>
      </c>
      <c r="U18">
        <f t="shared" si="10"/>
        <v>14</v>
      </c>
      <c r="Y18" t="str">
        <f>TRIM(Tabla2[[#This Row],[CONDUCTOR]])</f>
        <v>JIMENEZ HERNANDEZ ESTEBAN CAMILO</v>
      </c>
    </row>
    <row r="19" spans="2:25" x14ac:dyDescent="0.2">
      <c r="B19" s="136" t="s">
        <v>164</v>
      </c>
      <c r="C19" s="166">
        <v>26</v>
      </c>
      <c r="D19" s="151" t="s">
        <v>153</v>
      </c>
      <c r="E19" s="150">
        <v>12</v>
      </c>
      <c r="F19" s="150">
        <v>0</v>
      </c>
      <c r="G19" s="165">
        <v>205</v>
      </c>
      <c r="H19" s="226">
        <f t="shared" si="0"/>
        <v>17.083333333333332</v>
      </c>
      <c r="I19" s="227">
        <f t="shared" si="1"/>
        <v>233.47630922693264</v>
      </c>
      <c r="J19" s="363">
        <f>+Tabla2[[#This Row],[PROM DE USUARIOS]]-Tabla2[[#This Row],[USUARIOS]]</f>
        <v>28.476309226932642</v>
      </c>
      <c r="K19" s="151"/>
      <c r="L19" s="163">
        <f t="shared" si="2"/>
        <v>129563.6408977556</v>
      </c>
      <c r="M19" s="162" t="str">
        <f>+VLOOKUP(C19,Lista!B:D,3,0)</f>
        <v>MICRO</v>
      </c>
      <c r="N19" s="366">
        <f t="shared" si="3"/>
        <v>11431.818181818182</v>
      </c>
      <c r="O19" s="50">
        <f t="shared" si="4"/>
        <v>12</v>
      </c>
      <c r="P19" s="47">
        <f t="shared" si="5"/>
        <v>221.47630922693264</v>
      </c>
      <c r="Q19" s="49">
        <f t="shared" si="6"/>
        <v>193</v>
      </c>
      <c r="R19" s="51">
        <f t="shared" si="7"/>
        <v>221.47630922693264</v>
      </c>
      <c r="S19" s="46">
        <f t="shared" si="8"/>
        <v>121811.97007481295</v>
      </c>
      <c r="T19" t="str">
        <f t="shared" si="9"/>
        <v/>
      </c>
      <c r="U19">
        <f t="shared" si="10"/>
        <v>6</v>
      </c>
      <c r="Y19" t="str">
        <f>TRIM(Tabla2[[#This Row],[CONDUCTOR]])</f>
        <v>SUAREZ ESCUDERO JONATAN</v>
      </c>
    </row>
    <row r="20" spans="2:25" x14ac:dyDescent="0.2">
      <c r="B20" s="136" t="s">
        <v>164</v>
      </c>
      <c r="C20" s="166">
        <v>30</v>
      </c>
      <c r="D20" s="151" t="s">
        <v>154</v>
      </c>
      <c r="E20" s="150">
        <v>9</v>
      </c>
      <c r="F20" s="150">
        <v>0</v>
      </c>
      <c r="G20" s="165">
        <v>185</v>
      </c>
      <c r="H20" s="226">
        <f t="shared" si="0"/>
        <v>20.555555555555557</v>
      </c>
      <c r="I20" s="227">
        <f t="shared" si="1"/>
        <v>175.1072319201995</v>
      </c>
      <c r="J20" s="363">
        <f>+Tabla2[[#This Row],[PROM DE USUARIOS]]-Tabla2[[#This Row],[USUARIOS]]</f>
        <v>-9.8927680798005042</v>
      </c>
      <c r="K20" s="151"/>
      <c r="L20" s="163">
        <f t="shared" si="2"/>
        <v>97172.730673316706</v>
      </c>
      <c r="M20" s="162">
        <f>+VLOOKUP(C20,Lista!B:D,3,0)</f>
        <v>0</v>
      </c>
      <c r="N20" s="366">
        <f t="shared" si="3"/>
        <v>11431.818181818182</v>
      </c>
      <c r="O20" s="50">
        <f t="shared" si="4"/>
        <v>9</v>
      </c>
      <c r="P20" s="47">
        <f t="shared" si="5"/>
        <v>166.1072319201995</v>
      </c>
      <c r="Q20" s="49">
        <f t="shared" si="6"/>
        <v>176</v>
      </c>
      <c r="R20" s="51">
        <f t="shared" si="7"/>
        <v>166.1072319201995</v>
      </c>
      <c r="S20" s="46">
        <f t="shared" si="8"/>
        <v>91358.977556109719</v>
      </c>
      <c r="T20" t="str">
        <f t="shared" si="9"/>
        <v/>
      </c>
      <c r="U20">
        <f t="shared" si="10"/>
        <v>16</v>
      </c>
      <c r="Y20" t="str">
        <f>TRIM(Tabla2[[#This Row],[CONDUCTOR]])</f>
        <v>AGUDELO GARCIA LLORDIN ELIAS</v>
      </c>
    </row>
    <row r="21" spans="2:25" x14ac:dyDescent="0.2">
      <c r="B21" s="136" t="s">
        <v>164</v>
      </c>
      <c r="C21" s="166">
        <v>32</v>
      </c>
      <c r="D21" s="151" t="s">
        <v>168</v>
      </c>
      <c r="E21" s="150">
        <v>9</v>
      </c>
      <c r="F21" s="150">
        <v>0</v>
      </c>
      <c r="G21" s="165">
        <v>119</v>
      </c>
      <c r="H21" s="226">
        <f t="shared" si="0"/>
        <v>13.222222222222221</v>
      </c>
      <c r="I21" s="227">
        <f t="shared" si="1"/>
        <v>175.1072319201995</v>
      </c>
      <c r="J21" s="363">
        <f>+Tabla2[[#This Row],[PROM DE USUARIOS]]-Tabla2[[#This Row],[USUARIOS]]</f>
        <v>56.107231920199496</v>
      </c>
      <c r="K21" s="151" t="s">
        <v>172</v>
      </c>
      <c r="L21" s="163">
        <f t="shared" si="2"/>
        <v>97172.730673316706</v>
      </c>
      <c r="M21" s="162" t="str">
        <f>+VLOOKUP(C21,Lista!B:D,3,0)</f>
        <v>MICRO</v>
      </c>
      <c r="N21" s="366">
        <f t="shared" si="3"/>
        <v>11431.818181818182</v>
      </c>
      <c r="O21" s="50">
        <f t="shared" si="4"/>
        <v>9</v>
      </c>
      <c r="P21" s="47">
        <f t="shared" si="5"/>
        <v>166.1072319201995</v>
      </c>
      <c r="Q21" s="49">
        <f t="shared" si="6"/>
        <v>110</v>
      </c>
      <c r="R21" s="51">
        <f t="shared" si="7"/>
        <v>166.1072319201995</v>
      </c>
      <c r="S21" s="46">
        <f t="shared" si="8"/>
        <v>91358.977556109719</v>
      </c>
      <c r="T21" t="str">
        <f t="shared" si="9"/>
        <v xml:space="preserve">1 Descuento (Despachador) </v>
      </c>
      <c r="U21">
        <f t="shared" si="10"/>
        <v>1</v>
      </c>
      <c r="Y21" t="str">
        <f>TRIM(Tabla2[[#This Row],[CONDUCTOR]])</f>
        <v>LAYOS JIMENEZ JOHAN CAMILO</v>
      </c>
    </row>
    <row r="22" spans="2:25" x14ac:dyDescent="0.2">
      <c r="B22" s="136" t="s">
        <v>164</v>
      </c>
      <c r="C22" s="166">
        <v>36</v>
      </c>
      <c r="D22" s="151" t="s">
        <v>169</v>
      </c>
      <c r="E22" s="150">
        <v>10</v>
      </c>
      <c r="F22" s="150">
        <v>0</v>
      </c>
      <c r="G22" s="165">
        <v>161</v>
      </c>
      <c r="H22" s="226">
        <f t="shared" si="0"/>
        <v>16.100000000000001</v>
      </c>
      <c r="I22" s="227">
        <f t="shared" si="1"/>
        <v>194.56359102244389</v>
      </c>
      <c r="J22" s="363">
        <f>+Tabla2[[#This Row],[PROM DE USUARIOS]]-Tabla2[[#This Row],[USUARIOS]]</f>
        <v>33.563591022443887</v>
      </c>
      <c r="K22" s="151"/>
      <c r="L22" s="163">
        <f t="shared" si="2"/>
        <v>107969.70074812968</v>
      </c>
      <c r="M22" s="162" t="str">
        <f>+VLOOKUP(C22,Lista!B:D,3,0)</f>
        <v>MICRO</v>
      </c>
      <c r="N22" s="366">
        <f t="shared" si="3"/>
        <v>11431.818181818182</v>
      </c>
      <c r="O22" s="50">
        <f t="shared" si="4"/>
        <v>10</v>
      </c>
      <c r="P22" s="47">
        <f t="shared" si="5"/>
        <v>184.56359102244389</v>
      </c>
      <c r="Q22" s="49">
        <f t="shared" si="6"/>
        <v>151</v>
      </c>
      <c r="R22" s="51">
        <f t="shared" si="7"/>
        <v>184.56359102244389</v>
      </c>
      <c r="S22" s="46">
        <f t="shared" si="8"/>
        <v>101509.97506234414</v>
      </c>
      <c r="T22" t="str">
        <f t="shared" si="9"/>
        <v/>
      </c>
      <c r="U22">
        <f t="shared" si="10"/>
        <v>4</v>
      </c>
      <c r="Y22" t="str">
        <f>TRIM(Tabla2[[#This Row],[CONDUCTOR]])</f>
        <v>JARAMILLO JARAMILLO FRANCISCO WBEIMAR</v>
      </c>
    </row>
    <row r="23" spans="2:25" x14ac:dyDescent="0.2">
      <c r="B23" s="136" t="s">
        <v>164</v>
      </c>
      <c r="C23" s="166">
        <v>37</v>
      </c>
      <c r="D23" s="151" t="s">
        <v>156</v>
      </c>
      <c r="E23" s="150">
        <v>9</v>
      </c>
      <c r="F23" s="150">
        <v>0</v>
      </c>
      <c r="G23" s="165">
        <v>201</v>
      </c>
      <c r="H23" s="226">
        <f t="shared" si="0"/>
        <v>22.333333333333332</v>
      </c>
      <c r="I23" s="227">
        <f t="shared" si="1"/>
        <v>175.1072319201995</v>
      </c>
      <c r="J23" s="363">
        <f>+Tabla2[[#This Row],[PROM DE USUARIOS]]-Tabla2[[#This Row],[USUARIOS]]</f>
        <v>-25.892768079800504</v>
      </c>
      <c r="K23" s="151"/>
      <c r="L23" s="163">
        <f t="shared" si="2"/>
        <v>97172.730673316706</v>
      </c>
      <c r="M23" s="162">
        <f>+VLOOKUP(C23,Lista!B:D,3,0)</f>
        <v>0</v>
      </c>
      <c r="N23" s="366">
        <f t="shared" si="3"/>
        <v>11431.818181818182</v>
      </c>
      <c r="O23" s="50">
        <f t="shared" si="4"/>
        <v>9</v>
      </c>
      <c r="P23" s="47">
        <f t="shared" si="5"/>
        <v>166.1072319201995</v>
      </c>
      <c r="Q23" s="49">
        <f t="shared" si="6"/>
        <v>192</v>
      </c>
      <c r="R23" s="51">
        <f t="shared" si="7"/>
        <v>166.1072319201995</v>
      </c>
      <c r="S23" s="46">
        <f t="shared" si="8"/>
        <v>91358.977556109719</v>
      </c>
      <c r="T23" t="str">
        <f t="shared" si="9"/>
        <v/>
      </c>
      <c r="U23">
        <f t="shared" si="10"/>
        <v>19</v>
      </c>
      <c r="Y23" t="str">
        <f>TRIM(Tabla2[[#This Row],[CONDUCTOR]])</f>
        <v>GUTIERREZ ARICAPA DANIEL HUMBERTO</v>
      </c>
    </row>
    <row r="24" spans="2:25" x14ac:dyDescent="0.2">
      <c r="B24" s="136" t="s">
        <v>164</v>
      </c>
      <c r="C24" s="166">
        <v>38</v>
      </c>
      <c r="D24" s="151" t="s">
        <v>157</v>
      </c>
      <c r="E24" s="150">
        <v>9</v>
      </c>
      <c r="F24" s="150">
        <v>0</v>
      </c>
      <c r="G24" s="146">
        <v>218</v>
      </c>
      <c r="H24" s="226">
        <f t="shared" si="0"/>
        <v>24.222222222222221</v>
      </c>
      <c r="I24" s="364">
        <f t="shared" si="1"/>
        <v>175.1072319201995</v>
      </c>
      <c r="J24" s="363">
        <f>+Tabla2[[#This Row],[PROM DE USUARIOS]]-Tabla2[[#This Row],[USUARIOS]]</f>
        <v>-42.892768079800504</v>
      </c>
      <c r="K24" s="151" t="s">
        <v>172</v>
      </c>
      <c r="L24" s="163">
        <f t="shared" si="2"/>
        <v>97172.730673316706</v>
      </c>
      <c r="M24" s="162" t="str">
        <f>+VLOOKUP(C24,Lista!B:D,3,0)</f>
        <v>MICRO</v>
      </c>
      <c r="N24" s="366">
        <f t="shared" si="3"/>
        <v>11431.818181818182</v>
      </c>
      <c r="O24" s="50">
        <f t="shared" si="4"/>
        <v>9</v>
      </c>
      <c r="P24" s="47">
        <f t="shared" si="5"/>
        <v>166.1072319201995</v>
      </c>
      <c r="Q24" s="49">
        <f t="shared" si="6"/>
        <v>209</v>
      </c>
      <c r="R24" s="51">
        <f t="shared" si="7"/>
        <v>166.1072319201995</v>
      </c>
      <c r="S24" s="46">
        <f t="shared" si="8"/>
        <v>91358.977556109719</v>
      </c>
      <c r="T24" t="str">
        <f t="shared" si="9"/>
        <v xml:space="preserve">1 Descuento (Despachador) </v>
      </c>
      <c r="U24">
        <f t="shared" si="10"/>
        <v>22</v>
      </c>
      <c r="Y24" t="str">
        <f>TRIM(Tabla2[[#This Row],[CONDUCTOR]])</f>
        <v>GONZALEZ IPUANA RENE</v>
      </c>
    </row>
    <row r="25" spans="2:25" x14ac:dyDescent="0.2">
      <c r="B25" s="136" t="s">
        <v>164</v>
      </c>
      <c r="C25" s="166">
        <v>39</v>
      </c>
      <c r="D25" s="151" t="s">
        <v>163</v>
      </c>
      <c r="E25" s="150">
        <v>7</v>
      </c>
      <c r="F25" s="150">
        <v>0</v>
      </c>
      <c r="G25" s="165">
        <v>137</v>
      </c>
      <c r="H25" s="226">
        <f t="shared" si="0"/>
        <v>19.571428571428573</v>
      </c>
      <c r="I25" s="227">
        <f t="shared" si="1"/>
        <v>136.19451371571071</v>
      </c>
      <c r="J25" s="363">
        <f>+Tabla2[[#This Row],[PROM DE USUARIOS]]-Tabla2[[#This Row],[USUARIOS]]</f>
        <v>-0.80548628428928737</v>
      </c>
      <c r="K25" s="151"/>
      <c r="L25" s="163">
        <f t="shared" si="2"/>
        <v>75578.790523690768</v>
      </c>
      <c r="M25" s="162" t="str">
        <f>+VLOOKUP(C25,Lista!B:D,3,0)</f>
        <v>MICRO</v>
      </c>
      <c r="N25" s="366">
        <f t="shared" si="3"/>
        <v>11431.818181818182</v>
      </c>
      <c r="O25" s="50">
        <f t="shared" si="4"/>
        <v>7</v>
      </c>
      <c r="P25" s="47">
        <f t="shared" si="5"/>
        <v>129.19451371571071</v>
      </c>
      <c r="Q25" s="49">
        <f t="shared" si="6"/>
        <v>130</v>
      </c>
      <c r="R25" s="51">
        <f t="shared" si="7"/>
        <v>129.19451371571071</v>
      </c>
      <c r="S25" s="46">
        <f t="shared" si="8"/>
        <v>71056.982543640886</v>
      </c>
      <c r="T25" t="str">
        <f t="shared" si="9"/>
        <v/>
      </c>
      <c r="U25">
        <f t="shared" si="10"/>
        <v>13</v>
      </c>
      <c r="Y25" t="str">
        <f>TRIM(Tabla2[[#This Row],[CONDUCTOR]])</f>
        <v>PALMAR PANA EDIXON JOSUE</v>
      </c>
    </row>
    <row r="26" spans="2:25" x14ac:dyDescent="0.2">
      <c r="B26" s="136" t="s">
        <v>164</v>
      </c>
      <c r="C26" s="137">
        <v>40</v>
      </c>
      <c r="D26" s="151" t="s">
        <v>161</v>
      </c>
      <c r="E26" s="150">
        <v>9</v>
      </c>
      <c r="F26" s="150">
        <v>0</v>
      </c>
      <c r="G26" s="165">
        <v>204</v>
      </c>
      <c r="H26" s="226">
        <f t="shared" si="0"/>
        <v>22.666666666666668</v>
      </c>
      <c r="I26" s="227">
        <f t="shared" si="1"/>
        <v>175.1072319201995</v>
      </c>
      <c r="J26" s="363">
        <f>+Tabla2[[#This Row],[PROM DE USUARIOS]]-Tabla2[[#This Row],[USUARIOS]]</f>
        <v>-28.892768079800504</v>
      </c>
      <c r="K26" s="151" t="s">
        <v>173</v>
      </c>
      <c r="L26" s="163">
        <f t="shared" si="2"/>
        <v>97172.730673316706</v>
      </c>
      <c r="M26" s="162" t="str">
        <f>+VLOOKUP(C26,Lista!B:D,3,0)</f>
        <v>MICRO</v>
      </c>
      <c r="N26" s="366">
        <f t="shared" si="3"/>
        <v>11431.818181818182</v>
      </c>
      <c r="O26" s="50">
        <f t="shared" si="4"/>
        <v>9</v>
      </c>
      <c r="P26" s="47">
        <f t="shared" si="5"/>
        <v>166.1072319201995</v>
      </c>
      <c r="Q26" s="49">
        <f t="shared" si="6"/>
        <v>195</v>
      </c>
      <c r="R26" s="51">
        <f t="shared" si="7"/>
        <v>166.1072319201995</v>
      </c>
      <c r="S26" s="46">
        <f t="shared" si="8"/>
        <v>91358.977556109719</v>
      </c>
      <c r="T26" t="str">
        <f t="shared" si="9"/>
        <v xml:space="preserve">4 Descuentos (Conducts) </v>
      </c>
      <c r="U26">
        <f t="shared" si="10"/>
        <v>20</v>
      </c>
      <c r="Y26" t="str">
        <f>TRIM(Tabla2[[#This Row],[CONDUCTOR]])</f>
        <v>OCAMPO OCAMPO ANTONIO JOSE</v>
      </c>
    </row>
    <row r="27" spans="2:25" x14ac:dyDescent="0.2">
      <c r="B27" s="136" t="s">
        <v>164</v>
      </c>
      <c r="C27" s="166">
        <v>42</v>
      </c>
      <c r="D27" s="151" t="s">
        <v>165</v>
      </c>
      <c r="E27" s="150">
        <v>9</v>
      </c>
      <c r="F27" s="150">
        <v>0</v>
      </c>
      <c r="G27" s="165">
        <v>194</v>
      </c>
      <c r="H27" s="226">
        <f t="shared" si="0"/>
        <v>21.555555555555557</v>
      </c>
      <c r="I27" s="227">
        <f t="shared" si="1"/>
        <v>175.1072319201995</v>
      </c>
      <c r="J27" s="363">
        <f>+Tabla2[[#This Row],[PROM DE USUARIOS]]-Tabla2[[#This Row],[USUARIOS]]</f>
        <v>-18.892768079800504</v>
      </c>
      <c r="K27" s="151"/>
      <c r="L27" s="163">
        <f t="shared" si="2"/>
        <v>97172.730673316706</v>
      </c>
      <c r="M27" s="162">
        <f>+VLOOKUP(C27,Lista!B:D,3,0)</f>
        <v>0</v>
      </c>
      <c r="N27" s="366">
        <f t="shared" si="3"/>
        <v>11431.818181818182</v>
      </c>
      <c r="O27" s="50">
        <f t="shared" si="4"/>
        <v>9</v>
      </c>
      <c r="P27" s="47">
        <f t="shared" si="5"/>
        <v>166.1072319201995</v>
      </c>
      <c r="Q27" s="49">
        <f t="shared" si="6"/>
        <v>185</v>
      </c>
      <c r="R27" s="51">
        <f t="shared" si="7"/>
        <v>166.1072319201995</v>
      </c>
      <c r="S27" s="46">
        <f t="shared" si="8"/>
        <v>91358.977556109719</v>
      </c>
      <c r="T27" t="str">
        <f t="shared" si="9"/>
        <v/>
      </c>
      <c r="U27">
        <f t="shared" si="10"/>
        <v>17</v>
      </c>
      <c r="Y27" t="str">
        <f>TRIM(Tabla2[[#This Row],[CONDUCTOR]])</f>
        <v>AGUDELO GARCIA DENIN ANGELO</v>
      </c>
    </row>
    <row r="28" spans="2:25" x14ac:dyDescent="0.2">
      <c r="B28" s="136" t="s">
        <v>164</v>
      </c>
      <c r="C28" s="166">
        <v>44</v>
      </c>
      <c r="D28" s="151" t="s">
        <v>166</v>
      </c>
      <c r="E28" s="150">
        <v>12</v>
      </c>
      <c r="F28" s="150">
        <v>0</v>
      </c>
      <c r="G28" s="165">
        <v>190</v>
      </c>
      <c r="H28" s="226">
        <f t="shared" si="0"/>
        <v>15.833333333333334</v>
      </c>
      <c r="I28" s="227">
        <f t="shared" si="1"/>
        <v>233.47630922693264</v>
      </c>
      <c r="J28" s="363">
        <f>+Tabla2[[#This Row],[PROM DE USUARIOS]]-Tabla2[[#This Row],[USUARIOS]]</f>
        <v>43.476309226932642</v>
      </c>
      <c r="K28" s="151"/>
      <c r="L28" s="163">
        <f t="shared" si="2"/>
        <v>129563.6408977556</v>
      </c>
      <c r="M28" s="162">
        <f>+VLOOKUP(C28,Lista!B:D,3,0)</f>
        <v>0</v>
      </c>
      <c r="N28" s="366">
        <f t="shared" si="3"/>
        <v>11431.818181818182</v>
      </c>
      <c r="O28" s="50">
        <f t="shared" ref="O28" si="11">+(E28*1)-V28</f>
        <v>12</v>
      </c>
      <c r="P28" s="47">
        <f t="shared" ref="P28" si="12">+I28-O28-W28</f>
        <v>221.47630922693264</v>
      </c>
      <c r="Q28" s="49">
        <f t="shared" ref="Q28" si="13">+G28-O28</f>
        <v>178</v>
      </c>
      <c r="R28" s="51">
        <f t="shared" ref="R28" si="14">+E28*$T$3</f>
        <v>221.47630922693264</v>
      </c>
      <c r="S28" s="46">
        <f t="shared" si="8"/>
        <v>121811.97007481295</v>
      </c>
      <c r="T28" t="str">
        <f t="shared" ref="T28" si="15">+IF(K28&lt;&gt;"",K28,"")</f>
        <v/>
      </c>
      <c r="U28">
        <f t="shared" si="10"/>
        <v>3</v>
      </c>
      <c r="Y28" t="str">
        <f>TRIM(Tabla2[[#This Row],[CONDUCTOR]])</f>
        <v>MARIN ALZATE KEVIN ANDRES</v>
      </c>
    </row>
    <row r="29" spans="2:25" x14ac:dyDescent="0.2">
      <c r="B29" s="232"/>
      <c r="C29" s="239">
        <f>SUBTOTAL(102,Tabla2[VEH])</f>
        <v>22</v>
      </c>
      <c r="D29" s="233" t="s">
        <v>127</v>
      </c>
      <c r="E29" s="234">
        <f>SUBTOTAL(109,Tabla2[VIAJES])</f>
        <v>200.5</v>
      </c>
      <c r="F29" s="234">
        <f>SUBTOTAL(109,Tabla2[VIAJES PERD.])</f>
        <v>0.5</v>
      </c>
      <c r="G29" s="240">
        <f>SUBTOTAL(109,Tabla2[USUARIOS])</f>
        <v>3901</v>
      </c>
      <c r="H29" s="368">
        <f>+Tabla2[[#Totals],[USUARIOS]]/Tabla2[[#Totals],[VIAJES]]</f>
        <v>19.456359102244388</v>
      </c>
      <c r="I29" s="240">
        <f>SUBTOTAL(109,Tabla2[PROM DE USUARIOS])</f>
        <v>3900.9999999999991</v>
      </c>
      <c r="J29" s="367">
        <f>SUBTOTAL(109,Tabla2[RECIBE / ENTREGA])</f>
        <v>-1.5631940186722204E-13</v>
      </c>
      <c r="K29" s="235" t="s">
        <v>174</v>
      </c>
      <c r="L29" s="236"/>
      <c r="M29" s="237"/>
      <c r="N29" s="238">
        <f>SUBTOTAL(109,Tabla2[DIFER. MICRO - BUS ])</f>
        <v>251499.99999999991</v>
      </c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ref="S29:S45" si="16">+R29*550</f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6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6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6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6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6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6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6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6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55"/>
      <c r="D38" s="247"/>
      <c r="E38" s="248"/>
      <c r="F38" s="248"/>
      <c r="G38" s="199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6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6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6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6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6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6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6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16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21">+(E92*1)-V50</f>
        <v>0</v>
      </c>
      <c r="P50" s="134">
        <f t="shared" ref="P50:P55" si="22">+I92-O50-W50</f>
        <v>0</v>
      </c>
      <c r="Q50" s="11">
        <f t="shared" ref="Q50:Q55" si="23">+G92-O50</f>
        <v>0</v>
      </c>
      <c r="R50">
        <f t="shared" ref="R50:R55" si="24">+E92*$T$3</f>
        <v>0</v>
      </c>
      <c r="S50">
        <f t="shared" ref="S50:S55" si="25">+R50*550</f>
        <v>0</v>
      </c>
      <c r="T50" t="str">
        <f t="shared" ref="T50:T55" si="26">+IF(K92&lt;&gt;"",K92,"")</f>
        <v/>
      </c>
      <c r="U50" t="e">
        <f t="shared" ref="U50:U55" si="27">+RANK(H92,$H$6:$H$1048576,1)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21"/>
        <v>0</v>
      </c>
      <c r="P51" s="134">
        <f t="shared" si="22"/>
        <v>0</v>
      </c>
      <c r="Q51" s="11">
        <f t="shared" si="23"/>
        <v>0</v>
      </c>
      <c r="R51">
        <f t="shared" si="24"/>
        <v>0</v>
      </c>
      <c r="S51">
        <f t="shared" si="25"/>
        <v>0</v>
      </c>
      <c r="T51" t="str">
        <f t="shared" si="26"/>
        <v/>
      </c>
      <c r="U51" t="e">
        <f t="shared" si="27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21"/>
        <v>0</v>
      </c>
      <c r="P52" s="134">
        <f t="shared" si="22"/>
        <v>0</v>
      </c>
      <c r="Q52" s="11">
        <f t="shared" si="23"/>
        <v>0</v>
      </c>
      <c r="R52">
        <f t="shared" si="24"/>
        <v>0</v>
      </c>
      <c r="S52">
        <f t="shared" si="25"/>
        <v>0</v>
      </c>
      <c r="T52" t="str">
        <f t="shared" si="26"/>
        <v/>
      </c>
      <c r="U52" t="e">
        <f t="shared" si="27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21"/>
        <v>0</v>
      </c>
      <c r="P53" s="134">
        <f t="shared" si="22"/>
        <v>0</v>
      </c>
      <c r="Q53" s="11">
        <f t="shared" si="23"/>
        <v>0</v>
      </c>
      <c r="R53">
        <f t="shared" si="24"/>
        <v>0</v>
      </c>
      <c r="S53">
        <f t="shared" si="25"/>
        <v>0</v>
      </c>
      <c r="T53" t="str">
        <f t="shared" si="26"/>
        <v/>
      </c>
      <c r="U53" t="e">
        <f t="shared" si="27"/>
        <v>#N/A</v>
      </c>
    </row>
    <row r="54" spans="2:21" x14ac:dyDescent="0.2">
      <c r="B54" s="245"/>
      <c r="C54" s="255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 t="shared" si="21"/>
        <v>0</v>
      </c>
      <c r="P54" s="134">
        <f t="shared" si="22"/>
        <v>0</v>
      </c>
      <c r="Q54" s="11">
        <f t="shared" si="23"/>
        <v>0</v>
      </c>
      <c r="R54">
        <f t="shared" si="24"/>
        <v>0</v>
      </c>
      <c r="S54">
        <f t="shared" si="25"/>
        <v>0</v>
      </c>
      <c r="T54" t="str">
        <f t="shared" si="26"/>
        <v/>
      </c>
      <c r="U54" t="e">
        <f t="shared" si="27"/>
        <v>#N/A</v>
      </c>
    </row>
    <row r="55" spans="2:21" x14ac:dyDescent="0.2">
      <c r="B55" s="245"/>
      <c r="C55" s="246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 t="shared" si="21"/>
        <v>0</v>
      </c>
      <c r="P55" s="134">
        <f t="shared" si="22"/>
        <v>0</v>
      </c>
      <c r="Q55" s="11">
        <f t="shared" si="23"/>
        <v>0</v>
      </c>
      <c r="R55">
        <f t="shared" si="24"/>
        <v>0</v>
      </c>
      <c r="S55">
        <f t="shared" si="25"/>
        <v>0</v>
      </c>
      <c r="T55" t="str">
        <f t="shared" si="26"/>
        <v/>
      </c>
      <c r="U55" t="e">
        <f t="shared" si="27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199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55"/>
      <c r="D62" s="247"/>
      <c r="E62" s="248"/>
      <c r="F62" s="248"/>
      <c r="G62" s="254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+(E61*1)-V65</f>
        <v>0</v>
      </c>
      <c r="P65" s="134">
        <f>+I61-O65-W65</f>
        <v>0</v>
      </c>
      <c r="Q65" s="11">
        <f>+G61-O65</f>
        <v>0</v>
      </c>
      <c r="R65">
        <f>+E61*$T$3</f>
        <v>0</v>
      </c>
      <c r="S65">
        <f t="shared" si="28"/>
        <v>0</v>
      </c>
      <c r="T65" t="str">
        <f>+IF(K61&lt;&gt;"",K61,"")</f>
        <v/>
      </c>
      <c r="U65" t="e">
        <f>+RANK(H61,$H$6:$H$1048576,1)</f>
        <v>#N/A</v>
      </c>
    </row>
    <row r="66" spans="2:21" x14ac:dyDescent="0.2">
      <c r="B66" s="245"/>
      <c r="C66" s="255"/>
      <c r="D66" s="247"/>
      <c r="E66" s="248"/>
      <c r="F66" s="248"/>
      <c r="G66" s="199"/>
      <c r="H66" s="257"/>
      <c r="I66" s="222"/>
      <c r="J66" s="343"/>
      <c r="K66" s="247"/>
      <c r="L66" s="203"/>
      <c r="M66" s="253"/>
      <c r="N66" s="258"/>
      <c r="O66">
        <f>+(E62*1)-V66</f>
        <v>0</v>
      </c>
      <c r="P66" s="134">
        <f>+I62-O66-W66</f>
        <v>0</v>
      </c>
      <c r="Q66" s="11">
        <f>+G62-O66</f>
        <v>0</v>
      </c>
      <c r="R66">
        <f>+E62*$T$3</f>
        <v>0</v>
      </c>
      <c r="S66">
        <f t="shared" si="28"/>
        <v>0</v>
      </c>
      <c r="T66" t="str">
        <f>+IF(K62&lt;&gt;"",K62,"")</f>
        <v/>
      </c>
      <c r="U66" t="e">
        <f>+RANK(H62,$H$6:$H$1048576,1)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+(E63*1)-V67</f>
        <v>0</v>
      </c>
      <c r="P67" s="134">
        <f>+I63-O67-W67</f>
        <v>0</v>
      </c>
      <c r="Q67" s="11">
        <f>+G63-O67</f>
        <v>0</v>
      </c>
      <c r="R67">
        <f>+E63*$T$3</f>
        <v>0</v>
      </c>
      <c r="S67">
        <f t="shared" si="28"/>
        <v>0</v>
      </c>
      <c r="T67" t="str">
        <f>+IF(K63&lt;&gt;"",K63,"")</f>
        <v/>
      </c>
      <c r="U67" t="e">
        <f>+RANK(H63,$H$6:$H$1048576,1)</f>
        <v>#N/A</v>
      </c>
    </row>
    <row r="68" spans="2:21" x14ac:dyDescent="0.2">
      <c r="B68" s="245"/>
      <c r="C68" s="246"/>
      <c r="D68" s="247"/>
      <c r="E68" s="248"/>
      <c r="F68" s="248"/>
      <c r="G68" s="256"/>
      <c r="H68" s="250"/>
      <c r="I68" s="221"/>
      <c r="J68" s="342"/>
      <c r="K68" s="247"/>
      <c r="L68" s="252"/>
      <c r="M68" s="253"/>
      <c r="N68" s="258"/>
      <c r="O68">
        <f>+(E64*1)-V68</f>
        <v>0</v>
      </c>
      <c r="P68" s="134">
        <f>+I64-O68-W68</f>
        <v>0</v>
      </c>
      <c r="Q68" s="11">
        <f>+G64-O68</f>
        <v>0</v>
      </c>
      <c r="R68">
        <f>+E64*$T$3</f>
        <v>0</v>
      </c>
      <c r="S68">
        <f t="shared" si="28"/>
        <v>0</v>
      </c>
      <c r="T68" t="str">
        <f>+IF(K64&lt;&gt;"",K64,"")</f>
        <v/>
      </c>
      <c r="U68" t="e">
        <f>+RANK(H64,$H$6:$H$1048576,1)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+(E65*1)-V69</f>
        <v>0</v>
      </c>
      <c r="P69" s="134">
        <f>+I65-O69-W69</f>
        <v>0</v>
      </c>
      <c r="Q69" s="11">
        <f>+G65-O69</f>
        <v>0</v>
      </c>
      <c r="R69">
        <f>+E65*$T$3</f>
        <v>0</v>
      </c>
      <c r="S69">
        <f t="shared" si="28"/>
        <v>0</v>
      </c>
      <c r="T69" t="str">
        <f>+IF(K65&lt;&gt;"",K65,"")</f>
        <v/>
      </c>
      <c r="U69" t="e">
        <f>+RANK(H65,$H$6:$H$1048576,1)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03"/>
      <c r="M74" s="253"/>
      <c r="N74" s="258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03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9"/>
      <c r="I80" s="260"/>
      <c r="J80" s="344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6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55"/>
      <c r="D99" s="247"/>
      <c r="E99" s="248"/>
      <c r="F99" s="248"/>
      <c r="G99" s="199"/>
      <c r="H99" s="257"/>
      <c r="I99" s="222"/>
      <c r="J99" s="343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03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5"/>
      <c r="E105" s="248"/>
      <c r="F105" s="248"/>
      <c r="G105" s="261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55"/>
      <c r="D110" s="247"/>
      <c r="E110" s="248"/>
      <c r="F110" s="248"/>
      <c r="G110" s="199"/>
      <c r="H110" s="257"/>
      <c r="I110" s="222"/>
      <c r="J110" s="343"/>
      <c r="K110" s="262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55"/>
      <c r="D112" s="247"/>
      <c r="E112" s="248"/>
      <c r="F112" s="248"/>
      <c r="G112" s="199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0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0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7"/>
      <c r="E124" s="248"/>
      <c r="F124" s="248"/>
      <c r="G124" s="199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5"/>
      <c r="E125" s="248"/>
      <c r="F125" s="248"/>
      <c r="G125" s="201"/>
      <c r="H125" s="20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55"/>
      <c r="D133" s="247"/>
      <c r="E133" s="248"/>
      <c r="F133" s="248"/>
      <c r="G133" s="199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51"/>
      <c r="J139" s="341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7"/>
      <c r="E145" s="248"/>
      <c r="F145" s="248"/>
      <c r="G145" s="199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58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55"/>
      <c r="D165" s="247"/>
      <c r="E165" s="248"/>
      <c r="F165" s="248"/>
      <c r="G165" s="199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03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50"/>
      <c r="I177" s="221"/>
      <c r="J177" s="342"/>
      <c r="K177" s="247"/>
      <c r="L177" s="252"/>
      <c r="M177" s="253"/>
      <c r="N177" s="258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44"/>
      <c r="I188" s="222"/>
      <c r="J188" s="343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03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46"/>
      <c r="D201" s="245"/>
      <c r="E201" s="248"/>
      <c r="F201" s="248"/>
      <c r="G201" s="261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5"/>
      <c r="E207" s="248"/>
      <c r="F207" s="248"/>
      <c r="G207" s="261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261"/>
      <c r="H210" s="263"/>
      <c r="I210" s="260"/>
      <c r="J210" s="344"/>
      <c r="K210" s="247"/>
      <c r="L210" s="252"/>
      <c r="M210" s="253"/>
      <c r="N210" s="203"/>
    </row>
    <row r="211" spans="2:14" x14ac:dyDescent="0.2">
      <c r="B211" s="245"/>
      <c r="C211" s="246"/>
      <c r="D211" s="245"/>
      <c r="E211" s="248"/>
      <c r="F211" s="248"/>
      <c r="G211" s="261"/>
      <c r="H211" s="200"/>
      <c r="I211" s="221"/>
      <c r="J211" s="342"/>
      <c r="K211" s="245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44"/>
      <c r="I220" s="222"/>
      <c r="J220" s="343"/>
      <c r="K220" s="247"/>
      <c r="L220" s="252"/>
      <c r="M220" s="253"/>
      <c r="N220" s="203"/>
    </row>
    <row r="221" spans="2:14" x14ac:dyDescent="0.2">
      <c r="B221" s="245"/>
      <c r="C221" s="255"/>
      <c r="D221" s="247"/>
      <c r="E221" s="248"/>
      <c r="F221" s="248"/>
      <c r="G221" s="199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55"/>
      <c r="D244" s="247"/>
      <c r="E244" s="248"/>
      <c r="F244" s="248"/>
      <c r="G244" s="261"/>
      <c r="H244" s="200"/>
      <c r="I244" s="221"/>
      <c r="J244" s="342"/>
      <c r="K244" s="245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55"/>
      <c r="D246" s="245"/>
      <c r="E246" s="248"/>
      <c r="F246" s="248"/>
      <c r="G246" s="201"/>
      <c r="H246" s="200"/>
      <c r="I246" s="221"/>
      <c r="J246" s="342"/>
      <c r="K246" s="262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5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5"/>
      <c r="E250" s="248"/>
      <c r="F250" s="248"/>
      <c r="G250" s="261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55"/>
      <c r="D251" s="247"/>
      <c r="E251" s="248"/>
      <c r="F251" s="248"/>
      <c r="G251" s="199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0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55"/>
      <c r="D257" s="245"/>
      <c r="E257" s="248"/>
      <c r="F257" s="248"/>
      <c r="G257" s="261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199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5"/>
      <c r="E262" s="248"/>
      <c r="F262" s="248"/>
      <c r="G262" s="261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7"/>
      <c r="E265" s="248"/>
      <c r="F265" s="248"/>
      <c r="G265" s="199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4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5"/>
      <c r="E285" s="248"/>
      <c r="F285" s="248"/>
      <c r="G285" s="261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55"/>
      <c r="D358" s="247"/>
      <c r="E358" s="248"/>
      <c r="F358" s="248"/>
      <c r="G358" s="199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55"/>
      <c r="D369" s="247"/>
      <c r="E369" s="248"/>
      <c r="F369" s="248"/>
      <c r="G369" s="199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55"/>
      <c r="D400" s="247"/>
      <c r="E400" s="248"/>
      <c r="F400" s="248"/>
      <c r="G400" s="199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4"/>
      <c r="L411" s="252"/>
      <c r="M411" s="253"/>
      <c r="N411" s="265"/>
    </row>
    <row r="412" spans="2:14" x14ac:dyDescent="0.2">
      <c r="B412" s="245"/>
      <c r="C412" s="246"/>
      <c r="D412" s="245"/>
      <c r="E412" s="248"/>
      <c r="F412" s="248"/>
      <c r="G412" s="261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4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55"/>
      <c r="D426" s="247"/>
      <c r="E426" s="248"/>
      <c r="F426" s="248"/>
      <c r="G426" s="199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55"/>
      <c r="D429" s="247"/>
      <c r="E429" s="248"/>
      <c r="F429" s="248"/>
      <c r="G429" s="199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68"/>
      <c r="F433" s="268"/>
      <c r="G433" s="269"/>
      <c r="H433" s="270"/>
      <c r="I433" s="271"/>
      <c r="J433" s="346"/>
      <c r="K433" s="266"/>
      <c r="L433" s="252"/>
      <c r="M433" s="253"/>
      <c r="N433" s="265"/>
    </row>
    <row r="434" spans="2:14" x14ac:dyDescent="0.2">
      <c r="B434" s="245"/>
      <c r="C434" s="255"/>
      <c r="D434" s="247"/>
      <c r="E434" s="248"/>
      <c r="F434" s="248"/>
      <c r="G434" s="261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55"/>
      <c r="D436" s="247"/>
      <c r="E436" s="248"/>
      <c r="F436" s="248"/>
      <c r="G436" s="199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4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5"/>
      <c r="E472" s="248"/>
      <c r="F472" s="248"/>
      <c r="G472" s="261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4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55"/>
      <c r="D485" s="247"/>
      <c r="E485" s="248"/>
      <c r="F485" s="248"/>
      <c r="G485" s="199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7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5"/>
      <c r="E505" s="248"/>
      <c r="F505" s="272"/>
      <c r="G505" s="261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48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5"/>
      <c r="E528" s="248"/>
      <c r="F528" s="248"/>
      <c r="G528" s="261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5"/>
      <c r="E548" s="248"/>
      <c r="F548" s="248"/>
      <c r="G548" s="201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55"/>
      <c r="D554" s="245"/>
      <c r="E554" s="248"/>
      <c r="F554" s="248"/>
      <c r="G554" s="201"/>
      <c r="H554" s="202"/>
      <c r="I554" s="223"/>
      <c r="J554" s="345"/>
      <c r="K554" s="264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55"/>
      <c r="D556" s="247"/>
      <c r="E556" s="248"/>
      <c r="F556" s="248"/>
      <c r="G556" s="199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7"/>
      <c r="E564" s="248"/>
      <c r="F564" s="248"/>
      <c r="G564" s="199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7"/>
      <c r="E567" s="248"/>
      <c r="F567" s="248"/>
      <c r="G567" s="199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5"/>
      <c r="E576" s="248"/>
      <c r="F576" s="248"/>
      <c r="G576" s="261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5"/>
      <c r="E586" s="248"/>
      <c r="F586" s="248"/>
      <c r="G586" s="201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4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5"/>
      <c r="E598" s="248"/>
      <c r="F598" s="248"/>
      <c r="G598" s="261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4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5"/>
      <c r="E659" s="248"/>
      <c r="F659" s="248"/>
      <c r="G659" s="261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55"/>
      <c r="D664" s="247"/>
      <c r="E664" s="248"/>
      <c r="F664" s="248"/>
      <c r="G664" s="199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5"/>
      <c r="E667" s="248"/>
      <c r="F667" s="248"/>
      <c r="G667" s="261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5"/>
      <c r="E683" s="248"/>
      <c r="F683" s="248"/>
      <c r="G683" s="20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55"/>
      <c r="D690" s="247"/>
      <c r="E690" s="248"/>
      <c r="F690" s="248"/>
      <c r="G690" s="199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4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55"/>
      <c r="D722" s="247"/>
      <c r="E722" s="248"/>
      <c r="F722" s="248"/>
      <c r="G722" s="199"/>
      <c r="H722" s="202"/>
      <c r="I722" s="223"/>
      <c r="J722" s="345"/>
      <c r="K722" s="266"/>
      <c r="L722" s="252"/>
      <c r="M722" s="253"/>
      <c r="N722" s="273"/>
    </row>
    <row r="723" spans="2:14" x14ac:dyDescent="0.2">
      <c r="B723" s="245"/>
      <c r="C723" s="255"/>
      <c r="D723" s="245"/>
      <c r="E723" s="248"/>
      <c r="F723" s="248"/>
      <c r="G723" s="201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4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5"/>
      <c r="E742" s="248"/>
      <c r="F742" s="248"/>
      <c r="G742" s="26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5"/>
      <c r="E747" s="248"/>
      <c r="F747" s="248"/>
      <c r="G747" s="26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55"/>
      <c r="D748" s="245"/>
      <c r="E748" s="248"/>
      <c r="F748" s="248"/>
      <c r="G748" s="201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55"/>
      <c r="D760" s="247"/>
      <c r="E760" s="248"/>
      <c r="F760" s="248"/>
      <c r="G760" s="254"/>
      <c r="H760" s="202"/>
      <c r="I760" s="223"/>
      <c r="J760" s="345"/>
      <c r="K760" s="264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4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5"/>
      <c r="E787" s="248"/>
      <c r="F787" s="248"/>
      <c r="G787" s="261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5"/>
      <c r="E790" s="248"/>
      <c r="F790" s="248"/>
      <c r="G790" s="261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55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55"/>
      <c r="D808" s="247"/>
      <c r="E808" s="248"/>
      <c r="F808" s="248"/>
      <c r="G808" s="199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5"/>
      <c r="E819" s="248"/>
      <c r="F819" s="248"/>
      <c r="G819" s="261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4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5"/>
      <c r="E828" s="248"/>
      <c r="F828" s="248"/>
      <c r="G828" s="261"/>
      <c r="H828" s="202"/>
      <c r="I828" s="223"/>
      <c r="J828" s="345"/>
      <c r="K828" s="264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55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55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199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55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74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5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7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46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199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199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199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199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01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4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01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5"/>
      <c r="E1030" s="248"/>
      <c r="F1030" s="248"/>
      <c r="G1030" s="261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5"/>
      <c r="E1043" s="248"/>
      <c r="F1043" s="248"/>
      <c r="G1043" s="261"/>
      <c r="H1043" s="202"/>
      <c r="I1043" s="223"/>
      <c r="J1043" s="345"/>
      <c r="K1043" s="264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03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5"/>
      <c r="E1071" s="275"/>
      <c r="F1071" s="275"/>
      <c r="G1071" s="205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199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5"/>
      <c r="E1079" s="248"/>
      <c r="F1079" s="248"/>
      <c r="G1079" s="205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199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199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03"/>
      <c r="M1100" s="253"/>
      <c r="N1100" s="203"/>
    </row>
    <row r="1101" spans="2:14" x14ac:dyDescent="0.2">
      <c r="B1101" s="245"/>
      <c r="C1101" s="255"/>
      <c r="D1101" s="245"/>
      <c r="E1101" s="248"/>
      <c r="F1101" s="248"/>
      <c r="G1101" s="205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199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5"/>
      <c r="E1110" s="248"/>
      <c r="F1110" s="248"/>
      <c r="G1110" s="206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76"/>
      <c r="D1121" s="276"/>
      <c r="E1121" s="248"/>
      <c r="F1121" s="277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5"/>
      <c r="E1123" s="248"/>
      <c r="F1123" s="248"/>
      <c r="G1123" s="201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4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2">
      <c r="B1130" s="245"/>
      <c r="C1130" s="255"/>
      <c r="D1130" s="245"/>
      <c r="E1130" s="248"/>
      <c r="F1130" s="248"/>
      <c r="G1130" s="261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74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199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61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199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5"/>
      <c r="E1145" s="275"/>
      <c r="F1145" s="275"/>
      <c r="G1145" s="205"/>
      <c r="H1145" s="202"/>
      <c r="I1145" s="223"/>
      <c r="J1145" s="345"/>
      <c r="K1145" s="274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74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5"/>
      <c r="E1172" s="248"/>
      <c r="F1172" s="248"/>
      <c r="G1172" s="261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74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5"/>
      <c r="E1184" s="275"/>
      <c r="F1184" s="275"/>
      <c r="G1184" s="205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5"/>
      <c r="E1192" s="248"/>
      <c r="F1192" s="248"/>
      <c r="G1192" s="205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01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5"/>
      <c r="E1198" s="248"/>
      <c r="F1198" s="248"/>
      <c r="G1198" s="206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03"/>
      <c r="M1214" s="253"/>
      <c r="N1214" s="204"/>
    </row>
    <row r="1215" spans="2:14" x14ac:dyDescent="0.2">
      <c r="B1215" s="245"/>
      <c r="C1215" s="280"/>
      <c r="D1215" s="281"/>
      <c r="E1215" s="275"/>
      <c r="F1215" s="275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03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46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76"/>
      <c r="D1225" s="276"/>
      <c r="E1225" s="277"/>
      <c r="F1225" s="277"/>
      <c r="G1225" s="209"/>
      <c r="H1225" s="207"/>
      <c r="I1225" s="221"/>
      <c r="J1225" s="342"/>
      <c r="K1225" s="282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5"/>
      <c r="E1229" s="248"/>
      <c r="F1229" s="248"/>
      <c r="G1229" s="261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46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05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46"/>
      <c r="D1235" s="247"/>
      <c r="E1235" s="248"/>
      <c r="F1235" s="248"/>
      <c r="G1235" s="261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10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78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x14ac:dyDescent="0.2">
      <c r="B1248" s="37"/>
      <c r="C1248" s="286"/>
      <c r="D1248" s="37"/>
      <c r="E1248" s="60"/>
      <c r="F1248" s="60"/>
      <c r="G1248" s="213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78"/>
      <c r="D1249" s="109"/>
      <c r="E1249" s="68"/>
      <c r="F1249" s="68"/>
      <c r="G1249" s="21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66"/>
      <c r="D1252" s="287"/>
      <c r="E1252" s="68"/>
      <c r="F1252" s="68"/>
      <c r="G1252" s="21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8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78"/>
      <c r="D1258" s="109"/>
      <c r="E1258" s="68"/>
      <c r="F1258" s="68"/>
      <c r="G1258" s="21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16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1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16"/>
      <c r="M1272" s="116"/>
      <c r="N1272" s="212"/>
    </row>
    <row r="1273" spans="2:14" ht="15" x14ac:dyDescent="0.25">
      <c r="B1273" s="65"/>
      <c r="C1273" s="78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16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16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9"/>
      <c r="D1286" s="290"/>
      <c r="E1286" s="291"/>
      <c r="F1286" s="291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x14ac:dyDescent="0.2">
      <c r="B1290" s="30"/>
      <c r="C1290" s="78"/>
      <c r="D1290" s="109"/>
      <c r="E1290" s="68"/>
      <c r="F1290" s="68"/>
      <c r="G1290" s="288"/>
      <c r="H1290" s="211"/>
      <c r="I1290" s="224"/>
      <c r="J1290" s="347"/>
      <c r="K1290" s="80"/>
      <c r="L1290" s="285"/>
      <c r="M1290" s="116"/>
      <c r="N1290" s="212"/>
    </row>
    <row r="1291" spans="2:14" ht="15" x14ac:dyDescent="0.25">
      <c r="B1291" s="30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1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292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1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1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8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13"/>
      <c r="H1335" s="215"/>
      <c r="I1335" s="293"/>
      <c r="J1335" s="348"/>
      <c r="K1335" s="69"/>
      <c r="L1335" s="285"/>
      <c r="M1335" s="116"/>
      <c r="N1335" s="212"/>
    </row>
    <row r="1336" spans="2:14" x14ac:dyDescent="0.2">
      <c r="B1336" s="292"/>
      <c r="C1336" s="78"/>
      <c r="D1336" s="109"/>
      <c r="E1336" s="68"/>
      <c r="F1336" s="68"/>
      <c r="G1336" s="288"/>
      <c r="H1336" s="211"/>
      <c r="I1336" s="224"/>
      <c r="J1336" s="347"/>
      <c r="K1336" s="80"/>
      <c r="L1336" s="216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8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289"/>
      <c r="D1338" s="290"/>
      <c r="E1338" s="294"/>
      <c r="F1338" s="295"/>
      <c r="G1338" s="296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297"/>
      <c r="F1341" s="298"/>
      <c r="G1341" s="299"/>
      <c r="H1341" s="300"/>
      <c r="I1341" s="301"/>
      <c r="J1341" s="349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14"/>
      <c r="H1344" s="215"/>
      <c r="I1344" s="293"/>
      <c r="J1344" s="348"/>
      <c r="K1344" s="69"/>
      <c r="L1344" s="216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289"/>
      <c r="D1347" s="290"/>
      <c r="E1347" s="291"/>
      <c r="F1347" s="284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66"/>
      <c r="D1348" s="109"/>
      <c r="E1348" s="68"/>
      <c r="F1348" s="77"/>
      <c r="G1348" s="296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66"/>
      <c r="D1356" s="109"/>
      <c r="E1356" s="68"/>
      <c r="F1356" s="77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8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1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68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14"/>
      <c r="H1369" s="215"/>
      <c r="I1369" s="293"/>
      <c r="J1369" s="348"/>
      <c r="K1369" s="69"/>
      <c r="L1369" s="285"/>
      <c r="M1369" s="116"/>
      <c r="N1369" s="212"/>
    </row>
    <row r="1370" spans="2:14" x14ac:dyDescent="0.2">
      <c r="B1370" s="65"/>
      <c r="C1370" s="78"/>
      <c r="D1370" s="109"/>
      <c r="E1370" s="68"/>
      <c r="F1370" s="77"/>
      <c r="G1370" s="302"/>
      <c r="H1370" s="211"/>
      <c r="I1370" s="224"/>
      <c r="J1370" s="347"/>
      <c r="K1370" s="80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289"/>
      <c r="D1377" s="290"/>
      <c r="E1377" s="291"/>
      <c r="F1377" s="304"/>
      <c r="G1377" s="284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68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68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23"/>
      <c r="D1415" s="37"/>
      <c r="E1415" s="60"/>
      <c r="F1415" s="26"/>
      <c r="G1415" s="2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78"/>
      <c r="D1417" s="109"/>
      <c r="E1417" s="68"/>
      <c r="F1417" s="77"/>
      <c r="G1417" s="305"/>
      <c r="H1417" s="215"/>
      <c r="I1417" s="293"/>
      <c r="J1417" s="348"/>
      <c r="K1417" s="69"/>
      <c r="L1417" s="216"/>
      <c r="M1417" s="116"/>
      <c r="N1417" s="212"/>
    </row>
    <row r="1418" spans="2:14" ht="15" x14ac:dyDescent="0.25">
      <c r="B1418" s="91"/>
      <c r="C1418" s="78"/>
      <c r="D1418" s="109"/>
      <c r="E1418" s="68"/>
      <c r="F1418" s="77"/>
      <c r="G1418" s="302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23"/>
      <c r="D1425" s="37"/>
      <c r="E1425" s="60"/>
      <c r="F1425" s="26"/>
      <c r="G1425" s="104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23"/>
      <c r="D1428" s="290"/>
      <c r="E1428" s="291"/>
      <c r="F1428" s="304"/>
      <c r="G1428" s="28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80"/>
      <c r="L1431" s="285"/>
      <c r="M1431" s="116"/>
      <c r="N1431" s="212"/>
    </row>
    <row r="1432" spans="2:14" ht="15" x14ac:dyDescent="0.25">
      <c r="B1432" s="91"/>
      <c r="C1432" s="23"/>
      <c r="D1432" s="37"/>
      <c r="E1432" s="60"/>
      <c r="F1432" s="26"/>
      <c r="G1432" s="10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27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214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290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86"/>
      <c r="D1443" s="286"/>
      <c r="E1443" s="306"/>
      <c r="F1443" s="307"/>
      <c r="G1443" s="307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78"/>
      <c r="D1444" s="109"/>
      <c r="E1444" s="68"/>
      <c r="F1444" s="77"/>
      <c r="G1444" s="214"/>
      <c r="H1444" s="215"/>
      <c r="I1444" s="293"/>
      <c r="J1444" s="348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78"/>
      <c r="D1453" s="109"/>
      <c r="E1453" s="68"/>
      <c r="F1453" s="77"/>
      <c r="G1453" s="308"/>
      <c r="H1453" s="215"/>
      <c r="I1453" s="293"/>
      <c r="J1453" s="348"/>
      <c r="K1453" s="69"/>
      <c r="L1453" s="216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310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78"/>
      <c r="D1462" s="109"/>
      <c r="E1462" s="68"/>
      <c r="F1462" s="77"/>
      <c r="G1462" s="311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68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296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11"/>
      <c r="H1469" s="312"/>
      <c r="I1469" s="313"/>
      <c r="J1469" s="352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78"/>
      <c r="D1475" s="109"/>
      <c r="E1475" s="68"/>
      <c r="F1475" s="77"/>
      <c r="G1475" s="311"/>
      <c r="H1475" s="312"/>
      <c r="I1475" s="313"/>
      <c r="J1475" s="352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65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4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.75" x14ac:dyDescent="0.25">
      <c r="B1483" s="315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126"/>
      <c r="M1483" s="116"/>
      <c r="N1483" s="217"/>
    </row>
    <row r="1484" spans="2:14" ht="15.75" x14ac:dyDescent="0.25">
      <c r="B1484" s="31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126"/>
      <c r="M1484" s="116"/>
      <c r="N1484" s="217"/>
    </row>
    <row r="1485" spans="2:14" ht="15.75" x14ac:dyDescent="0.25">
      <c r="B1485" s="314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16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316"/>
      <c r="D1487" s="65"/>
      <c r="E1487" s="68"/>
      <c r="F1487" s="117"/>
      <c r="G1487" s="117"/>
      <c r="H1487" s="121"/>
      <c r="I1487" s="107"/>
      <c r="J1487" s="351"/>
      <c r="K1487" s="69"/>
      <c r="L1487" s="126"/>
      <c r="M1487" s="116"/>
      <c r="N1487" s="217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" x14ac:dyDescent="0.25">
      <c r="B1499" s="6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107"/>
      <c r="J1500" s="351"/>
      <c r="K1500" s="69"/>
      <c r="L1500" s="285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3"/>
      <c r="I1508" s="107"/>
      <c r="J1508" s="351"/>
      <c r="K1508" s="69"/>
      <c r="L1508" s="126"/>
      <c r="M1508" s="116"/>
      <c r="N1508" s="217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80"/>
      <c r="L1509" s="126"/>
      <c r="M1509" s="117"/>
      <c r="N1509" s="217"/>
    </row>
    <row r="1510" spans="2:14" ht="15" x14ac:dyDescent="0.25">
      <c r="B1510" s="37"/>
      <c r="C1510" s="66"/>
      <c r="D1510" s="109"/>
      <c r="E1510" s="68"/>
      <c r="F1510" s="77"/>
      <c r="G1510" s="104"/>
      <c r="H1510" s="123"/>
      <c r="I1510" s="107"/>
      <c r="J1510" s="351"/>
      <c r="K1510" s="80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68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316"/>
      <c r="D1512" s="65"/>
      <c r="E1512" s="68"/>
      <c r="F1512" s="117"/>
      <c r="G1512" s="117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78"/>
      <c r="D1524" s="109"/>
      <c r="E1524" s="68"/>
      <c r="F1524" s="77"/>
      <c r="G1524" s="311"/>
      <c r="H1524" s="312"/>
      <c r="I1524" s="107"/>
      <c r="J1524" s="351"/>
      <c r="K1524" s="69"/>
      <c r="L1524" s="126"/>
      <c r="M1524" s="116"/>
      <c r="N1524" s="217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68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123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x14ac:dyDescent="0.2">
      <c r="B1544" s="91"/>
      <c r="C1544" s="66"/>
      <c r="D1544" s="109"/>
      <c r="E1544" s="68"/>
      <c r="F1544" s="77"/>
      <c r="G1544" s="104"/>
      <c r="H1544" s="121"/>
      <c r="I1544" s="129"/>
      <c r="J1544" s="353"/>
      <c r="K1544" s="80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317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317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79"/>
      <c r="L1557" s="126"/>
      <c r="M1557" s="115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79"/>
      <c r="L1560" s="126"/>
      <c r="M1560" s="115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3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68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3"/>
      <c r="I1579" s="107"/>
      <c r="J1579" s="351"/>
      <c r="K1579" s="69"/>
      <c r="L1579" s="120"/>
      <c r="M1579" s="116"/>
      <c r="N1579" s="2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ht="15" x14ac:dyDescent="0.25">
      <c r="B1581" s="91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0"/>
      <c r="M1581" s="116"/>
      <c r="N1581" s="2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118"/>
      <c r="M1583" s="116"/>
      <c r="N1583" s="3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66"/>
      <c r="D1588" s="109"/>
      <c r="E1588" s="68"/>
      <c r="F1588" s="68"/>
      <c r="G1588" s="104"/>
      <c r="H1588" s="121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3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311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3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318"/>
      <c r="M1604" s="116"/>
      <c r="N1604" s="318"/>
    </row>
    <row r="1605" spans="2:14" ht="15" x14ac:dyDescent="0.25">
      <c r="B1605" s="91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3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8"/>
    </row>
    <row r="1612" spans="2:14" ht="15" x14ac:dyDescent="0.25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9"/>
    </row>
    <row r="1613" spans="2:14" ht="15" x14ac:dyDescent="0.25">
      <c r="B1613" s="91"/>
      <c r="C1613" s="66"/>
      <c r="D1613" s="109"/>
      <c r="E1613" s="68"/>
      <c r="F1613" s="68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91"/>
      <c r="C1615" s="78"/>
      <c r="D1615" s="109"/>
      <c r="E1615" s="68"/>
      <c r="F1615" s="77"/>
      <c r="G1615" s="311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311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311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68"/>
      <c r="G1633" s="311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3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123"/>
      <c r="I1636" s="107"/>
      <c r="J1636" s="351"/>
      <c r="K1636" s="69"/>
      <c r="L1636" s="118"/>
      <c r="M1636" s="116"/>
      <c r="N1636" s="319"/>
    </row>
    <row r="1637" spans="2:14" ht="15" x14ac:dyDescent="0.25">
      <c r="B1637" s="37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37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65"/>
      <c r="C1643" s="78"/>
      <c r="D1643" s="109"/>
      <c r="E1643" s="68"/>
      <c r="F1643" s="77"/>
      <c r="G1643" s="311"/>
      <c r="H1643" s="312"/>
      <c r="I1643" s="313"/>
      <c r="J1643" s="352"/>
      <c r="K1643" s="69"/>
      <c r="L1643" s="318"/>
      <c r="M1643" s="116"/>
      <c r="N1643" s="3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68"/>
      <c r="G1646" s="104"/>
      <c r="H1646" s="121"/>
      <c r="I1646" s="107"/>
      <c r="J1646" s="351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79"/>
      <c r="L1653" s="120"/>
      <c r="M1653" s="115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114"/>
      <c r="L1656" s="118"/>
      <c r="M1656" s="117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20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91"/>
      <c r="C1667" s="66"/>
      <c r="D1667" s="109"/>
      <c r="E1667" s="68"/>
      <c r="F1667" s="68"/>
      <c r="G1667" s="104"/>
      <c r="H1667" s="121"/>
      <c r="I1667" s="107"/>
      <c r="J1667" s="351"/>
      <c r="K1667" s="69"/>
      <c r="L1667" s="118"/>
      <c r="M1667" s="116"/>
      <c r="N1667" s="320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78"/>
      <c r="D1679" s="100"/>
      <c r="E1679" s="101"/>
      <c r="F1679" s="77"/>
      <c r="G1679" s="311"/>
      <c r="H1679" s="321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78"/>
      <c r="D1683" s="100"/>
      <c r="E1683" s="101"/>
      <c r="F1683" s="77"/>
      <c r="G1683" s="311"/>
      <c r="H1683" s="321"/>
      <c r="I1683" s="313"/>
      <c r="J1683" s="352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78"/>
      <c r="D1686" s="100"/>
      <c r="E1686" s="101"/>
      <c r="F1686" s="77"/>
      <c r="G1686" s="311"/>
      <c r="H1686" s="321"/>
      <c r="I1686" s="313"/>
      <c r="J1686" s="352"/>
      <c r="K1686" s="69"/>
      <c r="L1686" s="84"/>
      <c r="M1686" s="82"/>
      <c r="N1686" s="319"/>
    </row>
    <row r="1687" spans="2:14" ht="15" x14ac:dyDescent="0.25">
      <c r="B1687" s="65"/>
      <c r="C1687" s="66"/>
      <c r="D1687" s="109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84"/>
      <c r="M1688" s="82"/>
      <c r="N1688" s="319"/>
    </row>
    <row r="1689" spans="2:14" ht="15" x14ac:dyDescent="0.25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19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68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78"/>
      <c r="D1701" s="100"/>
      <c r="E1701" s="101"/>
      <c r="F1701" s="77"/>
      <c r="G1701" s="311"/>
      <c r="H1701" s="321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70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78"/>
      <c r="D1705" s="100"/>
      <c r="E1705" s="101"/>
      <c r="F1705" s="68"/>
      <c r="G1705" s="311"/>
      <c r="H1705" s="321"/>
      <c r="I1705" s="107"/>
      <c r="J1705" s="351"/>
      <c r="K1705" s="69"/>
      <c r="L1705" s="84"/>
      <c r="M1705" s="82"/>
      <c r="N1705" s="323"/>
    </row>
    <row r="1706" spans="2:14" ht="15" x14ac:dyDescent="0.25">
      <c r="B1706" s="91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66"/>
      <c r="D1708" s="100"/>
      <c r="E1708" s="101"/>
      <c r="F1708" s="68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84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x14ac:dyDescent="0.2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ht="15" x14ac:dyDescent="0.25">
      <c r="B1714" s="65"/>
      <c r="C1714" s="78"/>
      <c r="D1714" s="100"/>
      <c r="E1714" s="101"/>
      <c r="F1714" s="77"/>
      <c r="G1714" s="311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100"/>
      <c r="E1715" s="102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x14ac:dyDescent="0.2">
      <c r="B1720" s="65"/>
      <c r="C1720" s="66"/>
      <c r="D1720" s="90"/>
      <c r="E1720" s="67"/>
      <c r="F1720" s="77"/>
      <c r="G1720" s="77"/>
      <c r="H1720" s="106"/>
      <c r="I1720" s="94"/>
      <c r="J1720" s="356"/>
      <c r="K1720" s="80"/>
      <c r="L1720" s="84"/>
      <c r="M1720" s="82"/>
      <c r="N1720" s="327"/>
    </row>
    <row r="1721" spans="2:14" ht="15" x14ac:dyDescent="0.25">
      <c r="B1721" s="65"/>
      <c r="C1721" s="78"/>
      <c r="D1721" s="90"/>
      <c r="E1721" s="67"/>
      <c r="F1721" s="77"/>
      <c r="G1721" s="328"/>
      <c r="H1721" s="321"/>
      <c r="I1721" s="326"/>
      <c r="J1721" s="355"/>
      <c r="K1721" s="69"/>
      <c r="L1721" s="322"/>
      <c r="M1721" s="82"/>
      <c r="N1721" s="327"/>
    </row>
    <row r="1722" spans="2:14" ht="15" x14ac:dyDescent="0.25">
      <c r="B1722" s="65"/>
      <c r="C1722" s="66"/>
      <c r="D1722" s="90"/>
      <c r="E1722" s="67"/>
      <c r="F1722" s="77"/>
      <c r="G1722" s="77"/>
      <c r="H1722" s="106"/>
      <c r="I1722" s="95"/>
      <c r="J1722" s="357"/>
      <c r="K1722" s="80"/>
      <c r="L1722" s="84"/>
      <c r="M1722" s="82"/>
      <c r="N1722" s="327"/>
    </row>
    <row r="1723" spans="2:14" ht="15" x14ac:dyDescent="0.25">
      <c r="B1723" s="91"/>
      <c r="C1723" s="66"/>
      <c r="D1723" s="90"/>
      <c r="E1723" s="67"/>
      <c r="F1723" s="77"/>
      <c r="G1723" s="77"/>
      <c r="H1723" s="106"/>
      <c r="I1723" s="95"/>
      <c r="J1723" s="357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x14ac:dyDescent="0.2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80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69"/>
      <c r="L1727" s="84"/>
      <c r="M1727" s="82"/>
      <c r="N1727" s="327"/>
    </row>
    <row r="1728" spans="2:14" ht="15" x14ac:dyDescent="0.25">
      <c r="B1728" s="91"/>
      <c r="C1728" s="78"/>
      <c r="D1728" s="90"/>
      <c r="E1728" s="67"/>
      <c r="F1728" s="77"/>
      <c r="G1728" s="328"/>
      <c r="H1728" s="321"/>
      <c r="I1728" s="326"/>
      <c r="J1728" s="355"/>
      <c r="K1728" s="69"/>
      <c r="L1728" s="84"/>
      <c r="M1728" s="82"/>
      <c r="N1728" s="327"/>
    </row>
    <row r="1729" spans="2:14" x14ac:dyDescent="0.2">
      <c r="B1729" s="91"/>
      <c r="C1729" s="66"/>
      <c r="D1729" s="90"/>
      <c r="E1729" s="67"/>
      <c r="F1729" s="77"/>
      <c r="G1729" s="77"/>
      <c r="H1729" s="106"/>
      <c r="I1729" s="94"/>
      <c r="J1729" s="356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69"/>
      <c r="L1730" s="84"/>
      <c r="M1730" s="82"/>
      <c r="N1730" s="327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80"/>
      <c r="L1731" s="84"/>
      <c r="M1731" s="82"/>
      <c r="N1731" s="327"/>
    </row>
    <row r="1732" spans="2:14" x14ac:dyDescent="0.2">
      <c r="B1732" s="91"/>
      <c r="C1732" s="66"/>
      <c r="D1732" s="90"/>
      <c r="E1732" s="67"/>
      <c r="F1732" s="77"/>
      <c r="G1732" s="77"/>
      <c r="H1732" s="106"/>
      <c r="I1732" s="94"/>
      <c r="J1732" s="356"/>
      <c r="K1732" s="69"/>
      <c r="L1732" s="84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322"/>
      <c r="M1733" s="82"/>
      <c r="N1733" s="323"/>
    </row>
    <row r="1734" spans="2:14" ht="15" x14ac:dyDescent="0.25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84"/>
      <c r="M1734" s="82"/>
      <c r="N1734" s="323"/>
    </row>
    <row r="1735" spans="2:14" ht="15" x14ac:dyDescent="0.25">
      <c r="B1735" s="65"/>
      <c r="C1735" s="78"/>
      <c r="D1735" s="90"/>
      <c r="E1735" s="67"/>
      <c r="F1735" s="77"/>
      <c r="G1735" s="328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37"/>
      <c r="C1736" s="52"/>
      <c r="D1736" s="24"/>
      <c r="E1736" s="25"/>
      <c r="F1736" s="26"/>
      <c r="G1736" s="26"/>
      <c r="H1736" s="329"/>
      <c r="I1736" s="41"/>
      <c r="J1736" s="358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0"/>
      <c r="C1741" s="52"/>
      <c r="D1741" s="24"/>
      <c r="E1741" s="25"/>
      <c r="F1741" s="26"/>
      <c r="G1741" s="26"/>
      <c r="H1741" s="329"/>
      <c r="I1741" s="41"/>
      <c r="J1741" s="358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2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ht="15" x14ac:dyDescent="0.25">
      <c r="B1746" s="30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60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5"/>
    </row>
    <row r="1756" spans="2:14" x14ac:dyDescent="0.2">
      <c r="B1756" s="37"/>
      <c r="C1756" s="23"/>
      <c r="D1756" s="24"/>
      <c r="E1756" s="25"/>
      <c r="F1756" s="60"/>
      <c r="G1756" s="26"/>
      <c r="H1756" s="329"/>
      <c r="I1756" s="42"/>
      <c r="J1756" s="360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2"/>
      <c r="D1758" s="24"/>
      <c r="E1758" s="25"/>
      <c r="F1758" s="60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0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26"/>
      <c r="H1771" s="329"/>
      <c r="I1771" s="41"/>
      <c r="J1771" s="358"/>
      <c r="K1771" s="36"/>
      <c r="L1771" s="33"/>
      <c r="M1771" s="34"/>
      <c r="N1771" s="35"/>
    </row>
    <row r="1772" spans="2:14" ht="15" x14ac:dyDescent="0.25">
      <c r="B1772" s="30"/>
      <c r="C1772" s="23"/>
      <c r="D1772" s="24"/>
      <c r="E1772" s="25"/>
      <c r="F1772" s="26"/>
      <c r="G1772" s="325"/>
      <c r="H1772" s="332"/>
      <c r="I1772" s="333"/>
      <c r="J1772" s="359"/>
      <c r="K1772" s="27"/>
      <c r="L1772" s="33"/>
      <c r="M1772" s="34"/>
      <c r="N1772" s="35"/>
    </row>
    <row r="1773" spans="2:14" ht="15" x14ac:dyDescent="0.25">
      <c r="B1773" s="30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x14ac:dyDescent="0.2">
      <c r="B1774" s="37"/>
      <c r="C1774" s="52"/>
      <c r="D1774" s="24"/>
      <c r="E1774" s="25"/>
      <c r="F1774" s="26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2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27"/>
      <c r="L1779" s="33"/>
      <c r="M1779" s="34"/>
      <c r="N1779" s="35"/>
    </row>
    <row r="1780" spans="2:14" x14ac:dyDescent="0.2">
      <c r="B1780" s="37"/>
      <c r="C1780" s="23"/>
      <c r="D1780" s="24"/>
      <c r="E1780" s="25"/>
      <c r="F1780" s="26"/>
      <c r="G1780" s="325"/>
      <c r="H1780" s="332"/>
      <c r="I1780" s="334"/>
      <c r="J1780" s="361"/>
      <c r="K1780" s="27"/>
      <c r="L1780" s="33"/>
      <c r="M1780" s="34"/>
      <c r="N1780" s="35"/>
    </row>
    <row r="1781" spans="2:14" x14ac:dyDescent="0.2">
      <c r="B1781" s="37"/>
      <c r="C1781" s="52"/>
      <c r="D1781" s="24"/>
      <c r="E1781" s="25"/>
      <c r="F1781" s="26"/>
      <c r="G1781" s="26"/>
      <c r="H1781" s="329"/>
      <c r="I1781" s="42"/>
      <c r="J1781" s="360"/>
      <c r="K1781" s="36"/>
      <c r="L1781" s="33"/>
      <c r="M1781" s="34"/>
      <c r="N1781" s="35"/>
    </row>
    <row r="1782" spans="2:14" x14ac:dyDescent="0.2">
      <c r="B1782" s="37"/>
      <c r="C1782" s="53"/>
      <c r="D1782" s="24"/>
      <c r="E1782" s="25"/>
      <c r="F1782" s="26"/>
      <c r="G1782" s="26"/>
      <c r="H1782" s="329"/>
      <c r="I1782" s="334"/>
      <c r="J1782" s="361"/>
      <c r="K1782" s="36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0"/>
      <c r="M1783" s="34"/>
      <c r="N1783" s="35"/>
    </row>
    <row r="1784" spans="2:14" ht="15" x14ac:dyDescent="0.25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26"/>
      <c r="H1785" s="329"/>
      <c r="I1785" s="333"/>
      <c r="J1785" s="359"/>
      <c r="K1785" s="36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23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3"/>
      <c r="D1801" s="24"/>
      <c r="E1801" s="25"/>
      <c r="F1801" s="26"/>
      <c r="G1801" s="325"/>
      <c r="H1801" s="332"/>
      <c r="I1801" s="333"/>
      <c r="J1801" s="359"/>
      <c r="K1801" s="36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0"/>
      <c r="C1803" s="52"/>
      <c r="D1803" s="24"/>
      <c r="E1803" s="25"/>
      <c r="F1803" s="26"/>
      <c r="G1803" s="26"/>
      <c r="H1803" s="329"/>
      <c r="I1803" s="41"/>
      <c r="J1803" s="358"/>
      <c r="K1803" s="36"/>
      <c r="L1803" s="33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x14ac:dyDescent="0.2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ht="15" x14ac:dyDescent="0.25">
      <c r="B1807" s="37"/>
      <c r="C1807" s="23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2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"/>
      <c r="M1808" s="34"/>
      <c r="N1808" s="35"/>
    </row>
    <row r="1809" spans="2:14" ht="15" x14ac:dyDescent="0.25">
      <c r="B1809" s="37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x14ac:dyDescent="0.2">
      <c r="B1810" s="37"/>
      <c r="C1810" s="52"/>
      <c r="D1810" s="24"/>
      <c r="E1810" s="25"/>
      <c r="F1810" s="26"/>
      <c r="G1810" s="26"/>
      <c r="H1810" s="329"/>
      <c r="I1810" s="42"/>
      <c r="J1810" s="360"/>
      <c r="K1810" s="36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ht="15" x14ac:dyDescent="0.25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x14ac:dyDescent="0.2">
      <c r="B1813" s="37"/>
      <c r="C1813" s="23"/>
      <c r="D1813" s="24"/>
      <c r="E1813" s="25"/>
      <c r="F1813" s="26"/>
      <c r="G1813" s="325"/>
      <c r="H1813" s="332"/>
      <c r="I1813" s="334"/>
      <c r="J1813" s="361"/>
      <c r="K1813" s="27"/>
      <c r="L1813" s="33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2">
      <c r="B1817" s="37"/>
      <c r="C1817" s="23"/>
      <c r="D1817" s="24"/>
      <c r="E1817" s="25"/>
      <c r="F1817" s="26"/>
      <c r="G1817" s="325"/>
      <c r="H1817" s="332"/>
      <c r="I1817" s="334"/>
      <c r="J1817" s="361"/>
      <c r="K1817" s="27"/>
      <c r="L1817" s="33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26"/>
      <c r="H1824" s="329"/>
      <c r="I1824" s="41"/>
      <c r="J1824" s="358"/>
      <c r="K1824" s="36"/>
      <c r="L1824" s="33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325"/>
      <c r="H1825" s="332"/>
      <c r="I1825" s="333"/>
      <c r="J1825" s="359"/>
      <c r="K1825" s="27"/>
      <c r="L1825" s="33"/>
      <c r="M1825" s="34"/>
      <c r="N1825" s="35"/>
    </row>
    <row r="1826" spans="2:14" x14ac:dyDescent="0.2">
      <c r="B1826" s="30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ht="15" x14ac:dyDescent="0.25">
      <c r="B1829" s="30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0"/>
      <c r="C1830" s="23"/>
      <c r="D1830" s="24"/>
      <c r="E1830" s="25"/>
      <c r="F1830" s="26"/>
      <c r="G1830" s="26"/>
      <c r="H1830" s="329"/>
      <c r="I1830" s="42"/>
      <c r="J1830" s="360"/>
      <c r="K1830" s="27"/>
      <c r="L1830" s="33"/>
      <c r="M1830" s="34"/>
      <c r="N1830" s="35"/>
    </row>
    <row r="1831" spans="2:14" ht="15" x14ac:dyDescent="0.25">
      <c r="B1831" s="30"/>
      <c r="C1831" s="23"/>
      <c r="D1831" s="24"/>
      <c r="E1831" s="25"/>
      <c r="F1831" s="26"/>
      <c r="G1831" s="325"/>
      <c r="H1831" s="332"/>
      <c r="I1831" s="333"/>
      <c r="J1831" s="359"/>
      <c r="K1831" s="27"/>
      <c r="L1831" s="33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26"/>
      <c r="H1833" s="329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x14ac:dyDescent="0.2">
      <c r="B1837" s="30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36"/>
      <c r="L1849" s="33"/>
      <c r="M1849" s="34"/>
      <c r="N1849" s="35"/>
    </row>
  </sheetData>
  <sortState xmlns:xlrd2="http://schemas.microsoft.com/office/spreadsheetml/2017/richdata2" ref="B7:I1048559">
    <sortCondition ref="C7:C28"/>
  </sortState>
  <mergeCells count="3">
    <mergeCell ref="D1:H1"/>
    <mergeCell ref="D2:K2"/>
    <mergeCell ref="B3:F4"/>
  </mergeCells>
  <phoneticPr fontId="19" type="noConversion"/>
  <conditionalFormatting sqref="H1822:H184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2:H184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2:H184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2:E184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2:E184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2:E184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2:E184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2:E184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2:E184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2:E184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2:E184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2:H184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2:H184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2:H184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2:E184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2:H184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2:E184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2:H1849">
    <cfRule type="iconSet" priority="282941">
      <iconSet>
        <cfvo type="percent" val="0"/>
        <cfvo type="percent" val="23"/>
        <cfvo type="percent" val="70"/>
      </iconSet>
    </cfRule>
  </conditionalFormatting>
  <conditionalFormatting sqref="H1822:H184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2:H184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2:H184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2:H184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2:E184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2:H184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2:H184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2:H184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2:H184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2:H184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2:E184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2:H184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2:H184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2:E184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2:E184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2:H184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2:H184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2:H184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2:E184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2:H184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2:H184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2:H184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2:H184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2:H184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2:H184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2:E184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2:H184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2:H184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2:H184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2:H184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2:H184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2:H184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2:H184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2:E184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2:H184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2:E184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2:H184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2:E184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2:H184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09">
      <iconSet>
        <cfvo type="percent" val="0"/>
        <cfvo type="num" val="22"/>
        <cfvo type="num" val="26"/>
      </iconSet>
    </cfRule>
  </conditionalFormatting>
  <conditionalFormatting sqref="H1822:H184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2:H1849">
    <cfRule type="iconSet" priority="283415">
      <iconSet>
        <cfvo type="percent" val="0"/>
        <cfvo type="num" val="21"/>
        <cfvo type="num" val="25"/>
      </iconSet>
    </cfRule>
  </conditionalFormatting>
  <conditionalFormatting sqref="H1822:H1849">
    <cfRule type="iconSet" priority="283417">
      <iconSet>
        <cfvo type="percent" val="0"/>
        <cfvo type="num" val="19"/>
        <cfvo type="num" val="23"/>
      </iconSet>
    </cfRule>
  </conditionalFormatting>
  <conditionalFormatting sqref="H1822:H1849">
    <cfRule type="iconSet" priority="283419">
      <iconSet>
        <cfvo type="percent" val="0"/>
        <cfvo type="num" val="23"/>
        <cfvo type="num" val="27"/>
      </iconSet>
    </cfRule>
  </conditionalFormatting>
  <conditionalFormatting sqref="E1736:E173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1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30:E1159 E7:E28">
    <cfRule type="cellIs" dxfId="60" priority="170" operator="greaterThan">
      <formula>7</formula>
    </cfRule>
  </conditionalFormatting>
  <conditionalFormatting sqref="E1469:E4747">
    <cfRule type="cellIs" dxfId="59" priority="137" operator="greaterThan">
      <formula>7</formula>
    </cfRule>
  </conditionalFormatting>
  <conditionalFormatting sqref="I30:I1231 G30:G32 I7:I28">
    <cfRule type="cellIs" dxfId="58" priority="41" operator="lessThan">
      <formula>E7</formula>
    </cfRule>
  </conditionalFormatting>
  <conditionalFormatting sqref="I1822:I184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2:I184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2:I184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2:I184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2:I184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2:I184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2:I184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2:I184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2:I184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2:I184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2:I184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2:I184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2:I184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2:I184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8:H1455 H1242:H1416 H30:H1231 H7:H28">
    <cfRule type="cellIs" dxfId="57" priority="297711" operator="greaterThan">
      <formula>$H$29</formula>
    </cfRule>
  </conditionalFormatting>
  <conditionalFormatting sqref="L7:L1231">
    <cfRule type="top10" dxfId="56" priority="29774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E1822:E1849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H1822:H1849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E1736:E1738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I1822:I1849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L1822:L1849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H1822:H1849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E1716:E1735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$H$29</xm:f>
              </x14:cfvo>
              <x14:cfIcon iconSet="NoIcons" iconId="0"/>
              <x14:cfIcon iconSet="NoIcons" iconId="0"/>
              <x14:cfIcon iconSet="3Stars" iconId="2"/>
            </x14:iconSet>
          </x14:cfRule>
          <xm:sqref>H1242:H1252 H30:H1231 H7:H28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2" t="s">
        <v>110</v>
      </c>
      <c r="E1" s="372"/>
      <c r="F1" s="372"/>
      <c r="G1" s="372"/>
      <c r="H1" s="372"/>
      <c r="I1" s="19"/>
      <c r="J1" s="16"/>
      <c r="K1"/>
    </row>
    <row r="2" spans="2:75" ht="33.75" customHeight="1" thickBot="1" x14ac:dyDescent="0.35">
      <c r="D2" s="373" t="s">
        <v>111</v>
      </c>
      <c r="E2" s="373"/>
      <c r="F2" s="373"/>
      <c r="G2" s="373"/>
      <c r="H2" s="373"/>
      <c r="I2" s="373"/>
      <c r="J2" s="373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4" t="s">
        <v>115</v>
      </c>
      <c r="E3" s="374"/>
      <c r="F3" s="374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4"/>
      <c r="E4" s="374"/>
      <c r="F4" s="374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2025-12-29T05:38:49Z</cp:lastPrinted>
  <dcterms:created xsi:type="dcterms:W3CDTF">2021-05-05T13:25:05Z</dcterms:created>
  <dcterms:modified xsi:type="dcterms:W3CDTF">2025-12-29T05:41:09Z</dcterms:modified>
</cp:coreProperties>
</file>