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AD96B6A2-14A5-4495-9DF1-A8ADEE92ADA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Import!$B$1:$R$28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G28" i="1"/>
  <c r="I14" i="1" s="1"/>
  <c r="F28" i="1"/>
  <c r="E2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O15" i="1"/>
  <c r="O16" i="1"/>
  <c r="O17" i="1"/>
  <c r="O18" i="1"/>
  <c r="O19" i="1"/>
  <c r="O20" i="1"/>
  <c r="O21" i="1"/>
  <c r="O22" i="1"/>
  <c r="O23" i="1"/>
  <c r="O24" i="1"/>
  <c r="Q24" i="1" s="1"/>
  <c r="O25" i="1"/>
  <c r="Q25" i="1" s="1"/>
  <c r="O26" i="1"/>
  <c r="Q26" i="1" s="1"/>
  <c r="O27" i="1"/>
  <c r="Q27" i="1" s="1"/>
  <c r="M7" i="1"/>
  <c r="M8" i="1"/>
  <c r="M9" i="1"/>
  <c r="M10" i="1"/>
  <c r="M11" i="1"/>
  <c r="M27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H15" i="1"/>
  <c r="H14" i="1"/>
  <c r="H16" i="1"/>
  <c r="H17" i="1"/>
  <c r="H18" i="1"/>
  <c r="H26" i="1"/>
  <c r="H7" i="1"/>
  <c r="H19" i="1"/>
  <c r="H8" i="1"/>
  <c r="H9" i="1"/>
  <c r="H10" i="1"/>
  <c r="H11" i="1"/>
  <c r="H27" i="1"/>
  <c r="H20" i="1"/>
  <c r="H12" i="1"/>
  <c r="H21" i="1"/>
  <c r="H13" i="1"/>
  <c r="H22" i="1"/>
  <c r="H23" i="1"/>
  <c r="H24" i="1"/>
  <c r="H25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P45" i="1" s="1"/>
  <c r="P3" i="6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D12" i="3"/>
  <c r="H11" i="3"/>
  <c r="AP6" i="3"/>
  <c r="D13" i="3"/>
  <c r="E13" i="3"/>
  <c r="P44" i="1" l="1"/>
  <c r="Q23" i="1"/>
  <c r="Q19" i="1"/>
  <c r="Q15" i="1"/>
  <c r="P36" i="1"/>
  <c r="Q22" i="1"/>
  <c r="Q18" i="1"/>
  <c r="Q14" i="1"/>
  <c r="Q21" i="1"/>
  <c r="Q17" i="1"/>
  <c r="Q20" i="1"/>
  <c r="Q16" i="1"/>
  <c r="I12" i="1"/>
  <c r="I7" i="1"/>
  <c r="P7" i="1" s="1"/>
  <c r="L7" i="1" s="1"/>
  <c r="I24" i="1"/>
  <c r="P24" i="1" s="1"/>
  <c r="I20" i="1"/>
  <c r="J20" i="1" s="1"/>
  <c r="I26" i="1"/>
  <c r="P26" i="1" s="1"/>
  <c r="I23" i="1"/>
  <c r="I10" i="1"/>
  <c r="P10" i="1" s="1"/>
  <c r="L10" i="1" s="1"/>
  <c r="I16" i="1"/>
  <c r="P16" i="1" s="1"/>
  <c r="I17" i="1"/>
  <c r="I22" i="1"/>
  <c r="I9" i="1"/>
  <c r="P9" i="1" s="1"/>
  <c r="L9" i="1" s="1"/>
  <c r="I25" i="1"/>
  <c r="J26" i="1" s="1"/>
  <c r="I13" i="1"/>
  <c r="I27" i="1"/>
  <c r="P27" i="1" s="1"/>
  <c r="I8" i="1"/>
  <c r="J14" i="1" s="1"/>
  <c r="I18" i="1"/>
  <c r="P18" i="1" s="1"/>
  <c r="I15" i="1"/>
  <c r="I21" i="1"/>
  <c r="J21" i="1" s="1"/>
  <c r="I11" i="1"/>
  <c r="J17" i="1" s="1"/>
  <c r="I19" i="1"/>
  <c r="P20" i="1" s="1"/>
  <c r="L20" i="1" s="1"/>
  <c r="N10" i="1"/>
  <c r="J7" i="1"/>
  <c r="N24" i="1"/>
  <c r="N20" i="1"/>
  <c r="N16" i="1"/>
  <c r="N12" i="1"/>
  <c r="N9" i="1"/>
  <c r="P41" i="1"/>
  <c r="J13" i="1"/>
  <c r="N23" i="1"/>
  <c r="N19" i="1"/>
  <c r="N15" i="1"/>
  <c r="N27" i="1"/>
  <c r="N8" i="1"/>
  <c r="P40" i="1"/>
  <c r="Q45" i="1"/>
  <c r="P13" i="1"/>
  <c r="L13" i="1" s="1"/>
  <c r="N26" i="1"/>
  <c r="N22" i="1"/>
  <c r="N18" i="1"/>
  <c r="N14" i="1"/>
  <c r="N11" i="1"/>
  <c r="N7" i="1"/>
  <c r="P12" i="1"/>
  <c r="L12" i="1" s="1"/>
  <c r="N25" i="1"/>
  <c r="N21" i="1"/>
  <c r="N17" i="1"/>
  <c r="N13" i="1"/>
  <c r="H28" i="1"/>
  <c r="U16" i="1" s="1"/>
  <c r="U38" i="1"/>
  <c r="U34" i="1"/>
  <c r="P23" i="1"/>
  <c r="P15" i="1"/>
  <c r="P11" i="1"/>
  <c r="L11" i="1" s="1"/>
  <c r="J12" i="1"/>
  <c r="P22" i="1"/>
  <c r="L22" i="1" s="1"/>
  <c r="P14" i="1"/>
  <c r="L14" i="1" s="1"/>
  <c r="J23" i="1"/>
  <c r="J15" i="1"/>
  <c r="J27" i="1"/>
  <c r="P37" i="1"/>
  <c r="P33" i="1"/>
  <c r="P29" i="1"/>
  <c r="P32" i="1"/>
  <c r="P28" i="1"/>
  <c r="U33" i="1"/>
  <c r="U36" i="1"/>
  <c r="P43" i="1"/>
  <c r="P39" i="1"/>
  <c r="P35" i="1"/>
  <c r="P31" i="1"/>
  <c r="P42" i="1"/>
  <c r="P38" i="1"/>
  <c r="P34" i="1"/>
  <c r="P30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10" i="1" l="1"/>
  <c r="L15" i="1"/>
  <c r="P17" i="1"/>
  <c r="L17" i="1" s="1"/>
  <c r="J16" i="1"/>
  <c r="J19" i="1"/>
  <c r="J8" i="1"/>
  <c r="J9" i="1"/>
  <c r="J24" i="1"/>
  <c r="P19" i="1"/>
  <c r="L19" i="1" s="1"/>
  <c r="J25" i="1"/>
  <c r="L26" i="1"/>
  <c r="L18" i="1"/>
  <c r="U19" i="1"/>
  <c r="L27" i="1"/>
  <c r="L23" i="1"/>
  <c r="L16" i="1"/>
  <c r="J11" i="1"/>
  <c r="P25" i="1"/>
  <c r="L24" i="1" s="1"/>
  <c r="J18" i="1"/>
  <c r="J22" i="1"/>
  <c r="P21" i="1"/>
  <c r="L21" i="1" s="1"/>
  <c r="I28" i="1"/>
  <c r="U26" i="1"/>
  <c r="P8" i="1"/>
  <c r="L8" i="1" s="1"/>
  <c r="U40" i="1"/>
  <c r="U37" i="1"/>
  <c r="U39" i="1"/>
  <c r="U15" i="1"/>
  <c r="U22" i="1"/>
  <c r="U21" i="1"/>
  <c r="U24" i="1"/>
  <c r="U28" i="1"/>
  <c r="U44" i="1"/>
  <c r="U41" i="1"/>
  <c r="U35" i="1"/>
  <c r="U42" i="1"/>
  <c r="U11" i="1"/>
  <c r="U14" i="1"/>
  <c r="U17" i="1"/>
  <c r="U20" i="1"/>
  <c r="U32" i="1"/>
  <c r="U29" i="1"/>
  <c r="U45" i="1"/>
  <c r="U30" i="1"/>
  <c r="U27" i="1"/>
  <c r="U43" i="1"/>
  <c r="U10" i="1"/>
  <c r="U13" i="1"/>
  <c r="U8" i="1"/>
  <c r="U12" i="1"/>
  <c r="U31" i="1"/>
  <c r="U23" i="1"/>
  <c r="U7" i="1"/>
  <c r="U18" i="1"/>
  <c r="U25" i="1"/>
  <c r="U9" i="1"/>
  <c r="N28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L25" i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9" i="1"/>
  <c r="S9" i="1" s="1"/>
  <c r="R13" i="1"/>
  <c r="S13" i="1" s="1"/>
  <c r="R17" i="1"/>
  <c r="S17" i="1" s="1"/>
  <c r="R21" i="1"/>
  <c r="S21" i="1" s="1"/>
  <c r="R25" i="1"/>
  <c r="S25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<sst xmlns="http://schemas.openxmlformats.org/spreadsheetml/2006/main" count="265" uniqueCount="174">
  <si>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</si>
  <si>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</si>
  <si>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</si>
  <si>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</si>
  <si>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</si>
  <si>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</si>
  <si>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</si>
  <si>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</si>
  <si>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</si>
  <si>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</si>
  <si>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</si>
  <si>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</si>
  <si>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</si>
  <si>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</si>
  <si>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</si>
  <si>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</si>
  <si>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</si>
  <si>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</si>
  <si>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</si>
  <si>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</si>
  <si>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</si>
  <si>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</si>
  <si>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</si>
  <si>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</si>
  <si>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</si>
  <si>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</si>
  <si>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</si>
  <si>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</si>
  <si>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</si>
  <si>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</si>
  <si>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</si>
  <si>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</si>
  <si>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</si>
  <si>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</si>
  <si>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</si>
  <si>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</si>
  <si>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</si>
  <si>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</si>
  <si>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</si>
  <si>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</si>
  <si>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</si>
  <si>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</si>
  <si>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</si>
  <si>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</si>
  <si>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</si>
  <si>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</si>
  <si>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</si>
  <si>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</si>
  <si>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</si>
  <si>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</si>
  <si>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</si>
  <si>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</si>
  <si>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</si>
  <si>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</si>
  <si>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</si>
  <si>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</si>
  <si>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</si>
  <si>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</si>
  <si>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</si>
  <si>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</si>
  <si>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</si>
  <si>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</si>
  <si>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</si>
  <si>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</si>
  <si>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</si>
  <si>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</si>
  <si>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</si>
  <si>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</si>
  <si>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</si>
  <si>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</si>
  <si>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</si>
  <si>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</si>
  <si>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</si>
  <si>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</si>
  <si>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</si>
  <si>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</si>
  <si>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</si>
  <si>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</si>
  <si>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</si>
  <si>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</si>
  <si>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</si>
  <si>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</si>
  <si>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</si>
  <si>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</si>
  <si>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</si>
  <si>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</si>
  <si>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</si>
  <si>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</si>
  <si>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</si>
  <si>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</si>
  <si>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</si>
  <si>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</si>
  <si>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</si>
  <si>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</si>
  <si>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</si>
  <si>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</si>
  <si>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</si>
  <si>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</si>
  <si>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</si>
  <si>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</si>
  <si>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</si>
  <si>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</si>
  <si>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</si>
  <si>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</si>
  <si>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</si>
  <si>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</si>
  <si>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</si>
  <si>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</si>
  <si>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</si>
  <si>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</si>
  <si>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</si>
  <si>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</si>
  <si>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</si>
  <si>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</si>
  <si>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</si>
  <si>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</si>
  <si>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</si>
  <si>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</si>
  <si>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</si>
  <si>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</si>
  <si>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</si>
  <si>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</si>
  <si>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</si>
  <si>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</si>
  <si>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</si>
  <si>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</si>
  <si>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</si>
  <si>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</si>
  <si>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</si>
  <si>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</si>
  <si>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</si>
  <si>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</si>
  <si>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</si>
  <si>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</si>
  <si>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</si>
  <si>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</si>
  <si>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</si>
  <si>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</si>
  <si>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</si>
  <si>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</si>
  <si>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</si>
  <si>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</si>
  <si>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</si>
  <si>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</si>
  <si>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</si>
  <si>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</si>
  <si>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</si>
  <si>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</si>
  <si>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</si>
  <si>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GONZALEZ IPUANA RENE</t>
  </si>
  <si>
    <t>PARRA VILLA YUBER ALONSO</t>
  </si>
  <si>
    <t>QUIRAMA CASTAÑEDA JHON JADER</t>
  </si>
  <si>
    <t>SANCHEZ BETANCOURT FRANSCISCO</t>
  </si>
  <si>
    <t>MACIAS HERNANDEZ JULIAN DAVID</t>
  </si>
  <si>
    <t>LOPEZ PINEDA DANIEL ESTIVEN</t>
  </si>
  <si>
    <t>VERENZUELA MARTINEZ ALEXANDER</t>
  </si>
  <si>
    <t>PEREZ GARCIA JUAN ESTEBAN</t>
  </si>
  <si>
    <t>LAYOS JIMENEZ JOHAN CAMILO</t>
  </si>
  <si>
    <t>MACEA ARBELAEZ MATEO</t>
  </si>
  <si>
    <t>AGUDELO GARCIA LLORDIN ELIAS</t>
  </si>
  <si>
    <t>MARIN ALZATE KEVIN ANDRES</t>
  </si>
  <si>
    <t>MONTOYA OSPINA GILBERTO ANTONIO</t>
  </si>
  <si>
    <t>PALMAR PANA EDIXON JOSUE</t>
  </si>
  <si>
    <t>VALENCIA MENDOZA JHON</t>
  </si>
  <si>
    <t>OCAMPO OCAMPO ANTONIO JOSE</t>
  </si>
  <si>
    <t>SUAREZ ESCUDERO JONATAN</t>
  </si>
  <si>
    <t>JIMENEZ HURTADO CARLOS ESTIVEN</t>
  </si>
  <si>
    <t>88XM</t>
  </si>
  <si>
    <t xml:space="preserve">FRANCO CARVAJAL GERARDO ANTONIO </t>
  </si>
  <si>
    <t xml:space="preserve">RAFAEL ARISTIZABAL Realizó 3 viajes donde movilizó 37 Usuarios </t>
  </si>
  <si>
    <t xml:space="preserve">Se descuenta 0.5 viaje de 9 24 am ya que NO espera el tiempo indicado en el paradero. </t>
  </si>
  <si>
    <t xml:space="preserve">1 Descuento (Despachador) </t>
  </si>
  <si>
    <t xml:space="preserve">3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</si>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</sst>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Trebuchet MS"/>
      <family val="2"/>
      <scheme val="minor"/>
    </font>
    <font>
      <sz val="11"/>
      <color rgb="FFFF0000"/>
      <name val="Trebuchet MS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Trebuchet MS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8"/>
      <name val="Trebuchet MS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General</c:formatCode>
                <c:ptCount val="21"/>
                <c:pt idx="0" formatCode="0">
                  <c:v>3</c:v>
                </c:pt>
                <c:pt idx="1">
                  <c:v>4</c:v>
                </c:pt>
                <c:pt idx="2" formatCode="0">
                  <c:v>5</c:v>
                </c:pt>
                <c:pt idx="3" formatCode="0">
                  <c:v>6</c:v>
                </c:pt>
                <c:pt idx="4" formatCode="0">
                  <c:v>8</c:v>
                </c:pt>
                <c:pt idx="5" formatCode="0">
                  <c:v>14</c:v>
                </c:pt>
                <c:pt idx="6" formatCode="0">
                  <c:v>16</c:v>
                </c:pt>
                <c:pt idx="7" formatCode="0">
                  <c:v>18</c:v>
                </c:pt>
                <c:pt idx="8" formatCode="0">
                  <c:v>19</c:v>
                </c:pt>
                <c:pt idx="9" formatCode="0">
                  <c:v>20</c:v>
                </c:pt>
                <c:pt idx="10" formatCode="0">
                  <c:v>21</c:v>
                </c:pt>
                <c:pt idx="11">
                  <c:v>22</c:v>
                </c:pt>
                <c:pt idx="12" formatCode="0">
                  <c:v>24</c:v>
                </c:pt>
                <c:pt idx="13">
                  <c:v>30</c:v>
                </c:pt>
                <c:pt idx="14" formatCode="0">
                  <c:v>31</c:v>
                </c:pt>
                <c:pt idx="15" formatCode="0">
                  <c:v>32</c:v>
                </c:pt>
                <c:pt idx="16" formatCode="0">
                  <c:v>34</c:v>
                </c:pt>
                <c:pt idx="17" formatCode="0">
                  <c:v>38</c:v>
                </c:pt>
                <c:pt idx="18" formatCode="0">
                  <c:v>39</c:v>
                </c:pt>
                <c:pt idx="19" formatCode="0">
                  <c:v>40</c:v>
                </c:pt>
                <c:pt idx="20">
                  <c:v>44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27.5</c:v>
                </c:pt>
                <c:pt idx="1">
                  <c:v>22.6</c:v>
                </c:pt>
                <c:pt idx="2">
                  <c:v>27.111111111111111</c:v>
                </c:pt>
                <c:pt idx="3">
                  <c:v>20.777777777777779</c:v>
                </c:pt>
                <c:pt idx="4">
                  <c:v>23.2</c:v>
                </c:pt>
                <c:pt idx="5">
                  <c:v>22.363636363636363</c:v>
                </c:pt>
                <c:pt idx="6">
                  <c:v>21.666666666666668</c:v>
                </c:pt>
                <c:pt idx="7">
                  <c:v>19.272727272727273</c:v>
                </c:pt>
                <c:pt idx="8">
                  <c:v>23.333333333333332</c:v>
                </c:pt>
                <c:pt idx="9">
                  <c:v>21.777777777777779</c:v>
                </c:pt>
                <c:pt idx="10">
                  <c:v>20.666666666666668</c:v>
                </c:pt>
                <c:pt idx="11">
                  <c:v>16.923076923076923</c:v>
                </c:pt>
                <c:pt idx="12">
                  <c:v>22.1</c:v>
                </c:pt>
                <c:pt idx="13">
                  <c:v>23.6</c:v>
                </c:pt>
                <c:pt idx="14">
                  <c:v>21.6</c:v>
                </c:pt>
                <c:pt idx="15">
                  <c:v>20.7</c:v>
                </c:pt>
                <c:pt idx="16">
                  <c:v>24.2</c:v>
                </c:pt>
                <c:pt idx="17">
                  <c:v>23.444444444444443</c:v>
                </c:pt>
                <c:pt idx="18">
                  <c:v>24.111111111111111</c:v>
                </c:pt>
                <c:pt idx="19">
                  <c:v>24.2</c:v>
                </c:pt>
                <c:pt idx="20">
                  <c:v>25.571428571428573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55" dataDxfId="54" totalsRowDxfId="53">
  <sortState xmlns:xlrd2="http://schemas.microsoft.com/office/spreadsheetml/2017/richdata2" ref="B7:N27">
    <sortCondition ref="C13:C27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22.7 USUARIOS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Faceta">
  <a:themeElements>
    <a:clrScheme name="Faceta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a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topLeftCell="H2" zoomScaleNormal="100" workbookViewId="0">
      <selection activeCell="H2" sqref="A1:XFD1048576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10.375" style="362" hidden="1" customWidth="1"/>
    <col min="11" max="11" width="57.875" customWidth="1"/>
    <col min="12" max="12" width="10.5" style="337" customWidth="1"/>
    <col min="13" max="13" width="9.625" customWidth="1"/>
    <col min="14" max="14" width="11.375" customWidth="1"/>
    <col min="15" max="15" width="9.375" hidden="1" customWidth="1"/>
    <col min="16" max="16" width="7.375" hidden="1" customWidth="1"/>
    <col min="17" max="17" width="16.25" style="11" hidden="1" customWidth="1"/>
    <col min="18" max="18" width="9.75" hidden="1" customWidth="1"/>
    <col min="19" max="19" width="18.625" hidden="1" customWidth="1"/>
    <col min="20" max="20" width="77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73" t="s">
        <v>142</v>
      </c>
      <c r="E1" s="373"/>
      <c r="F1" s="373"/>
      <c r="G1" s="373"/>
      <c r="H1" s="373"/>
      <c r="I1" s="19"/>
      <c r="J1" s="338"/>
      <c r="K1" s="195"/>
      <c r="L1"/>
    </row>
    <row r="2" spans="1:32" ht="49.5" thickBot="1" x14ac:dyDescent="0.35">
      <c r="D2" s="374" t="s">
        <v>141</v>
      </c>
      <c r="E2" s="374"/>
      <c r="F2" s="374"/>
      <c r="G2" s="374"/>
      <c r="H2" s="374"/>
      <c r="I2" s="374"/>
      <c r="J2" s="374"/>
      <c r="K2" s="374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4">
      <c r="B3" s="375"/>
      <c r="C3" s="375"/>
      <c r="D3" s="375"/>
      <c r="E3" s="375"/>
      <c r="F3" s="375"/>
      <c r="G3" s="241"/>
      <c r="H3" s="243"/>
      <c r="I3" s="19"/>
      <c r="J3" s="338"/>
      <c r="K3" s="195"/>
      <c r="L3" s="197"/>
      <c r="Q3" s="55">
        <f>+SUM(G6:G1839)/2</f>
        <v>4420</v>
      </c>
      <c r="R3" s="55">
        <f>+SUM(E6:E1839)/2</f>
        <v>194.5</v>
      </c>
      <c r="S3" s="55">
        <f>+Q3-R3</f>
        <v>4225.5</v>
      </c>
      <c r="T3" s="56">
        <f>+S3/R3</f>
        <v>21.724935732647815</v>
      </c>
      <c r="V3" s="15"/>
      <c r="X3" s="15"/>
      <c r="Z3" s="15"/>
      <c r="AB3" s="15"/>
      <c r="AD3" s="15"/>
      <c r="AF3" s="15"/>
    </row>
    <row r="4" spans="1:32" x14ac:dyDescent="0.3">
      <c r="B4" s="375"/>
      <c r="C4" s="375"/>
      <c r="D4" s="375"/>
      <c r="E4" s="375"/>
      <c r="F4" s="375"/>
      <c r="G4" s="194">
        <v>46005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40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">
      <c r="B7" s="136" t="s">
        <v>167</v>
      </c>
      <c r="C7" s="166">
        <v>3</v>
      </c>
      <c r="D7" s="151" t="s">
        <v>165</v>
      </c>
      <c r="E7" s="150">
        <v>10</v>
      </c>
      <c r="F7" s="150">
        <v>0</v>
      </c>
      <c r="G7" s="165">
        <v>275</v>
      </c>
      <c r="H7" s="226">
        <f t="shared" ref="H7:H27" si="0">+G7/E7</f>
        <v>27.5</v>
      </c>
      <c r="I7" s="227">
        <f t="shared" ref="I7:I27" si="1">+(SUM($G$7:$G$1048576)/SUM($E$7:$E$1048576))*E7</f>
        <v>227.24935732647816</v>
      </c>
      <c r="J7" s="363">
        <f>+Tabla2[[#This Row],[PROM DE USUARIOS]]-Tabla2[[#This Row],[USUARIOS]]</f>
        <v>-47.750642673521838</v>
      </c>
      <c r="K7" s="151" t="s">
        <v>171</v>
      </c>
      <c r="L7" s="163">
        <f t="shared" ref="L7:L27" si="2">P7*585</f>
        <v>127090.87403598972</v>
      </c>
      <c r="M7" s="162" t="str">
        <f>+VLOOKUP(C7,Lista!B:D,3,0)</f>
        <v>MICRO</v>
      </c>
      <c r="N7" s="365">
        <f t="shared" ref="N7:N27" si="3">+(SUMIFS(G:G,M:M,"MICRO",E:E,"&gt;0")*100)/COUNTIF($E$7:$E$27,"&gt;0")</f>
        <v>15109.523809523809</v>
      </c>
      <c r="O7" s="50">
        <f t="shared" ref="O7:O27" si="4">+(E7*1)-V7</f>
        <v>10</v>
      </c>
      <c r="P7" s="47">
        <f t="shared" ref="P7:P27" si="5">+I7-O7-W7</f>
        <v>217.24935732647816</v>
      </c>
      <c r="Q7" s="49">
        <f t="shared" ref="Q7:Q27" si="6">+G7-O7</f>
        <v>265</v>
      </c>
      <c r="R7" s="51">
        <f t="shared" ref="R7:R27" si="7">+E7*$T$3</f>
        <v>217.24935732647816</v>
      </c>
      <c r="S7" s="46">
        <f t="shared" ref="S7:S27" si="8">+R7*550</f>
        <v>119487.14652956299</v>
      </c>
      <c r="T7" t="str">
        <f t="shared" ref="T7:T27" si="9">+IF(K7&lt;&gt;"",K7,"")</f>
        <v xml:space="preserve">1 Descuento (Despachador) </v>
      </c>
      <c r="U7">
        <f t="shared" ref="U7:U27" si="10">+RANK(H7,$H$6:$H$1048576,1)</f>
        <v>22</v>
      </c>
      <c r="V7"/>
      <c r="W7"/>
      <c r="Y7" t="str">
        <f>TRIM(Tabla2[[#This Row],[CONDUCTOR]])</f>
        <v>SUAREZ ESCUDERO JONATAN</v>
      </c>
    </row>
    <row r="8" spans="1:32" x14ac:dyDescent="0.3">
      <c r="B8" s="136" t="s">
        <v>167</v>
      </c>
      <c r="C8" s="137">
        <v>4</v>
      </c>
      <c r="D8" s="151" t="s">
        <v>152</v>
      </c>
      <c r="E8" s="150">
        <v>10</v>
      </c>
      <c r="F8" s="150">
        <v>0</v>
      </c>
      <c r="G8" s="165">
        <v>226</v>
      </c>
      <c r="H8" s="226">
        <f t="shared" si="0"/>
        <v>22.6</v>
      </c>
      <c r="I8" s="227">
        <f t="shared" si="1"/>
        <v>227.24935732647816</v>
      </c>
      <c r="J8" s="363">
        <f>+Tabla2[[#This Row],[PROM DE USUARIOS]]-Tabla2[[#This Row],[USUARIOS]]</f>
        <v>1.2493573264781617</v>
      </c>
      <c r="K8" s="151" t="s">
        <v>171</v>
      </c>
      <c r="L8" s="163">
        <f t="shared" si="2"/>
        <v>127090.87403598972</v>
      </c>
      <c r="M8" s="162" t="str">
        <f>+VLOOKUP(C8,Lista!B:D,3,0)</f>
        <v>MICRO</v>
      </c>
      <c r="N8" s="365">
        <f t="shared" si="3"/>
        <v>15109.523809523809</v>
      </c>
      <c r="O8" s="50">
        <f t="shared" si="4"/>
        <v>10</v>
      </c>
      <c r="P8" s="47">
        <f t="shared" si="5"/>
        <v>217.24935732647816</v>
      </c>
      <c r="Q8" s="49">
        <f t="shared" si="6"/>
        <v>216</v>
      </c>
      <c r="R8" s="51">
        <f t="shared" si="7"/>
        <v>217.24935732647816</v>
      </c>
      <c r="S8" s="46">
        <f t="shared" si="8"/>
        <v>119487.14652956299</v>
      </c>
      <c r="T8" t="str">
        <f t="shared" si="9"/>
        <v xml:space="preserve">1 Descuento (Despachador) </v>
      </c>
      <c r="U8">
        <f t="shared" si="10"/>
        <v>11</v>
      </c>
      <c r="Y8" t="str">
        <f>TRIM(Tabla2[[#This Row],[CONDUCTOR]])</f>
        <v>SANCHEZ BETANCOURT FRANSCISCO</v>
      </c>
    </row>
    <row r="9" spans="1:32" x14ac:dyDescent="0.3">
      <c r="B9" s="136" t="s">
        <v>167</v>
      </c>
      <c r="C9" s="166">
        <v>5</v>
      </c>
      <c r="D9" s="151" t="s">
        <v>155</v>
      </c>
      <c r="E9" s="150">
        <v>9</v>
      </c>
      <c r="F9" s="150">
        <v>0</v>
      </c>
      <c r="G9" s="165">
        <v>244</v>
      </c>
      <c r="H9" s="226">
        <f t="shared" si="0"/>
        <v>27.111111111111111</v>
      </c>
      <c r="I9" s="227">
        <f t="shared" si="1"/>
        <v>204.52442159383034</v>
      </c>
      <c r="J9" s="363">
        <f>+Tabla2[[#This Row],[PROM DE USUARIOS]]-Tabla2[[#This Row],[USUARIOS]]</f>
        <v>-39.47557840616966</v>
      </c>
      <c r="K9" s="151"/>
      <c r="L9" s="163">
        <f t="shared" si="2"/>
        <v>114381.78663239075</v>
      </c>
      <c r="M9" s="162">
        <f>+VLOOKUP(C9,Lista!B:D,3,0)</f>
        <v>0</v>
      </c>
      <c r="N9" s="365">
        <f t="shared" si="3"/>
        <v>15109.523809523809</v>
      </c>
      <c r="O9" s="50">
        <f t="shared" si="4"/>
        <v>9</v>
      </c>
      <c r="P9" s="47">
        <f t="shared" si="5"/>
        <v>195.52442159383034</v>
      </c>
      <c r="Q9" s="49">
        <f t="shared" si="6"/>
        <v>235</v>
      </c>
      <c r="R9" s="51">
        <f t="shared" si="7"/>
        <v>195.52442159383034</v>
      </c>
      <c r="S9" s="46">
        <f t="shared" si="8"/>
        <v>107538.43187660669</v>
      </c>
      <c r="T9" t="str">
        <f t="shared" si="9"/>
        <v/>
      </c>
      <c r="U9">
        <f t="shared" si="10"/>
        <v>21</v>
      </c>
      <c r="Y9" t="str">
        <f>TRIM(Tabla2[[#This Row],[CONDUCTOR]])</f>
        <v>VERENZUELA MARTINEZ ALEXANDER</v>
      </c>
    </row>
    <row r="10" spans="1:32" x14ac:dyDescent="0.3">
      <c r="B10" s="136" t="s">
        <v>167</v>
      </c>
      <c r="C10" s="166">
        <v>6</v>
      </c>
      <c r="D10" s="151" t="s">
        <v>154</v>
      </c>
      <c r="E10" s="150">
        <v>9</v>
      </c>
      <c r="F10" s="150">
        <v>0</v>
      </c>
      <c r="G10" s="165">
        <v>187</v>
      </c>
      <c r="H10" s="226">
        <f t="shared" si="0"/>
        <v>20.777777777777779</v>
      </c>
      <c r="I10" s="227">
        <f t="shared" si="1"/>
        <v>204.52442159383034</v>
      </c>
      <c r="J10" s="363">
        <f>+Tabla2[[#This Row],[PROM DE USUARIOS]]-Tabla2[[#This Row],[USUARIOS]]</f>
        <v>17.52442159383034</v>
      </c>
      <c r="K10" s="151"/>
      <c r="L10" s="163">
        <f t="shared" si="2"/>
        <v>114381.78663239075</v>
      </c>
      <c r="M10" s="162" t="str">
        <f>+VLOOKUP(C10,Lista!B:D,3,0)</f>
        <v>MICRO</v>
      </c>
      <c r="N10" s="365">
        <f t="shared" si="3"/>
        <v>15109.523809523809</v>
      </c>
      <c r="O10" s="50">
        <f t="shared" si="4"/>
        <v>9</v>
      </c>
      <c r="P10" s="47">
        <f t="shared" si="5"/>
        <v>195.52442159383034</v>
      </c>
      <c r="Q10" s="49">
        <f t="shared" si="6"/>
        <v>178</v>
      </c>
      <c r="R10" s="51">
        <f t="shared" si="7"/>
        <v>195.52442159383034</v>
      </c>
      <c r="S10" s="46">
        <f t="shared" si="8"/>
        <v>107538.43187660669</v>
      </c>
      <c r="T10" t="str">
        <f t="shared" si="9"/>
        <v/>
      </c>
      <c r="U10">
        <f t="shared" si="10"/>
        <v>5</v>
      </c>
      <c r="Y10" t="str">
        <f>TRIM(Tabla2[[#This Row],[CONDUCTOR]])</f>
        <v>LOPEZ PINEDA DANIEL ESTIVEN</v>
      </c>
    </row>
    <row r="11" spans="1:32" x14ac:dyDescent="0.3">
      <c r="B11" s="136" t="s">
        <v>167</v>
      </c>
      <c r="C11" s="166">
        <v>8</v>
      </c>
      <c r="D11" s="151" t="s">
        <v>148</v>
      </c>
      <c r="E11" s="150">
        <v>10</v>
      </c>
      <c r="F11" s="150">
        <v>0</v>
      </c>
      <c r="G11" s="165">
        <v>232</v>
      </c>
      <c r="H11" s="226">
        <f t="shared" si="0"/>
        <v>23.2</v>
      </c>
      <c r="I11" s="227">
        <f t="shared" si="1"/>
        <v>227.24935732647816</v>
      </c>
      <c r="J11" s="363">
        <f>+Tabla2[[#This Row],[PROM DE USUARIOS]]-Tabla2[[#This Row],[USUARIOS]]</f>
        <v>-4.7506426735218383</v>
      </c>
      <c r="K11" s="151"/>
      <c r="L11" s="163">
        <f t="shared" si="2"/>
        <v>127090.87403598972</v>
      </c>
      <c r="M11" s="162">
        <f>+VLOOKUP(C11,Lista!B:D,3,0)</f>
        <v>0</v>
      </c>
      <c r="N11" s="365">
        <f t="shared" si="3"/>
        <v>15109.523809523809</v>
      </c>
      <c r="O11" s="50">
        <f t="shared" si="4"/>
        <v>10</v>
      </c>
      <c r="P11" s="47">
        <f t="shared" si="5"/>
        <v>217.24935732647816</v>
      </c>
      <c r="Q11" s="49">
        <f t="shared" si="6"/>
        <v>222</v>
      </c>
      <c r="R11" s="51">
        <f t="shared" si="7"/>
        <v>217.24935732647816</v>
      </c>
      <c r="S11" s="46">
        <f t="shared" si="8"/>
        <v>119487.14652956299</v>
      </c>
      <c r="T11" t="str">
        <f t="shared" si="9"/>
        <v/>
      </c>
      <c r="U11">
        <f t="shared" si="10"/>
        <v>13</v>
      </c>
      <c r="Y11" t="str">
        <f>TRIM(Tabla2[[#This Row],[CONDUCTOR]])</f>
        <v>GONZALEZ PEREZ RAFAEL JOSE</v>
      </c>
    </row>
    <row r="12" spans="1:32" s="2" customFormat="1" ht="26.25" customHeight="1" x14ac:dyDescent="0.3">
      <c r="B12" s="136" t="s">
        <v>167</v>
      </c>
      <c r="C12" s="166">
        <v>14</v>
      </c>
      <c r="D12" s="136" t="s">
        <v>120</v>
      </c>
      <c r="E12" s="150">
        <v>11</v>
      </c>
      <c r="F12" s="150">
        <v>0.5</v>
      </c>
      <c r="G12" s="368">
        <v>246</v>
      </c>
      <c r="H12" s="369">
        <f t="shared" si="0"/>
        <v>22.363636363636363</v>
      </c>
      <c r="I12" s="370">
        <f t="shared" si="1"/>
        <v>249.97429305912596</v>
      </c>
      <c r="J12" s="371">
        <f>+Tabla2[[#This Row],[PROM DE USUARIOS]]-Tabla2[[#This Row],[USUARIOS]]</f>
        <v>3.9742930591259551</v>
      </c>
      <c r="K12" s="372" t="s">
        <v>170</v>
      </c>
      <c r="L12" s="163">
        <f t="shared" si="2"/>
        <v>133445.39893958869</v>
      </c>
      <c r="M12" s="162">
        <f>+VLOOKUP(C12,Lista!B:D,3,0)</f>
        <v>0</v>
      </c>
      <c r="N12" s="365">
        <f t="shared" si="3"/>
        <v>15109.523809523809</v>
      </c>
      <c r="O12" s="50">
        <f t="shared" si="4"/>
        <v>10.5</v>
      </c>
      <c r="P12" s="47">
        <f t="shared" si="5"/>
        <v>228.11179305912594</v>
      </c>
      <c r="Q12" s="49">
        <f t="shared" si="6"/>
        <v>235.5</v>
      </c>
      <c r="R12" s="51">
        <f t="shared" si="7"/>
        <v>238.97429305912596</v>
      </c>
      <c r="S12" s="46">
        <f t="shared" si="8"/>
        <v>131435.86118251926</v>
      </c>
      <c r="T12" s="2" t="str">
        <f t="shared" si="9"/>
        <v xml:space="preserve">Se descuenta 0.5 viaje de 9 24 am ya que NO espera el tiempo indicado en el paradero. </v>
      </c>
      <c r="U12" s="2">
        <f t="shared" si="10"/>
        <v>10</v>
      </c>
      <c r="V12" s="2">
        <v>0.5</v>
      </c>
      <c r="W12" s="2">
        <v>11.362500000000001</v>
      </c>
      <c r="Y12" s="2" t="str">
        <f>TRIM(Tabla2[[#This Row],[CONDUCTOR]])</f>
        <v>DURANGO PAEZ GILDARDO</v>
      </c>
    </row>
    <row r="13" spans="1:32" x14ac:dyDescent="0.3">
      <c r="B13" s="136" t="s">
        <v>167</v>
      </c>
      <c r="C13" s="166">
        <v>16</v>
      </c>
      <c r="D13" s="151" t="s">
        <v>156</v>
      </c>
      <c r="E13" s="150">
        <v>9</v>
      </c>
      <c r="F13" s="150">
        <v>0</v>
      </c>
      <c r="G13" s="165">
        <v>195</v>
      </c>
      <c r="H13" s="226">
        <f t="shared" si="0"/>
        <v>21.666666666666668</v>
      </c>
      <c r="I13" s="227">
        <f t="shared" si="1"/>
        <v>204.52442159383034</v>
      </c>
      <c r="J13" s="363">
        <f>+Tabla2[[#This Row],[PROM DE USUARIOS]]-Tabla2[[#This Row],[USUARIOS]]</f>
        <v>9.5244215938303398</v>
      </c>
      <c r="K13" s="151" t="s">
        <v>129</v>
      </c>
      <c r="L13" s="163">
        <f t="shared" si="2"/>
        <v>114381.78663239075</v>
      </c>
      <c r="M13" s="162" t="str">
        <f>+VLOOKUP(C13,Lista!B:D,3,0)</f>
        <v>MICRO</v>
      </c>
      <c r="N13" s="365">
        <f t="shared" si="3"/>
        <v>15109.523809523809</v>
      </c>
      <c r="O13" s="50">
        <f t="shared" si="4"/>
        <v>9</v>
      </c>
      <c r="P13" s="47">
        <f t="shared" si="5"/>
        <v>195.52442159383034</v>
      </c>
      <c r="Q13" s="49">
        <f t="shared" si="6"/>
        <v>186</v>
      </c>
      <c r="R13" s="51">
        <f t="shared" si="7"/>
        <v>195.52442159383034</v>
      </c>
      <c r="S13" s="46">
        <f t="shared" si="8"/>
        <v>107538.43187660669</v>
      </c>
      <c r="T13" t="str">
        <f t="shared" si="9"/>
        <v xml:space="preserve">1 Descuento (Conduct) </v>
      </c>
      <c r="U13">
        <f t="shared" si="10"/>
        <v>7</v>
      </c>
      <c r="Y13" t="str">
        <f>TRIM(Tabla2[[#This Row],[CONDUCTOR]])</f>
        <v>PEREZ GARCIA JUAN ESTEBAN</v>
      </c>
    </row>
    <row r="14" spans="1:32" x14ac:dyDescent="0.3">
      <c r="B14" s="136" t="s">
        <v>167</v>
      </c>
      <c r="C14" s="166">
        <v>18</v>
      </c>
      <c r="D14" s="151" t="s">
        <v>168</v>
      </c>
      <c r="E14" s="150">
        <v>11</v>
      </c>
      <c r="F14" s="150">
        <v>0</v>
      </c>
      <c r="G14" s="165">
        <v>212</v>
      </c>
      <c r="H14" s="226">
        <f t="shared" si="0"/>
        <v>19.272727272727273</v>
      </c>
      <c r="I14" s="227">
        <f t="shared" si="1"/>
        <v>249.97429305912596</v>
      </c>
      <c r="J14" s="363">
        <f>+Tabla2[[#This Row],[PROM DE USUARIOS]]-Tabla2[[#This Row],[USUARIOS]]</f>
        <v>37.974293059125955</v>
      </c>
      <c r="K14" s="151" t="s">
        <v>169</v>
      </c>
      <c r="L14" s="163">
        <f t="shared" si="2"/>
        <v>139799.96143958869</v>
      </c>
      <c r="M14" s="162" t="str">
        <f>+VLOOKUP(C14,Lista!B:D,3,0)</f>
        <v>MICRO</v>
      </c>
      <c r="N14" s="365">
        <f t="shared" si="3"/>
        <v>15109.523809523809</v>
      </c>
      <c r="O14" s="50">
        <f t="shared" si="4"/>
        <v>11</v>
      </c>
      <c r="P14" s="47">
        <f t="shared" si="5"/>
        <v>238.97429305912596</v>
      </c>
      <c r="Q14" s="49">
        <f t="shared" si="6"/>
        <v>201</v>
      </c>
      <c r="R14" s="51">
        <f t="shared" si="7"/>
        <v>238.97429305912596</v>
      </c>
      <c r="S14" s="46">
        <f t="shared" si="8"/>
        <v>131435.86118251926</v>
      </c>
      <c r="T14" t="str">
        <f t="shared" si="9"/>
        <v xml:space="preserve">RAFAEL ARISTIZABAL Realizó 3 viajes donde movilizó 37 Usuarios </v>
      </c>
      <c r="U14">
        <f t="shared" si="10"/>
        <v>2</v>
      </c>
      <c r="Y14" t="str">
        <f>TRIM(Tabla2[[#This Row],[CONDUCTOR]])</f>
        <v>FRANCO CARVAJAL GERARDO ANTONIO</v>
      </c>
    </row>
    <row r="15" spans="1:32" x14ac:dyDescent="0.3">
      <c r="B15" s="136" t="s">
        <v>167</v>
      </c>
      <c r="C15" s="166">
        <v>19</v>
      </c>
      <c r="D15" s="151" t="s">
        <v>158</v>
      </c>
      <c r="E15" s="150">
        <v>6</v>
      </c>
      <c r="F15" s="150">
        <v>0</v>
      </c>
      <c r="G15" s="146">
        <v>140</v>
      </c>
      <c r="H15" s="226">
        <f t="shared" si="0"/>
        <v>23.333333333333332</v>
      </c>
      <c r="I15" s="227">
        <f t="shared" si="1"/>
        <v>136.34961439588687</v>
      </c>
      <c r="J15" s="363">
        <f>+Tabla2[[#This Row],[PROM DE USUARIOS]]-Tabla2[[#This Row],[USUARIOS]]</f>
        <v>-3.6503856041131257</v>
      </c>
      <c r="K15" s="151"/>
      <c r="L15" s="163">
        <f t="shared" si="2"/>
        <v>76254.524421593815</v>
      </c>
      <c r="M15" s="162" t="str">
        <f>+VLOOKUP(C15,Lista!B:D,3,0)</f>
        <v>MICRO</v>
      </c>
      <c r="N15" s="365">
        <f t="shared" si="3"/>
        <v>15109.523809523809</v>
      </c>
      <c r="O15" s="50">
        <f t="shared" si="4"/>
        <v>6</v>
      </c>
      <c r="P15" s="47">
        <f t="shared" si="5"/>
        <v>130.34961439588687</v>
      </c>
      <c r="Q15" s="49">
        <f t="shared" si="6"/>
        <v>134</v>
      </c>
      <c r="R15" s="51">
        <f t="shared" si="7"/>
        <v>130.34961439588687</v>
      </c>
      <c r="S15" s="46">
        <f t="shared" si="8"/>
        <v>71692.287917737776</v>
      </c>
      <c r="T15" t="str">
        <f t="shared" si="9"/>
        <v/>
      </c>
      <c r="U15">
        <f t="shared" si="10"/>
        <v>14</v>
      </c>
      <c r="Y15" t="str">
        <f>TRIM(Tabla2[[#This Row],[CONDUCTOR]])</f>
        <v>MACEA ARBELAEZ MATEO</v>
      </c>
    </row>
    <row r="16" spans="1:32" x14ac:dyDescent="0.3">
      <c r="B16" s="136" t="s">
        <v>167</v>
      </c>
      <c r="C16" s="166">
        <v>20</v>
      </c>
      <c r="D16" s="151" t="s">
        <v>163</v>
      </c>
      <c r="E16" s="150">
        <v>9</v>
      </c>
      <c r="F16" s="150">
        <v>0</v>
      </c>
      <c r="G16" s="146">
        <v>196</v>
      </c>
      <c r="H16" s="226">
        <f t="shared" si="0"/>
        <v>21.777777777777779</v>
      </c>
      <c r="I16" s="227">
        <f t="shared" si="1"/>
        <v>204.52442159383034</v>
      </c>
      <c r="J16" s="363">
        <f>+Tabla2[[#This Row],[PROM DE USUARIOS]]-Tabla2[[#This Row],[USUARIOS]]</f>
        <v>8.5244215938303398</v>
      </c>
      <c r="K16" s="151"/>
      <c r="L16" s="163">
        <f t="shared" si="2"/>
        <v>114381.78663239075</v>
      </c>
      <c r="M16" s="162" t="str">
        <f>+VLOOKUP(C16,Lista!B:D,3,0)</f>
        <v>MICRO</v>
      </c>
      <c r="N16" s="365">
        <f t="shared" si="3"/>
        <v>15109.523809523809</v>
      </c>
      <c r="O16" s="50">
        <f t="shared" si="4"/>
        <v>9</v>
      </c>
      <c r="P16" s="47">
        <f t="shared" si="5"/>
        <v>195.52442159383034</v>
      </c>
      <c r="Q16" s="49">
        <f t="shared" si="6"/>
        <v>187</v>
      </c>
      <c r="R16" s="51">
        <f t="shared" si="7"/>
        <v>195.52442159383034</v>
      </c>
      <c r="S16" s="46">
        <f t="shared" si="8"/>
        <v>107538.43187660669</v>
      </c>
      <c r="T16" t="str">
        <f t="shared" si="9"/>
        <v/>
      </c>
      <c r="U16">
        <f t="shared" si="10"/>
        <v>8</v>
      </c>
      <c r="Y16" t="str">
        <f>TRIM(Tabla2[[#This Row],[CONDUCTOR]])</f>
        <v>VALENCIA MENDOZA JHON</v>
      </c>
    </row>
    <row r="17" spans="2:25" x14ac:dyDescent="0.3">
      <c r="B17" s="136" t="s">
        <v>167</v>
      </c>
      <c r="C17" s="166">
        <v>21</v>
      </c>
      <c r="D17" s="151" t="s">
        <v>153</v>
      </c>
      <c r="E17" s="150">
        <v>9</v>
      </c>
      <c r="F17" s="150">
        <v>0</v>
      </c>
      <c r="G17" s="146">
        <v>186</v>
      </c>
      <c r="H17" s="226">
        <f t="shared" si="0"/>
        <v>20.666666666666668</v>
      </c>
      <c r="I17" s="227">
        <f t="shared" si="1"/>
        <v>204.52442159383034</v>
      </c>
      <c r="J17" s="363">
        <f>+Tabla2[[#This Row],[PROM DE USUARIOS]]-Tabla2[[#This Row],[USUARIOS]]</f>
        <v>18.52442159383034</v>
      </c>
      <c r="K17" s="151"/>
      <c r="L17" s="163">
        <f t="shared" si="2"/>
        <v>114381.78663239075</v>
      </c>
      <c r="M17" s="162" t="str">
        <f>+VLOOKUP(C17,Lista!B:D,3,0)</f>
        <v>MICRO</v>
      </c>
      <c r="N17" s="365">
        <f t="shared" si="3"/>
        <v>15109.523809523809</v>
      </c>
      <c r="O17" s="50">
        <f t="shared" si="4"/>
        <v>9</v>
      </c>
      <c r="P17" s="47">
        <f t="shared" si="5"/>
        <v>195.52442159383034</v>
      </c>
      <c r="Q17" s="49">
        <f t="shared" si="6"/>
        <v>177</v>
      </c>
      <c r="R17" s="51">
        <f t="shared" si="7"/>
        <v>195.52442159383034</v>
      </c>
      <c r="S17" s="46">
        <f t="shared" si="8"/>
        <v>107538.43187660669</v>
      </c>
      <c r="T17" t="str">
        <f t="shared" si="9"/>
        <v/>
      </c>
      <c r="U17">
        <f t="shared" si="10"/>
        <v>3</v>
      </c>
      <c r="Y17" t="str">
        <f>TRIM(Tabla2[[#This Row],[CONDUCTOR]])</f>
        <v>MACIAS HERNANDEZ JULIAN DAVID</v>
      </c>
    </row>
    <row r="18" spans="2:25" x14ac:dyDescent="0.3">
      <c r="B18" s="136" t="s">
        <v>167</v>
      </c>
      <c r="C18" s="137">
        <v>22</v>
      </c>
      <c r="D18" s="151" t="s">
        <v>151</v>
      </c>
      <c r="E18" s="150">
        <v>6.5</v>
      </c>
      <c r="F18" s="150">
        <v>0.5</v>
      </c>
      <c r="G18" s="146">
        <v>110</v>
      </c>
      <c r="H18" s="226">
        <f t="shared" si="0"/>
        <v>16.923076923076923</v>
      </c>
      <c r="I18" s="227">
        <f t="shared" si="1"/>
        <v>147.7120822622108</v>
      </c>
      <c r="J18" s="363">
        <f>+Tabla2[[#This Row],[PROM DE USUARIOS]]-Tabla2[[#This Row],[USUARIOS]]</f>
        <v>37.712082262210799</v>
      </c>
      <c r="K18" s="151"/>
      <c r="L18" s="163">
        <f t="shared" si="2"/>
        <v>82609.068123393314</v>
      </c>
      <c r="M18" s="162">
        <f>+VLOOKUP(C18,Lista!B:D,3,0)</f>
        <v>0</v>
      </c>
      <c r="N18" s="365">
        <f t="shared" si="3"/>
        <v>15109.523809523809</v>
      </c>
      <c r="O18" s="50">
        <f t="shared" si="4"/>
        <v>6.5</v>
      </c>
      <c r="P18" s="47">
        <f t="shared" si="5"/>
        <v>141.2120822622108</v>
      </c>
      <c r="Q18" s="49">
        <f t="shared" si="6"/>
        <v>103.5</v>
      </c>
      <c r="R18" s="51">
        <f t="shared" si="7"/>
        <v>141.2120822622108</v>
      </c>
      <c r="S18" s="46">
        <f t="shared" si="8"/>
        <v>77666.645244215935</v>
      </c>
      <c r="T18" t="str">
        <f t="shared" si="9"/>
        <v/>
      </c>
      <c r="U18">
        <f t="shared" si="10"/>
        <v>1</v>
      </c>
      <c r="Y18" t="str">
        <f>TRIM(Tabla2[[#This Row],[CONDUCTOR]])</f>
        <v>QUIRAMA CASTAÑEDA JHON JADER</v>
      </c>
    </row>
    <row r="19" spans="2:25" x14ac:dyDescent="0.3">
      <c r="B19" s="136" t="s">
        <v>167</v>
      </c>
      <c r="C19" s="166">
        <v>24</v>
      </c>
      <c r="D19" s="151" t="s">
        <v>166</v>
      </c>
      <c r="E19" s="150">
        <v>10</v>
      </c>
      <c r="F19" s="150">
        <v>0</v>
      </c>
      <c r="G19" s="165">
        <v>221</v>
      </c>
      <c r="H19" s="226">
        <f t="shared" si="0"/>
        <v>22.1</v>
      </c>
      <c r="I19" s="227">
        <f t="shared" si="1"/>
        <v>227.24935732647816</v>
      </c>
      <c r="J19" s="363">
        <f>+Tabla2[[#This Row],[PROM DE USUARIOS]]-Tabla2[[#This Row],[USUARIOS]]</f>
        <v>6.2493573264781617</v>
      </c>
      <c r="K19" s="151" t="s">
        <v>172</v>
      </c>
      <c r="L19" s="163">
        <f t="shared" si="2"/>
        <v>127090.87403598972</v>
      </c>
      <c r="M19" s="162" t="str">
        <f>+VLOOKUP(C19,Lista!B:D,3,0)</f>
        <v>MICRO</v>
      </c>
      <c r="N19" s="365">
        <f t="shared" si="3"/>
        <v>15109.523809523809</v>
      </c>
      <c r="O19" s="50">
        <f t="shared" si="4"/>
        <v>10</v>
      </c>
      <c r="P19" s="47">
        <f t="shared" si="5"/>
        <v>217.24935732647816</v>
      </c>
      <c r="Q19" s="49">
        <f t="shared" si="6"/>
        <v>211</v>
      </c>
      <c r="R19" s="51">
        <f t="shared" si="7"/>
        <v>217.24935732647816</v>
      </c>
      <c r="S19" s="46">
        <f t="shared" si="8"/>
        <v>119487.14652956299</v>
      </c>
      <c r="T19" t="str">
        <f t="shared" si="9"/>
        <v xml:space="preserve">3 Descuentos (Conducts) </v>
      </c>
      <c r="U19">
        <f t="shared" si="10"/>
        <v>9</v>
      </c>
      <c r="Y19" t="str">
        <f>TRIM(Tabla2[[#This Row],[CONDUCTOR]])</f>
        <v>JIMENEZ HURTADO CARLOS ESTIVEN</v>
      </c>
    </row>
    <row r="20" spans="2:25" x14ac:dyDescent="0.3">
      <c r="B20" s="136" t="s">
        <v>167</v>
      </c>
      <c r="C20" s="137">
        <v>30</v>
      </c>
      <c r="D20" s="151" t="s">
        <v>159</v>
      </c>
      <c r="E20" s="150">
        <v>10</v>
      </c>
      <c r="F20" s="150">
        <v>0</v>
      </c>
      <c r="G20" s="165">
        <v>236</v>
      </c>
      <c r="H20" s="226">
        <f t="shared" si="0"/>
        <v>23.6</v>
      </c>
      <c r="I20" s="227">
        <f t="shared" si="1"/>
        <v>227.24935732647816</v>
      </c>
      <c r="J20" s="363">
        <f>+Tabla2[[#This Row],[PROM DE USUARIOS]]-Tabla2[[#This Row],[USUARIOS]]</f>
        <v>-8.7506426735218383</v>
      </c>
      <c r="K20" s="151"/>
      <c r="L20" s="163">
        <f t="shared" si="2"/>
        <v>127090.87403598972</v>
      </c>
      <c r="M20" s="162">
        <f>+VLOOKUP(C20,Lista!B:D,3,0)</f>
        <v>0</v>
      </c>
      <c r="N20" s="365">
        <f t="shared" si="3"/>
        <v>15109.523809523809</v>
      </c>
      <c r="O20" s="50">
        <f t="shared" si="4"/>
        <v>10</v>
      </c>
      <c r="P20" s="47">
        <f t="shared" si="5"/>
        <v>217.24935732647816</v>
      </c>
      <c r="Q20" s="49">
        <f t="shared" si="6"/>
        <v>226</v>
      </c>
      <c r="R20" s="51">
        <f t="shared" si="7"/>
        <v>217.24935732647816</v>
      </c>
      <c r="S20" s="46">
        <f t="shared" si="8"/>
        <v>119487.14652956299</v>
      </c>
      <c r="T20" t="str">
        <f t="shared" si="9"/>
        <v/>
      </c>
      <c r="U20">
        <f t="shared" si="10"/>
        <v>16</v>
      </c>
      <c r="Y20" t="str">
        <f>TRIM(Tabla2[[#This Row],[CONDUCTOR]])</f>
        <v>AGUDELO GARCIA LLORDIN ELIAS</v>
      </c>
    </row>
    <row r="21" spans="2:25" x14ac:dyDescent="0.3">
      <c r="B21" s="136" t="s">
        <v>167</v>
      </c>
      <c r="C21" s="166">
        <v>31</v>
      </c>
      <c r="D21" s="151" t="s">
        <v>150</v>
      </c>
      <c r="E21" s="150">
        <v>10</v>
      </c>
      <c r="F21" s="150">
        <v>0</v>
      </c>
      <c r="G21" s="165">
        <v>216</v>
      </c>
      <c r="H21" s="226">
        <f t="shared" si="0"/>
        <v>21.6</v>
      </c>
      <c r="I21" s="227">
        <f t="shared" si="1"/>
        <v>227.24935732647816</v>
      </c>
      <c r="J21" s="363">
        <f>+Tabla2[[#This Row],[PROM DE USUARIOS]]-Tabla2[[#This Row],[USUARIOS]]</f>
        <v>11.249357326478162</v>
      </c>
      <c r="K21" s="151"/>
      <c r="L21" s="163">
        <f t="shared" si="2"/>
        <v>127090.87403598972</v>
      </c>
      <c r="M21" s="162" t="str">
        <f>+VLOOKUP(C21,Lista!B:D,3,0)</f>
        <v>MICRO</v>
      </c>
      <c r="N21" s="365">
        <f t="shared" si="3"/>
        <v>15109.523809523809</v>
      </c>
      <c r="O21" s="50">
        <f t="shared" si="4"/>
        <v>10</v>
      </c>
      <c r="P21" s="47">
        <f t="shared" si="5"/>
        <v>217.24935732647816</v>
      </c>
      <c r="Q21" s="49">
        <f t="shared" si="6"/>
        <v>206</v>
      </c>
      <c r="R21" s="51">
        <f t="shared" si="7"/>
        <v>217.24935732647816</v>
      </c>
      <c r="S21" s="46">
        <f t="shared" si="8"/>
        <v>119487.14652956299</v>
      </c>
      <c r="T21" t="str">
        <f t="shared" si="9"/>
        <v/>
      </c>
      <c r="U21">
        <f t="shared" si="10"/>
        <v>6</v>
      </c>
      <c r="Y21" t="str">
        <f>TRIM(Tabla2[[#This Row],[CONDUCTOR]])</f>
        <v>PARRA VILLA YUBER ALONSO</v>
      </c>
    </row>
    <row r="22" spans="2:25" x14ac:dyDescent="0.3">
      <c r="B22" s="136" t="s">
        <v>167</v>
      </c>
      <c r="C22" s="166">
        <v>32</v>
      </c>
      <c r="D22" s="151" t="s">
        <v>157</v>
      </c>
      <c r="E22" s="150">
        <v>10</v>
      </c>
      <c r="F22" s="150">
        <v>0</v>
      </c>
      <c r="G22" s="165">
        <v>207</v>
      </c>
      <c r="H22" s="226">
        <f t="shared" si="0"/>
        <v>20.7</v>
      </c>
      <c r="I22" s="227">
        <f t="shared" si="1"/>
        <v>227.24935732647816</v>
      </c>
      <c r="J22" s="363">
        <f>+Tabla2[[#This Row],[PROM DE USUARIOS]]-Tabla2[[#This Row],[USUARIOS]]</f>
        <v>20.249357326478162</v>
      </c>
      <c r="K22" s="151"/>
      <c r="L22" s="163">
        <f t="shared" si="2"/>
        <v>127090.87403598972</v>
      </c>
      <c r="M22" s="162" t="str">
        <f>+VLOOKUP(C22,Lista!B:D,3,0)</f>
        <v>MICRO</v>
      </c>
      <c r="N22" s="365">
        <f t="shared" si="3"/>
        <v>15109.523809523809</v>
      </c>
      <c r="O22" s="50">
        <f t="shared" si="4"/>
        <v>10</v>
      </c>
      <c r="P22" s="47">
        <f t="shared" si="5"/>
        <v>217.24935732647816</v>
      </c>
      <c r="Q22" s="49">
        <f t="shared" si="6"/>
        <v>197</v>
      </c>
      <c r="R22" s="51">
        <f t="shared" si="7"/>
        <v>217.24935732647816</v>
      </c>
      <c r="S22" s="46">
        <f t="shared" si="8"/>
        <v>119487.14652956299</v>
      </c>
      <c r="T22" t="str">
        <f t="shared" si="9"/>
        <v/>
      </c>
      <c r="U22">
        <f t="shared" si="10"/>
        <v>4</v>
      </c>
      <c r="Y22" t="str">
        <f>TRIM(Tabla2[[#This Row],[CONDUCTOR]])</f>
        <v>LAYOS JIMENEZ JOHAN CAMILO</v>
      </c>
    </row>
    <row r="23" spans="2:25" x14ac:dyDescent="0.3">
      <c r="B23" s="136" t="s">
        <v>167</v>
      </c>
      <c r="C23" s="166">
        <v>34</v>
      </c>
      <c r="D23" s="151" t="s">
        <v>161</v>
      </c>
      <c r="E23" s="150">
        <v>10</v>
      </c>
      <c r="F23" s="150">
        <v>0</v>
      </c>
      <c r="G23" s="165">
        <v>242</v>
      </c>
      <c r="H23" s="226">
        <f t="shared" si="0"/>
        <v>24.2</v>
      </c>
      <c r="I23" s="227">
        <f t="shared" si="1"/>
        <v>227.24935732647816</v>
      </c>
      <c r="J23" s="363">
        <f>+Tabla2[[#This Row],[PROM DE USUARIOS]]-Tabla2[[#This Row],[USUARIOS]]</f>
        <v>-14.750642673521838</v>
      </c>
      <c r="K23" s="151"/>
      <c r="L23" s="163">
        <f t="shared" si="2"/>
        <v>127090.87403598972</v>
      </c>
      <c r="M23" s="162" t="str">
        <f>+VLOOKUP(C23,Lista!B:D,3,0)</f>
        <v>MICRO</v>
      </c>
      <c r="N23" s="365">
        <f t="shared" si="3"/>
        <v>15109.523809523809</v>
      </c>
      <c r="O23" s="50">
        <f t="shared" si="4"/>
        <v>10</v>
      </c>
      <c r="P23" s="47">
        <f t="shared" si="5"/>
        <v>217.24935732647816</v>
      </c>
      <c r="Q23" s="49">
        <f t="shared" si="6"/>
        <v>232</v>
      </c>
      <c r="R23" s="51">
        <f t="shared" si="7"/>
        <v>217.24935732647816</v>
      </c>
      <c r="S23" s="46">
        <f t="shared" si="8"/>
        <v>119487.14652956299</v>
      </c>
      <c r="T23" t="str">
        <f t="shared" si="9"/>
        <v/>
      </c>
      <c r="U23">
        <f t="shared" si="10"/>
        <v>18</v>
      </c>
      <c r="Y23" t="str">
        <f>TRIM(Tabla2[[#This Row],[CONDUCTOR]])</f>
        <v>MONTOYA OSPINA GILBERTO ANTONIO</v>
      </c>
    </row>
    <row r="24" spans="2:25" x14ac:dyDescent="0.3">
      <c r="B24" s="136" t="s">
        <v>167</v>
      </c>
      <c r="C24" s="166">
        <v>38</v>
      </c>
      <c r="D24" s="151" t="s">
        <v>149</v>
      </c>
      <c r="E24" s="150">
        <v>9</v>
      </c>
      <c r="F24" s="150">
        <v>0</v>
      </c>
      <c r="G24" s="165">
        <v>211</v>
      </c>
      <c r="H24" s="226">
        <f t="shared" si="0"/>
        <v>23.444444444444443</v>
      </c>
      <c r="I24" s="227">
        <f t="shared" si="1"/>
        <v>204.52442159383034</v>
      </c>
      <c r="J24" s="363">
        <f>+Tabla2[[#This Row],[PROM DE USUARIOS]]-Tabla2[[#This Row],[USUARIOS]]</f>
        <v>-6.4755784061696602</v>
      </c>
      <c r="K24" s="151" t="s">
        <v>129</v>
      </c>
      <c r="L24" s="163">
        <f t="shared" si="2"/>
        <v>114381.78663239075</v>
      </c>
      <c r="M24" s="162" t="str">
        <f>+VLOOKUP(C24,Lista!B:D,3,0)</f>
        <v>MICRO</v>
      </c>
      <c r="N24" s="365">
        <f t="shared" si="3"/>
        <v>15109.523809523809</v>
      </c>
      <c r="O24" s="50">
        <f t="shared" si="4"/>
        <v>9</v>
      </c>
      <c r="P24" s="47">
        <f t="shared" si="5"/>
        <v>195.52442159383034</v>
      </c>
      <c r="Q24" s="49">
        <f t="shared" si="6"/>
        <v>202</v>
      </c>
      <c r="R24" s="51">
        <f t="shared" si="7"/>
        <v>195.52442159383034</v>
      </c>
      <c r="S24" s="46">
        <f t="shared" si="8"/>
        <v>107538.43187660669</v>
      </c>
      <c r="T24" t="str">
        <f t="shared" si="9"/>
        <v xml:space="preserve">1 Descuento (Conduct) </v>
      </c>
      <c r="U24">
        <f t="shared" si="10"/>
        <v>15</v>
      </c>
      <c r="Y24" t="str">
        <f>TRIM(Tabla2[[#This Row],[CONDUCTOR]])</f>
        <v>GONZALEZ IPUANA RENE</v>
      </c>
    </row>
    <row r="25" spans="2:25" x14ac:dyDescent="0.3">
      <c r="B25" s="136" t="s">
        <v>167</v>
      </c>
      <c r="C25" s="166">
        <v>39</v>
      </c>
      <c r="D25" s="151" t="s">
        <v>162</v>
      </c>
      <c r="E25" s="150">
        <v>9</v>
      </c>
      <c r="F25" s="150">
        <v>0</v>
      </c>
      <c r="G25" s="165">
        <v>217</v>
      </c>
      <c r="H25" s="226">
        <f t="shared" si="0"/>
        <v>24.111111111111111</v>
      </c>
      <c r="I25" s="227">
        <f t="shared" si="1"/>
        <v>204.52442159383034</v>
      </c>
      <c r="J25" s="363">
        <f>+Tabla2[[#This Row],[PROM DE USUARIOS]]-Tabla2[[#This Row],[USUARIOS]]</f>
        <v>-12.47557840616966</v>
      </c>
      <c r="K25" s="151"/>
      <c r="L25" s="163">
        <f t="shared" si="2"/>
        <v>114381.78663239075</v>
      </c>
      <c r="M25" s="162" t="str">
        <f>+VLOOKUP(C25,Lista!B:D,3,0)</f>
        <v>MICRO</v>
      </c>
      <c r="N25" s="365">
        <f t="shared" si="3"/>
        <v>15109.523809523809</v>
      </c>
      <c r="O25" s="50">
        <f t="shared" si="4"/>
        <v>9</v>
      </c>
      <c r="P25" s="47">
        <f t="shared" si="5"/>
        <v>195.52442159383034</v>
      </c>
      <c r="Q25" s="49">
        <f t="shared" si="6"/>
        <v>208</v>
      </c>
      <c r="R25" s="51">
        <f t="shared" si="7"/>
        <v>195.52442159383034</v>
      </c>
      <c r="S25" s="46">
        <f t="shared" si="8"/>
        <v>107538.43187660669</v>
      </c>
      <c r="T25" t="str">
        <f t="shared" si="9"/>
        <v/>
      </c>
      <c r="U25">
        <f t="shared" si="10"/>
        <v>17</v>
      </c>
      <c r="Y25" t="str">
        <f>TRIM(Tabla2[[#This Row],[CONDUCTOR]])</f>
        <v>PALMAR PANA EDIXON JOSUE</v>
      </c>
    </row>
    <row r="26" spans="2:25" x14ac:dyDescent="0.3">
      <c r="B26" s="136" t="s">
        <v>167</v>
      </c>
      <c r="C26" s="166">
        <v>40</v>
      </c>
      <c r="D26" s="151" t="s">
        <v>164</v>
      </c>
      <c r="E26" s="150">
        <v>10</v>
      </c>
      <c r="F26" s="150">
        <v>0</v>
      </c>
      <c r="G26" s="165">
        <v>242</v>
      </c>
      <c r="H26" s="226">
        <f t="shared" si="0"/>
        <v>24.2</v>
      </c>
      <c r="I26" s="227">
        <f t="shared" si="1"/>
        <v>227.24935732647816</v>
      </c>
      <c r="J26" s="363">
        <f>+Tabla2[[#This Row],[PROM DE USUARIOS]]-Tabla2[[#This Row],[USUARIOS]]</f>
        <v>-14.750642673521838</v>
      </c>
      <c r="K26" s="151"/>
      <c r="L26" s="163">
        <f t="shared" si="2"/>
        <v>127090.87403598972</v>
      </c>
      <c r="M26" s="162" t="str">
        <f>+VLOOKUP(C26,Lista!B:D,3,0)</f>
        <v>MICRO</v>
      </c>
      <c r="N26" s="365">
        <f t="shared" si="3"/>
        <v>15109.523809523809</v>
      </c>
      <c r="O26" s="50">
        <f t="shared" si="4"/>
        <v>10</v>
      </c>
      <c r="P26" s="47">
        <f t="shared" si="5"/>
        <v>217.24935732647816</v>
      </c>
      <c r="Q26" s="49">
        <f t="shared" si="6"/>
        <v>232</v>
      </c>
      <c r="R26" s="51">
        <f t="shared" si="7"/>
        <v>217.24935732647816</v>
      </c>
      <c r="S26" s="46">
        <f t="shared" si="8"/>
        <v>119487.14652956299</v>
      </c>
      <c r="T26" t="str">
        <f t="shared" si="9"/>
        <v/>
      </c>
      <c r="U26">
        <f t="shared" si="10"/>
        <v>18</v>
      </c>
      <c r="Y26" t="str">
        <f>TRIM(Tabla2[[#This Row],[CONDUCTOR]])</f>
        <v>OCAMPO OCAMPO ANTONIO JOSE</v>
      </c>
    </row>
    <row r="27" spans="2:25" x14ac:dyDescent="0.3">
      <c r="B27" s="136" t="s">
        <v>167</v>
      </c>
      <c r="C27" s="137">
        <v>44</v>
      </c>
      <c r="D27" s="151" t="s">
        <v>160</v>
      </c>
      <c r="E27" s="150">
        <v>7</v>
      </c>
      <c r="F27" s="150">
        <v>0</v>
      </c>
      <c r="G27" s="146">
        <v>179</v>
      </c>
      <c r="H27" s="226">
        <f t="shared" si="0"/>
        <v>25.571428571428573</v>
      </c>
      <c r="I27" s="227">
        <f t="shared" si="1"/>
        <v>159.0745501285347</v>
      </c>
      <c r="J27" s="363">
        <f>+Tabla2[[#This Row],[PROM DE USUARIOS]]-Tabla2[[#This Row],[USUARIOS]]</f>
        <v>-19.925449871465304</v>
      </c>
      <c r="K27" s="151"/>
      <c r="L27" s="163">
        <f t="shared" si="2"/>
        <v>88963.611825192798</v>
      </c>
      <c r="M27" s="162">
        <f>+VLOOKUP(C27,Lista!B:D,3,0)</f>
        <v>0</v>
      </c>
      <c r="N27" s="365">
        <f t="shared" si="3"/>
        <v>15109.523809523809</v>
      </c>
      <c r="O27" s="50">
        <f t="shared" si="4"/>
        <v>7</v>
      </c>
      <c r="P27" s="47">
        <f t="shared" si="5"/>
        <v>152.0745501285347</v>
      </c>
      <c r="Q27" s="49">
        <f t="shared" si="6"/>
        <v>172</v>
      </c>
      <c r="R27" s="51">
        <f t="shared" si="7"/>
        <v>152.0745501285347</v>
      </c>
      <c r="S27" s="46">
        <f t="shared" si="8"/>
        <v>83641.00257069408</v>
      </c>
      <c r="T27" t="str">
        <f t="shared" si="9"/>
        <v/>
      </c>
      <c r="U27">
        <f t="shared" si="10"/>
        <v>20</v>
      </c>
      <c r="Y27" t="str">
        <f>TRIM(Tabla2[[#This Row],[CONDUCTOR]])</f>
        <v>MARIN ALZATE KEVIN ANDRES</v>
      </c>
    </row>
    <row r="28" spans="2:25" x14ac:dyDescent="0.3">
      <c r="B28" s="232"/>
      <c r="C28" s="239">
        <f>SUBTOTAL(102,Tabla2[VEH])</f>
        <v>21</v>
      </c>
      <c r="D28" s="233" t="s">
        <v>127</v>
      </c>
      <c r="E28" s="234">
        <f>SUBTOTAL(109,Tabla2[VIAJES])</f>
        <v>194.5</v>
      </c>
      <c r="F28" s="234">
        <f>SUBTOTAL(109,Tabla2[VIAJES PERD.])</f>
        <v>1</v>
      </c>
      <c r="G28" s="240">
        <f>SUBTOTAL(109,Tabla2[USUARIOS])</f>
        <v>4420</v>
      </c>
      <c r="H28" s="367">
        <f>+Tabla2[[#Totals],[USUARIOS]]/Tabla2[[#Totals],[VIAJES]]</f>
        <v>22.724935732647815</v>
      </c>
      <c r="I28" s="240">
        <f>SUBTOTAL(109,Tabla2[PROM DE USUARIOS])</f>
        <v>4420.0000000000009</v>
      </c>
      <c r="J28" s="366">
        <f>SUBTOTAL(109,Tabla2[RECIBE / ENTREGA])</f>
        <v>1.1368683772161603E-13</v>
      </c>
      <c r="K28" s="235" t="s">
        <v>173</v>
      </c>
      <c r="L28" s="236"/>
      <c r="M28" s="237"/>
      <c r="N28" s="238">
        <f>SUBTOTAL(109,Tabla2[DIFER. MICRO - BUS ])</f>
        <v>317300</v>
      </c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ref="S28:S45" si="11">+R28*550</f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3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1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3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1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3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1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3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1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3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1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3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1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3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1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3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1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3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1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3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1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3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1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3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1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3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1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3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1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3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1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3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1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3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11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3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2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3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3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16">+(E91*1)-V50</f>
        <v>0</v>
      </c>
      <c r="P50" s="134">
        <f t="shared" ref="P50:P55" si="17">+I91-O50-W50</f>
        <v>0</v>
      </c>
      <c r="Q50" s="11">
        <f t="shared" ref="Q50:Q55" si="18">+G91-O50</f>
        <v>0</v>
      </c>
      <c r="R50">
        <f t="shared" ref="R50:R55" si="19">+E91*$T$3</f>
        <v>0</v>
      </c>
      <c r="S50">
        <f t="shared" ref="S50:S55" si="20">+R50*550</f>
        <v>0</v>
      </c>
      <c r="T50" t="str">
        <f t="shared" ref="T50:T55" si="21">+IF(K91&lt;&gt;"",K91,"")</f>
        <v/>
      </c>
      <c r="U50" t="e">
        <f t="shared" ref="U50:U55" si="22">+RANK(H91,$H$6:$H$1048576,1)</f>
        <v>#N/A</v>
      </c>
    </row>
    <row r="51" spans="2:21" x14ac:dyDescent="0.3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16"/>
        <v>0</v>
      </c>
      <c r="P51" s="134">
        <f t="shared" si="17"/>
        <v>0</v>
      </c>
      <c r="Q51" s="11">
        <f t="shared" si="18"/>
        <v>0</v>
      </c>
      <c r="R51">
        <f t="shared" si="19"/>
        <v>0</v>
      </c>
      <c r="S51">
        <f t="shared" si="20"/>
        <v>0</v>
      </c>
      <c r="T51" t="str">
        <f t="shared" si="21"/>
        <v/>
      </c>
      <c r="U51" t="e">
        <f t="shared" si="22"/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16"/>
        <v>0</v>
      </c>
      <c r="P52" s="134">
        <f t="shared" si="17"/>
        <v>0</v>
      </c>
      <c r="Q52" s="11">
        <f t="shared" si="18"/>
        <v>0</v>
      </c>
      <c r="R52">
        <f t="shared" si="19"/>
        <v>0</v>
      </c>
      <c r="S52">
        <f t="shared" si="20"/>
        <v>0</v>
      </c>
      <c r="T52" t="str">
        <f t="shared" si="21"/>
        <v/>
      </c>
      <c r="U52" t="e">
        <f t="shared" si="22"/>
        <v>#N/A</v>
      </c>
    </row>
    <row r="53" spans="2:21" x14ac:dyDescent="0.3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 t="shared" si="16"/>
        <v>0</v>
      </c>
      <c r="P53" s="134">
        <f t="shared" si="17"/>
        <v>0</v>
      </c>
      <c r="Q53" s="11">
        <f t="shared" si="18"/>
        <v>0</v>
      </c>
      <c r="R53">
        <f t="shared" si="19"/>
        <v>0</v>
      </c>
      <c r="S53">
        <f t="shared" si="20"/>
        <v>0</v>
      </c>
      <c r="T53" t="str">
        <f t="shared" si="21"/>
        <v/>
      </c>
      <c r="U53" t="e">
        <f t="shared" si="22"/>
        <v>#N/A</v>
      </c>
    </row>
    <row r="54" spans="2:21" x14ac:dyDescent="0.3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 t="shared" si="16"/>
        <v>0</v>
      </c>
      <c r="P54" s="134">
        <f t="shared" si="17"/>
        <v>0</v>
      </c>
      <c r="Q54" s="11">
        <f t="shared" si="18"/>
        <v>0</v>
      </c>
      <c r="R54">
        <f t="shared" si="19"/>
        <v>0</v>
      </c>
      <c r="S54">
        <f t="shared" si="20"/>
        <v>0</v>
      </c>
      <c r="T54" t="str">
        <f t="shared" si="21"/>
        <v/>
      </c>
      <c r="U54" t="e">
        <f t="shared" si="22"/>
        <v>#N/A</v>
      </c>
    </row>
    <row r="55" spans="2:21" x14ac:dyDescent="0.3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 t="shared" si="16"/>
        <v>0</v>
      </c>
      <c r="P55" s="134">
        <f t="shared" si="17"/>
        <v>0</v>
      </c>
      <c r="Q55" s="11">
        <f t="shared" si="18"/>
        <v>0</v>
      </c>
      <c r="R55">
        <f t="shared" si="19"/>
        <v>0</v>
      </c>
      <c r="S55">
        <f t="shared" si="20"/>
        <v>0</v>
      </c>
      <c r="T55" t="str">
        <f t="shared" si="21"/>
        <v/>
      </c>
      <c r="U55" t="e">
        <f t="shared" si="22"/>
        <v>#N/A</v>
      </c>
    </row>
    <row r="56" spans="2:21" x14ac:dyDescent="0.3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23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3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23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3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23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3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23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3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23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3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3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3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3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3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3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3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3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3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3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3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3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3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3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3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3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3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3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3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3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3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3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3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3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3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3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3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3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3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3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3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3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3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3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3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3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3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3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3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3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3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3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3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3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3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3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3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3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3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3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3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3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3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3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3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3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3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3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3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3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3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3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3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3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3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3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3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3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3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3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3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3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3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3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3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3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3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3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3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3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3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3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3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3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3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3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3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3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3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3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3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3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3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3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3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3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3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3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3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3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3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3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3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3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3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3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3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3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3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3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3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3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3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3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3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3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3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3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3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3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3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3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3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3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3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3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3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3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3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3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3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3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3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3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3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3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3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3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3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3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3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3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3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3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3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3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3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3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3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3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3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3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3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3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3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3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3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3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3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3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3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3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3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3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3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3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3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3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3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3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3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3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3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3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3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3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3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3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3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3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3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3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3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3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3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3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3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3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3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3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3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3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3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3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3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3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3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3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3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3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3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3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3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3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3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3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3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3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3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3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3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3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3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3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3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3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3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3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3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3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3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3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3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3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3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3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3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3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3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3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3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3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3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3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3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3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3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3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3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3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3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3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3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3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3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3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3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3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3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x14ac:dyDescent="0.3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x14ac:dyDescent="0.3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x14ac:dyDescent="0.3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x14ac:dyDescent="0.3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x14ac:dyDescent="0.3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3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3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x14ac:dyDescent="0.3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x14ac:dyDescent="0.3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x14ac:dyDescent="0.3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x14ac:dyDescent="0.3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x14ac:dyDescent="0.3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x14ac:dyDescent="0.3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x14ac:dyDescent="0.3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x14ac:dyDescent="0.3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x14ac:dyDescent="0.3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x14ac:dyDescent="0.3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x14ac:dyDescent="0.3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x14ac:dyDescent="0.3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x14ac:dyDescent="0.3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x14ac:dyDescent="0.3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x14ac:dyDescent="0.3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x14ac:dyDescent="0.3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x14ac:dyDescent="0.3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x14ac:dyDescent="0.3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x14ac:dyDescent="0.3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x14ac:dyDescent="0.3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x14ac:dyDescent="0.3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x14ac:dyDescent="0.3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x14ac:dyDescent="0.3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x14ac:dyDescent="0.3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x14ac:dyDescent="0.3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x14ac:dyDescent="0.3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x14ac:dyDescent="0.3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x14ac:dyDescent="0.3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x14ac:dyDescent="0.3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x14ac:dyDescent="0.3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x14ac:dyDescent="0.3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3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3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3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x14ac:dyDescent="0.3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x14ac:dyDescent="0.3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3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x14ac:dyDescent="0.3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x14ac:dyDescent="0.3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x14ac:dyDescent="0.3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x14ac:dyDescent="0.3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x14ac:dyDescent="0.3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x14ac:dyDescent="0.3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3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3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x14ac:dyDescent="0.3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3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x14ac:dyDescent="0.3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x14ac:dyDescent="0.3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x14ac:dyDescent="0.3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x14ac:dyDescent="0.3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x14ac:dyDescent="0.3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x14ac:dyDescent="0.3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x14ac:dyDescent="0.3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x14ac:dyDescent="0.3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x14ac:dyDescent="0.3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x14ac:dyDescent="0.3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3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x14ac:dyDescent="0.3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x14ac:dyDescent="0.3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x14ac:dyDescent="0.3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x14ac:dyDescent="0.3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x14ac:dyDescent="0.3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x14ac:dyDescent="0.3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x14ac:dyDescent="0.3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x14ac:dyDescent="0.3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x14ac:dyDescent="0.3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x14ac:dyDescent="0.3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x14ac:dyDescent="0.3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x14ac:dyDescent="0.3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x14ac:dyDescent="0.3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x14ac:dyDescent="0.3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x14ac:dyDescent="0.3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x14ac:dyDescent="0.3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x14ac:dyDescent="0.3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x14ac:dyDescent="0.3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x14ac:dyDescent="0.3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x14ac:dyDescent="0.3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x14ac:dyDescent="0.3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x14ac:dyDescent="0.3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x14ac:dyDescent="0.3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x14ac:dyDescent="0.3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x14ac:dyDescent="0.3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x14ac:dyDescent="0.3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x14ac:dyDescent="0.3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x14ac:dyDescent="0.3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x14ac:dyDescent="0.3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x14ac:dyDescent="0.3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x14ac:dyDescent="0.3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x14ac:dyDescent="0.3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x14ac:dyDescent="0.3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x14ac:dyDescent="0.3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x14ac:dyDescent="0.3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x14ac:dyDescent="0.3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x14ac:dyDescent="0.3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x14ac:dyDescent="0.3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x14ac:dyDescent="0.3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x14ac:dyDescent="0.3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x14ac:dyDescent="0.3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x14ac:dyDescent="0.3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x14ac:dyDescent="0.3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x14ac:dyDescent="0.3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x14ac:dyDescent="0.3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x14ac:dyDescent="0.3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x14ac:dyDescent="0.3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x14ac:dyDescent="0.3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x14ac:dyDescent="0.3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x14ac:dyDescent="0.3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x14ac:dyDescent="0.3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x14ac:dyDescent="0.3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x14ac:dyDescent="0.3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x14ac:dyDescent="0.3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x14ac:dyDescent="0.3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x14ac:dyDescent="0.3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x14ac:dyDescent="0.3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x14ac:dyDescent="0.3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x14ac:dyDescent="0.3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x14ac:dyDescent="0.3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x14ac:dyDescent="0.3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x14ac:dyDescent="0.3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x14ac:dyDescent="0.3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x14ac:dyDescent="0.3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x14ac:dyDescent="0.3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x14ac:dyDescent="0.3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x14ac:dyDescent="0.3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x14ac:dyDescent="0.3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x14ac:dyDescent="0.3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x14ac:dyDescent="0.3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x14ac:dyDescent="0.3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x14ac:dyDescent="0.3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x14ac:dyDescent="0.3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x14ac:dyDescent="0.3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x14ac:dyDescent="0.3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x14ac:dyDescent="0.3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x14ac:dyDescent="0.3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x14ac:dyDescent="0.3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x14ac:dyDescent="0.3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x14ac:dyDescent="0.3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x14ac:dyDescent="0.3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x14ac:dyDescent="0.3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x14ac:dyDescent="0.3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x14ac:dyDescent="0.3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x14ac:dyDescent="0.3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x14ac:dyDescent="0.3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x14ac:dyDescent="0.3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x14ac:dyDescent="0.3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x14ac:dyDescent="0.3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x14ac:dyDescent="0.3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x14ac:dyDescent="0.3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x14ac:dyDescent="0.3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x14ac:dyDescent="0.3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x14ac:dyDescent="0.3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x14ac:dyDescent="0.3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x14ac:dyDescent="0.3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x14ac:dyDescent="0.3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x14ac:dyDescent="0.3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x14ac:dyDescent="0.3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x14ac:dyDescent="0.3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x14ac:dyDescent="0.3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x14ac:dyDescent="0.3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x14ac:dyDescent="0.3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x14ac:dyDescent="0.3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x14ac:dyDescent="0.3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x14ac:dyDescent="0.3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x14ac:dyDescent="0.3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x14ac:dyDescent="0.3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x14ac:dyDescent="0.3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x14ac:dyDescent="0.3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x14ac:dyDescent="0.3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x14ac:dyDescent="0.3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x14ac:dyDescent="0.3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x14ac:dyDescent="0.3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x14ac:dyDescent="0.3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x14ac:dyDescent="0.3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x14ac:dyDescent="0.3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x14ac:dyDescent="0.3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x14ac:dyDescent="0.3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x14ac:dyDescent="0.3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x14ac:dyDescent="0.3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x14ac:dyDescent="0.3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x14ac:dyDescent="0.3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x14ac:dyDescent="0.3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x14ac:dyDescent="0.3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x14ac:dyDescent="0.3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x14ac:dyDescent="0.3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x14ac:dyDescent="0.3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x14ac:dyDescent="0.3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3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x14ac:dyDescent="0.3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3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x14ac:dyDescent="0.3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x14ac:dyDescent="0.3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x14ac:dyDescent="0.3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x14ac:dyDescent="0.3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x14ac:dyDescent="0.3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x14ac:dyDescent="0.3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x14ac:dyDescent="0.3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x14ac:dyDescent="0.3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x14ac:dyDescent="0.3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x14ac:dyDescent="0.3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x14ac:dyDescent="0.3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x14ac:dyDescent="0.3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x14ac:dyDescent="0.3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x14ac:dyDescent="0.3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x14ac:dyDescent="0.3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x14ac:dyDescent="0.3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x14ac:dyDescent="0.3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x14ac:dyDescent="0.3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x14ac:dyDescent="0.3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x14ac:dyDescent="0.3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x14ac:dyDescent="0.3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x14ac:dyDescent="0.3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x14ac:dyDescent="0.3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x14ac:dyDescent="0.3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x14ac:dyDescent="0.3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x14ac:dyDescent="0.3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x14ac:dyDescent="0.3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x14ac:dyDescent="0.3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x14ac:dyDescent="0.3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x14ac:dyDescent="0.3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x14ac:dyDescent="0.3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x14ac:dyDescent="0.3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x14ac:dyDescent="0.3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x14ac:dyDescent="0.3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x14ac:dyDescent="0.3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x14ac:dyDescent="0.3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x14ac:dyDescent="0.3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x14ac:dyDescent="0.3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x14ac:dyDescent="0.3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x14ac:dyDescent="0.3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x14ac:dyDescent="0.3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x14ac:dyDescent="0.3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x14ac:dyDescent="0.3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x14ac:dyDescent="0.3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x14ac:dyDescent="0.3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x14ac:dyDescent="0.3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x14ac:dyDescent="0.3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x14ac:dyDescent="0.3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x14ac:dyDescent="0.3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x14ac:dyDescent="0.3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x14ac:dyDescent="0.3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x14ac:dyDescent="0.3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x14ac:dyDescent="0.3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x14ac:dyDescent="0.3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x14ac:dyDescent="0.3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x14ac:dyDescent="0.3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x14ac:dyDescent="0.3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x14ac:dyDescent="0.3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x14ac:dyDescent="0.3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x14ac:dyDescent="0.3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x14ac:dyDescent="0.3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x14ac:dyDescent="0.3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x14ac:dyDescent="0.3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x14ac:dyDescent="0.3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x14ac:dyDescent="0.3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x14ac:dyDescent="0.3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x14ac:dyDescent="0.3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x14ac:dyDescent="0.3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x14ac:dyDescent="0.3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x14ac:dyDescent="0.3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x14ac:dyDescent="0.3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x14ac:dyDescent="0.3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x14ac:dyDescent="0.3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x14ac:dyDescent="0.3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x14ac:dyDescent="0.3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x14ac:dyDescent="0.3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x14ac:dyDescent="0.3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x14ac:dyDescent="0.3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x14ac:dyDescent="0.3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x14ac:dyDescent="0.3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x14ac:dyDescent="0.3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x14ac:dyDescent="0.3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x14ac:dyDescent="0.3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x14ac:dyDescent="0.3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x14ac:dyDescent="0.3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x14ac:dyDescent="0.3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x14ac:dyDescent="0.3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x14ac:dyDescent="0.3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x14ac:dyDescent="0.3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x14ac:dyDescent="0.3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x14ac:dyDescent="0.3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x14ac:dyDescent="0.3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x14ac:dyDescent="0.3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x14ac:dyDescent="0.3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x14ac:dyDescent="0.3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x14ac:dyDescent="0.3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x14ac:dyDescent="0.3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x14ac:dyDescent="0.3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x14ac:dyDescent="0.3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x14ac:dyDescent="0.3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x14ac:dyDescent="0.3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x14ac:dyDescent="0.3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x14ac:dyDescent="0.3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x14ac:dyDescent="0.3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x14ac:dyDescent="0.3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x14ac:dyDescent="0.3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x14ac:dyDescent="0.3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x14ac:dyDescent="0.3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x14ac:dyDescent="0.3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x14ac:dyDescent="0.3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x14ac:dyDescent="0.3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x14ac:dyDescent="0.3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x14ac:dyDescent="0.3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x14ac:dyDescent="0.3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x14ac:dyDescent="0.3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x14ac:dyDescent="0.3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x14ac:dyDescent="0.3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x14ac:dyDescent="0.3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x14ac:dyDescent="0.3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x14ac:dyDescent="0.3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x14ac:dyDescent="0.3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x14ac:dyDescent="0.3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x14ac:dyDescent="0.3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x14ac:dyDescent="0.3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x14ac:dyDescent="0.3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x14ac:dyDescent="0.3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x14ac:dyDescent="0.3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x14ac:dyDescent="0.3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x14ac:dyDescent="0.3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x14ac:dyDescent="0.3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x14ac:dyDescent="0.3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x14ac:dyDescent="0.3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x14ac:dyDescent="0.3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x14ac:dyDescent="0.3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x14ac:dyDescent="0.3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x14ac:dyDescent="0.3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x14ac:dyDescent="0.3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x14ac:dyDescent="0.3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x14ac:dyDescent="0.3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x14ac:dyDescent="0.3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x14ac:dyDescent="0.3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x14ac:dyDescent="0.3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x14ac:dyDescent="0.3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x14ac:dyDescent="0.3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x14ac:dyDescent="0.3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x14ac:dyDescent="0.3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x14ac:dyDescent="0.3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x14ac:dyDescent="0.3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x14ac:dyDescent="0.3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x14ac:dyDescent="0.3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x14ac:dyDescent="0.3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x14ac:dyDescent="0.3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x14ac:dyDescent="0.3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x14ac:dyDescent="0.3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3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x14ac:dyDescent="0.3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x14ac:dyDescent="0.3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x14ac:dyDescent="0.3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x14ac:dyDescent="0.3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x14ac:dyDescent="0.3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x14ac:dyDescent="0.3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3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x14ac:dyDescent="0.3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x14ac:dyDescent="0.3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x14ac:dyDescent="0.3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3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3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x14ac:dyDescent="0.3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x14ac:dyDescent="0.3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x14ac:dyDescent="0.3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3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x14ac:dyDescent="0.3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x14ac:dyDescent="0.3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3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x14ac:dyDescent="0.3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x14ac:dyDescent="0.3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x14ac:dyDescent="0.3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x14ac:dyDescent="0.3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x14ac:dyDescent="0.3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x14ac:dyDescent="0.3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x14ac:dyDescent="0.3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x14ac:dyDescent="0.3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x14ac:dyDescent="0.3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x14ac:dyDescent="0.3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x14ac:dyDescent="0.3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x14ac:dyDescent="0.3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x14ac:dyDescent="0.3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x14ac:dyDescent="0.3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x14ac:dyDescent="0.3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x14ac:dyDescent="0.3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x14ac:dyDescent="0.3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x14ac:dyDescent="0.3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x14ac:dyDescent="0.3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x14ac:dyDescent="0.3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x14ac:dyDescent="0.3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x14ac:dyDescent="0.3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x14ac:dyDescent="0.3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3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x14ac:dyDescent="0.3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x14ac:dyDescent="0.3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x14ac:dyDescent="0.3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x14ac:dyDescent="0.3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x14ac:dyDescent="0.3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x14ac:dyDescent="0.3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x14ac:dyDescent="0.3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x14ac:dyDescent="0.3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x14ac:dyDescent="0.3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x14ac:dyDescent="0.3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x14ac:dyDescent="0.3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x14ac:dyDescent="0.3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x14ac:dyDescent="0.3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x14ac:dyDescent="0.3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3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x14ac:dyDescent="0.3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3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x14ac:dyDescent="0.3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3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3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3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3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x14ac:dyDescent="0.3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x14ac:dyDescent="0.3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x14ac:dyDescent="0.3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x14ac:dyDescent="0.3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3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x14ac:dyDescent="0.3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x14ac:dyDescent="0.3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x14ac:dyDescent="0.3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x14ac:dyDescent="0.3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x14ac:dyDescent="0.3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x14ac:dyDescent="0.3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x14ac:dyDescent="0.3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x14ac:dyDescent="0.3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x14ac:dyDescent="0.3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x14ac:dyDescent="0.3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x14ac:dyDescent="0.3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x14ac:dyDescent="0.3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x14ac:dyDescent="0.3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x14ac:dyDescent="0.3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3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3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x14ac:dyDescent="0.3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3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x14ac:dyDescent="0.3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3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x14ac:dyDescent="0.3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x14ac:dyDescent="0.3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3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x14ac:dyDescent="0.3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x14ac:dyDescent="0.3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x14ac:dyDescent="0.3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3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x14ac:dyDescent="0.3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x14ac:dyDescent="0.3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x14ac:dyDescent="0.3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x14ac:dyDescent="0.3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x14ac:dyDescent="0.3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x14ac:dyDescent="0.3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3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x14ac:dyDescent="0.3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3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3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3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x14ac:dyDescent="0.3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3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x14ac:dyDescent="0.3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x14ac:dyDescent="0.3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3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x14ac:dyDescent="0.3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x14ac:dyDescent="0.3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3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3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x14ac:dyDescent="0.3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x14ac:dyDescent="0.3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x14ac:dyDescent="0.3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x14ac:dyDescent="0.3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x14ac:dyDescent="0.3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3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3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3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3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3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5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29:E1158 E7:E27">
    <cfRule type="cellIs" dxfId="60" priority="170" operator="greaterThan">
      <formula>7</formula>
    </cfRule>
  </conditionalFormatting>
  <conditionalFormatting sqref="E1468:E4746">
    <cfRule type="cellIs" dxfId="59" priority="137" operator="greaterThan">
      <formula>7</formula>
    </cfRule>
  </conditionalFormatting>
  <conditionalFormatting sqref="I29:I1230 G29:G31 I7:I27">
    <cfRule type="cellIs" dxfId="58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57" priority="297711" operator="greaterThan">
      <formula>$H$28</formula>
    </cfRule>
  </conditionalFormatting>
  <conditionalFormatting sqref="L7:L1230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6" t="s">
        <v>110</v>
      </c>
      <c r="E1" s="376"/>
      <c r="F1" s="376"/>
      <c r="G1" s="376"/>
      <c r="H1" s="376"/>
      <c r="I1" s="19"/>
      <c r="J1" s="16"/>
      <c r="K1"/>
    </row>
    <row r="2" spans="2:75" ht="33.75" customHeight="1" thickBot="1" x14ac:dyDescent="0.35">
      <c r="D2" s="377" t="s">
        <v>111</v>
      </c>
      <c r="E2" s="377"/>
      <c r="F2" s="377"/>
      <c r="G2" s="377"/>
      <c r="H2" s="377"/>
      <c r="I2" s="377"/>
      <c r="J2" s="377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4">
      <c r="D3" s="378" t="s">
        <v>115</v>
      </c>
      <c r="E3" s="378"/>
      <c r="F3" s="378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8"/>
      <c r="E4" s="378"/>
      <c r="F4" s="378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147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146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4">
        <v>43</v>
      </c>
      <c r="C46" t="s">
        <v>145</v>
      </c>
      <c r="F46" t="s">
        <v>80</v>
      </c>
    </row>
    <row r="47" spans="2:16" ht="16.5" x14ac:dyDescent="0.3">
      <c r="B47" s="364">
        <v>44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>
        <v>180</v>
      </c>
      <c r="E8">
        <v>3931</v>
      </c>
    </row>
    <row r="9" spans="3:42" x14ac:dyDescent="0.3">
      <c r="C9" s="153" t="s">
        <v>117</v>
      </c>
      <c r="D9">
        <v>348</v>
      </c>
      <c r="E9">
        <v>7423</v>
      </c>
      <c r="I9" t="s">
        <v>138</v>
      </c>
    </row>
    <row r="10" spans="3:42" x14ac:dyDescent="0.3"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2025-12-15T05:05:54Z</cp:lastPrinted>
  <dcterms:created xsi:type="dcterms:W3CDTF">2021-05-05T13:25:05Z</dcterms:created>
  <dcterms:modified xsi:type="dcterms:W3CDTF">2025-12-15T05:21:32Z</dcterms:modified>
</cp:coreProperties>
</file>