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68C3698-711A-4B85-99AF-F07D63ECFEE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F46" i="1"/>
  <c r="C46" i="1"/>
  <c r="G46" i="1"/>
  <c r="E46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Q17" i="1"/>
  <c r="Q21" i="1"/>
  <c r="Q45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O18" i="1"/>
  <c r="Q18" i="1" s="1"/>
  <c r="O19" i="1"/>
  <c r="Q19" i="1" s="1"/>
  <c r="O20" i="1"/>
  <c r="Q20" i="1" s="1"/>
  <c r="O21" i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35" i="1"/>
  <c r="H36" i="1"/>
  <c r="H37" i="1"/>
  <c r="H38" i="1"/>
  <c r="H39" i="1"/>
  <c r="H40" i="1"/>
  <c r="H41" i="1"/>
  <c r="H42" i="1"/>
  <c r="H43" i="1"/>
  <c r="H44" i="1"/>
  <c r="H45" i="1"/>
  <c r="H7" i="1"/>
  <c r="H8" i="1"/>
  <c r="H9" i="1"/>
  <c r="H13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P3" i="6"/>
  <c r="T46" i="1"/>
  <c r="T47" i="1"/>
  <c r="T48" i="1"/>
  <c r="O46" i="1"/>
  <c r="Q46" i="1" s="1"/>
  <c r="O47" i="1"/>
  <c r="Q47" i="1" s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AP6" i="3"/>
  <c r="E13" i="3"/>
  <c r="D13" i="3"/>
  <c r="E12" i="3"/>
  <c r="D12" i="3"/>
  <c r="I41" i="1" l="1"/>
  <c r="J41" i="1" s="1"/>
  <c r="I9" i="1"/>
  <c r="I30" i="1"/>
  <c r="I22" i="1"/>
  <c r="P22" i="1" s="1"/>
  <c r="L22" i="1" s="1"/>
  <c r="I14" i="1"/>
  <c r="J14" i="1" s="1"/>
  <c r="I45" i="1"/>
  <c r="I37" i="1"/>
  <c r="J37" i="1" s="1"/>
  <c r="I33" i="1"/>
  <c r="P44" i="1" s="1"/>
  <c r="L44" i="1" s="1"/>
  <c r="I25" i="1"/>
  <c r="I17" i="1"/>
  <c r="I40" i="1"/>
  <c r="J40" i="1" s="1"/>
  <c r="I29" i="1"/>
  <c r="P40" i="1" s="1"/>
  <c r="L40" i="1" s="1"/>
  <c r="I21" i="1"/>
  <c r="J21" i="1" s="1"/>
  <c r="I12" i="1"/>
  <c r="I44" i="1"/>
  <c r="J44" i="1" s="1"/>
  <c r="I36" i="1"/>
  <c r="J36" i="1" s="1"/>
  <c r="I38" i="1"/>
  <c r="P38" i="1" s="1"/>
  <c r="L38" i="1" s="1"/>
  <c r="I34" i="1"/>
  <c r="P45" i="1" s="1"/>
  <c r="I26" i="1"/>
  <c r="P37" i="1" s="1"/>
  <c r="L37" i="1" s="1"/>
  <c r="I18" i="1"/>
  <c r="P18" i="1" s="1"/>
  <c r="L18" i="1" s="1"/>
  <c r="I13" i="1"/>
  <c r="P13" i="1" s="1"/>
  <c r="L13" i="1" s="1"/>
  <c r="I32" i="1"/>
  <c r="P32" i="1" s="1"/>
  <c r="L32" i="1" s="1"/>
  <c r="I28" i="1"/>
  <c r="P28" i="1" s="1"/>
  <c r="L28" i="1" s="1"/>
  <c r="I20" i="1"/>
  <c r="J20" i="1" s="1"/>
  <c r="I16" i="1"/>
  <c r="P16" i="1" s="1"/>
  <c r="L16" i="1" s="1"/>
  <c r="I11" i="1"/>
  <c r="P11" i="1" s="1"/>
  <c r="L11" i="1" s="1"/>
  <c r="I8" i="1"/>
  <c r="P8" i="1" s="1"/>
  <c r="L8" i="1" s="1"/>
  <c r="I43" i="1"/>
  <c r="P43" i="1" s="1"/>
  <c r="L43" i="1" s="1"/>
  <c r="I39" i="1"/>
  <c r="P39" i="1" s="1"/>
  <c r="L39" i="1" s="1"/>
  <c r="I35" i="1"/>
  <c r="P35" i="1" s="1"/>
  <c r="L35" i="1" s="1"/>
  <c r="I24" i="1"/>
  <c r="J24" i="1" s="1"/>
  <c r="I31" i="1"/>
  <c r="I27" i="1"/>
  <c r="J27" i="1" s="1"/>
  <c r="I23" i="1"/>
  <c r="J23" i="1" s="1"/>
  <c r="I19" i="1"/>
  <c r="J19" i="1" s="1"/>
  <c r="I15" i="1"/>
  <c r="J15" i="1" s="1"/>
  <c r="I10" i="1"/>
  <c r="J10" i="1" s="1"/>
  <c r="I7" i="1"/>
  <c r="J7" i="1" s="1"/>
  <c r="I42" i="1"/>
  <c r="P42" i="1" s="1"/>
  <c r="L42" i="1" s="1"/>
  <c r="P17" i="1"/>
  <c r="L17" i="1" s="1"/>
  <c r="P9" i="1"/>
  <c r="L9" i="1" s="1"/>
  <c r="P12" i="1"/>
  <c r="J11" i="1"/>
  <c r="J34" i="1"/>
  <c r="H46" i="1"/>
  <c r="U12" i="1" s="1"/>
  <c r="P23" i="1"/>
  <c r="L23" i="1" s="1"/>
  <c r="J45" i="1"/>
  <c r="J17" i="1"/>
  <c r="J9" i="1"/>
  <c r="P34" i="1"/>
  <c r="L34" i="1" s="1"/>
  <c r="P30" i="1"/>
  <c r="L30" i="1" s="1"/>
  <c r="J32" i="1"/>
  <c r="J12" i="1"/>
  <c r="U47" i="1"/>
  <c r="L45" i="1"/>
  <c r="P48" i="1"/>
  <c r="L12" i="1"/>
  <c r="P47" i="1"/>
  <c r="P46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0" i="1" l="1"/>
  <c r="L10" i="1" s="1"/>
  <c r="J13" i="1"/>
  <c r="J16" i="1"/>
  <c r="P27" i="1"/>
  <c r="L27" i="1" s="1"/>
  <c r="P41" i="1"/>
  <c r="L41" i="1" s="1"/>
  <c r="J28" i="1"/>
  <c r="U40" i="1"/>
  <c r="J8" i="1"/>
  <c r="J18" i="1"/>
  <c r="P20" i="1"/>
  <c r="L20" i="1" s="1"/>
  <c r="P19" i="1"/>
  <c r="L19" i="1" s="1"/>
  <c r="U19" i="1"/>
  <c r="J29" i="1"/>
  <c r="J22" i="1"/>
  <c r="P24" i="1"/>
  <c r="L24" i="1" s="1"/>
  <c r="J33" i="1"/>
  <c r="P7" i="1"/>
  <c r="L7" i="1" s="1"/>
  <c r="U26" i="1"/>
  <c r="J26" i="1"/>
  <c r="P26" i="1"/>
  <c r="L26" i="1" s="1"/>
  <c r="U33" i="1"/>
  <c r="J30" i="1"/>
  <c r="P33" i="1"/>
  <c r="L33" i="1" s="1"/>
  <c r="J42" i="1"/>
  <c r="P36" i="1"/>
  <c r="L36" i="1" s="1"/>
  <c r="P25" i="1"/>
  <c r="L25" i="1" s="1"/>
  <c r="I46" i="1"/>
  <c r="U15" i="1"/>
  <c r="U22" i="1"/>
  <c r="U29" i="1"/>
  <c r="U36" i="1"/>
  <c r="P21" i="1"/>
  <c r="L21" i="1" s="1"/>
  <c r="U35" i="1"/>
  <c r="U42" i="1"/>
  <c r="U10" i="1"/>
  <c r="U17" i="1"/>
  <c r="U24" i="1"/>
  <c r="P14" i="1"/>
  <c r="L14" i="1" s="1"/>
  <c r="J25" i="1"/>
  <c r="P15" i="1"/>
  <c r="L15" i="1" s="1"/>
  <c r="P31" i="1"/>
  <c r="L31" i="1" s="1"/>
  <c r="U31" i="1"/>
  <c r="U38" i="1"/>
  <c r="U45" i="1"/>
  <c r="U13" i="1"/>
  <c r="U20" i="1"/>
  <c r="P29" i="1"/>
  <c r="L29" i="1" s="1"/>
  <c r="J38" i="1"/>
  <c r="U8" i="1"/>
  <c r="J35" i="1"/>
  <c r="J39" i="1"/>
  <c r="J43" i="1"/>
  <c r="J31" i="1"/>
  <c r="U46" i="1"/>
  <c r="U43" i="1"/>
  <c r="U27" i="1"/>
  <c r="U11" i="1"/>
  <c r="U34" i="1"/>
  <c r="U18" i="1"/>
  <c r="U41" i="1"/>
  <c r="U25" i="1"/>
  <c r="U9" i="1"/>
  <c r="U32" i="1"/>
  <c r="U16" i="1"/>
  <c r="U48" i="1"/>
  <c r="U39" i="1"/>
  <c r="U23" i="1"/>
  <c r="U7" i="1"/>
  <c r="U30" i="1"/>
  <c r="U14" i="1"/>
  <c r="U37" i="1"/>
  <c r="U21" i="1"/>
  <c r="U44" i="1"/>
  <c r="U28" i="1"/>
  <c r="N46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<sst xmlns="http://schemas.openxmlformats.org/spreadsheetml/2006/main" count="304" uniqueCount="192">
  <si>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</si>
  <si>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</si>
  <si>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</si>
  <si>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</si>
  <si>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</si>
  <si>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</si>
  <si>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</si>
  <si>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</si>
  <si>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</si>
  <si>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</si>
  <si>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</si>
  <si>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</si>
  <si>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</si>
  <si>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</si>
  <si>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</si>
  <si>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</si>
  <si>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</si>
  <si>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</si>
  <si>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</si>
  <si>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</si>
  <si>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</si>
  <si>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</si>
  <si>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</si>
  <si>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</si>
  <si>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</si>
  <si>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</si>
  <si>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</si>
  <si>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</si>
  <si>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</si>
  <si>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</si>
  <si>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</si>
  <si>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</si>
  <si>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</si>
  <si>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</si>
  <si>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</si>
  <si>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</si>
  <si>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</si>
  <si>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</si>
  <si>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</si>
  <si>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</si>
  <si>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</si>
  <si>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</si>
  <si>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</si>
  <si>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</si>
  <si>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</si>
  <si>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</si>
  <si>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</si>
  <si>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</si>
  <si>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</si>
  <si>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</si>
  <si>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</si>
  <si>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</si>
  <si>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</si>
  <si>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</si>
  <si>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</si>
  <si>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</si>
  <si>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</si>
  <si>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</si>
  <si>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</si>
  <si>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</si>
  <si>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</si>
  <si>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</si>
  <si>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</si>
  <si>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</si>
  <si>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</si>
  <si>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</si>
  <si>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</si>
  <si>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</si>
  <si>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</si>
  <si>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</si>
  <si>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</si>
  <si>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</si>
  <si>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</si>
  <si>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</si>
  <si>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</si>
  <si>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</si>
  <si>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</si>
  <si>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</si>
  <si>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</si>
  <si>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</si>
  <si>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</si>
  <si>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</si>
  <si>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</si>
  <si>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</si>
  <si>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</si>
  <si>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</si>
  <si>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</si>
  <si>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</si>
  <si>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</si>
  <si>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</si>
  <si>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</si>
  <si>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</si>
  <si>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</si>
  <si>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</si>
  <si>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</si>
  <si>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</si>
  <si>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</si>
  <si>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</si>
  <si>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</si>
  <si>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</si>
  <si>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</si>
  <si>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</si>
  <si>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</si>
  <si>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</si>
  <si>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</si>
  <si>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</si>
  <si>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</si>
  <si>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</si>
  <si>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</si>
  <si>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</si>
  <si>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</si>
  <si>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</si>
  <si>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</si>
  <si>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</si>
  <si>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</si>
  <si>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</si>
  <si>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</si>
  <si>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</si>
  <si>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</si>
  <si>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</si>
  <si>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</si>
  <si>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</si>
  <si>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</si>
  <si>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</si>
  <si>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</si>
  <si>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</si>
  <si>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</si>
  <si>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</si>
  <si>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</si>
  <si>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</si>
  <si>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</si>
  <si>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</si>
  <si>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</si>
  <si>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</si>
  <si>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</si>
  <si>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</si>
  <si>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</si>
  <si>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</si>
  <si>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</si>
  <si>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</si>
  <si>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</si>
  <si>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</si>
  <si>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</si>
  <si>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</si>
  <si>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</si>
  <si>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</si>
  <si>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</si>
  <si>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</si>
  <si>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</si>
  <si>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JARAMILLO JARAMILLO FRANCISCO WBEIMAR</t>
  </si>
  <si>
    <t>SANCHEZ BETANCOURT FRANSCISCO</t>
  </si>
  <si>
    <t>MURILLO  YORMAN ANDRES</t>
  </si>
  <si>
    <t>QUIRAMA CASTAÑEDA JHON JADER</t>
  </si>
  <si>
    <t>LAYOS JIMENEZ JOHAN CAMILO</t>
  </si>
  <si>
    <t>CALLE BOTERO JUAN RICARDO</t>
  </si>
  <si>
    <t>LONDOÑO LOPERA DUVAN ANDRES</t>
  </si>
  <si>
    <t>HINCAPIE VILLA JUAN ESTIVEN</t>
  </si>
  <si>
    <t>DURANGO DAVID JOSE</t>
  </si>
  <si>
    <t>LOPEZ PINEDA DANIEL ESTIVEN</t>
  </si>
  <si>
    <t>PARRA VILLA YUBER ALONSO</t>
  </si>
  <si>
    <t>LEON PEREZ RAUL ENRIQUE</t>
  </si>
  <si>
    <t>ARAQUE ARROYAVE JOSE ALBEIRO</t>
  </si>
  <si>
    <t>CALLE BOTERO ANDRES CAMILO</t>
  </si>
  <si>
    <t>YEPES TORRES JHON ALEXANDER</t>
  </si>
  <si>
    <t>SALDARRIAGA PARRA LUIS ALBERTO</t>
  </si>
  <si>
    <t>VERENZUELA MARTINEZ ALEXANDER</t>
  </si>
  <si>
    <t>OSORIO URREGO SANTIAGO</t>
  </si>
  <si>
    <t>GONZALEZ PEREZ RAFAEL JOSE</t>
  </si>
  <si>
    <t>CIRO MARIN RODRIGO ALBERTO</t>
  </si>
  <si>
    <t>PALACIO ARIAS YORFAN ALEXIS</t>
  </si>
  <si>
    <t>PARIAS MURIEL JHON FREDY</t>
  </si>
  <si>
    <t>MONTOYA OSPINA GILBERTO ANTONIO</t>
  </si>
  <si>
    <t>GARCIA DAVID WILSON ALBERTO</t>
  </si>
  <si>
    <t>AGUDELO GARCIA DENIN ANGELO</t>
  </si>
  <si>
    <t>TABORDA ROJAS DIEGO ALEJANDRO</t>
  </si>
  <si>
    <t>DAVID  HENRY GIOVANNY</t>
  </si>
  <si>
    <t>MARIN ALZATE KEVIN ANDRES</t>
  </si>
  <si>
    <t>GONZALEZ IPUANA RENE</t>
  </si>
  <si>
    <t>MACEA ARBELAEZ MATEO</t>
  </si>
  <si>
    <t>OCAMPO OCAMPO ANTONIO JOSE</t>
  </si>
  <si>
    <t>JIMENEZ HERNANDEZ ESTEBAN CAMILO</t>
  </si>
  <si>
    <t>PULGARIN GARCIA YONATHAN ANDRES</t>
  </si>
  <si>
    <t>HERNANDEZ MACIAS GILBERTO</t>
  </si>
  <si>
    <t>SUAREZ ESCUDERO JONATAN</t>
  </si>
  <si>
    <t>VALENCIA MENDOZA JHON</t>
  </si>
  <si>
    <t>FLORES RINCON JORGE ALBERTO</t>
  </si>
  <si>
    <t>AGUDELO GARCIA LLORDIN ELIAS</t>
  </si>
  <si>
    <t xml:space="preserve">JULIAN MACIAS Realizó 5 viajes donde movilizó 157 Usuarios </t>
  </si>
  <si>
    <t xml:space="preserve">2 Descuentos (Transbordo)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</si>
  <si>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</si>
  <si>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21.3 USUARIOS</t>
    </r>
  </si>
  <si>
    <t xml:space="preserve">Se descuenta 0.5 viaje de 5 36 pm ya que NO ingresa a la minorista.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</si>
</sst>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 formatCode="General">
                  <c:v>22</c:v>
                </c:pt>
                <c:pt idx="21">
                  <c:v>23</c:v>
                </c:pt>
                <c:pt idx="22" formatCode="General">
                  <c:v>24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32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 formatCode="General">
                  <c:v>40</c:v>
                </c:pt>
                <c:pt idx="36">
                  <c:v>41</c:v>
                </c:pt>
                <c:pt idx="37">
                  <c:v>42</c:v>
                </c:pt>
                <c:pt idx="38" formatCode="General">
                  <c:v>43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21.111111111111111</c:v>
                </c:pt>
                <c:pt idx="1">
                  <c:v>19.444444444444443</c:v>
                </c:pt>
                <c:pt idx="2">
                  <c:v>18.555555555555557</c:v>
                </c:pt>
                <c:pt idx="3">
                  <c:v>24.666666666666668</c:v>
                </c:pt>
                <c:pt idx="4">
                  <c:v>21.875</c:v>
                </c:pt>
                <c:pt idx="5">
                  <c:v>18</c:v>
                </c:pt>
                <c:pt idx="6">
                  <c:v>19</c:v>
                </c:pt>
                <c:pt idx="7">
                  <c:v>24.76923076923077</c:v>
                </c:pt>
                <c:pt idx="8">
                  <c:v>25.272727272727273</c:v>
                </c:pt>
                <c:pt idx="9">
                  <c:v>20.625</c:v>
                </c:pt>
                <c:pt idx="10">
                  <c:v>19.444444444444443</c:v>
                </c:pt>
                <c:pt idx="11">
                  <c:v>22.444444444444443</c:v>
                </c:pt>
                <c:pt idx="12">
                  <c:v>23.294117647058822</c:v>
                </c:pt>
                <c:pt idx="13">
                  <c:v>23.066666666666666</c:v>
                </c:pt>
                <c:pt idx="14">
                  <c:v>25.454545454545453</c:v>
                </c:pt>
                <c:pt idx="15">
                  <c:v>20.222222222222221</c:v>
                </c:pt>
                <c:pt idx="16">
                  <c:v>8.6666666666666661</c:v>
                </c:pt>
                <c:pt idx="17">
                  <c:v>20.5</c:v>
                </c:pt>
                <c:pt idx="18">
                  <c:v>21.125</c:v>
                </c:pt>
                <c:pt idx="19">
                  <c:v>26.818181818181817</c:v>
                </c:pt>
                <c:pt idx="20">
                  <c:v>20.625</c:v>
                </c:pt>
                <c:pt idx="21">
                  <c:v>16.142857142857142</c:v>
                </c:pt>
                <c:pt idx="22">
                  <c:v>19.666666666666668</c:v>
                </c:pt>
                <c:pt idx="23">
                  <c:v>22.777777777777779</c:v>
                </c:pt>
                <c:pt idx="24">
                  <c:v>21.5</c:v>
                </c:pt>
                <c:pt idx="25">
                  <c:v>22</c:v>
                </c:pt>
                <c:pt idx="26">
                  <c:v>18.111111111111111</c:v>
                </c:pt>
                <c:pt idx="27">
                  <c:v>28.75</c:v>
                </c:pt>
                <c:pt idx="28">
                  <c:v>16.875</c:v>
                </c:pt>
                <c:pt idx="29">
                  <c:v>23.888888888888889</c:v>
                </c:pt>
                <c:pt idx="30">
                  <c:v>19.25</c:v>
                </c:pt>
                <c:pt idx="31">
                  <c:v>20.75</c:v>
                </c:pt>
                <c:pt idx="32">
                  <c:v>23.333333333333332</c:v>
                </c:pt>
                <c:pt idx="33">
                  <c:v>20.571428571428573</c:v>
                </c:pt>
                <c:pt idx="34">
                  <c:v>24.333333333333332</c:v>
                </c:pt>
                <c:pt idx="35">
                  <c:v>19.25</c:v>
                </c:pt>
                <c:pt idx="36">
                  <c:v>22.888888888888889</c:v>
                </c:pt>
                <c:pt idx="37">
                  <c:v>18.899999999999999</c:v>
                </c:pt>
                <c:pt idx="38">
                  <c:v>20.375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1.3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B46" sqref="B4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bestFit="1" customWidth="1"/>
    <col min="9" max="9" width="10.375" style="149" bestFit="1" customWidth="1"/>
    <col min="10" max="10" width="10.375" style="363" customWidth="1"/>
    <col min="11" max="11" width="59" bestFit="1" customWidth="1"/>
    <col min="12" max="12" width="10.5" style="338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7" t="s">
        <v>144</v>
      </c>
      <c r="E1" s="367"/>
      <c r="F1" s="367"/>
      <c r="G1" s="367"/>
      <c r="H1" s="367"/>
      <c r="I1" s="19"/>
      <c r="J1" s="339"/>
      <c r="K1" s="195"/>
      <c r="L1"/>
    </row>
    <row r="2" spans="1:32" ht="49.5" thickBot="1" x14ac:dyDescent="0.35">
      <c r="D2" s="368" t="s">
        <v>143</v>
      </c>
      <c r="E2" s="368"/>
      <c r="F2" s="368"/>
      <c r="G2" s="368"/>
      <c r="H2" s="368"/>
      <c r="I2" s="368"/>
      <c r="J2" s="368"/>
      <c r="K2" s="368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2"/>
      <c r="H3" s="244"/>
      <c r="I3" s="19"/>
      <c r="J3" s="339"/>
      <c r="K3" s="195"/>
      <c r="L3" s="197"/>
      <c r="Q3" s="55">
        <f>+SUM(G6:G1857)/2</f>
        <v>6861</v>
      </c>
      <c r="R3" s="55">
        <f>+SUM(E6:E1857)/2</f>
        <v>321</v>
      </c>
      <c r="S3" s="55">
        <f>+Q3-R3</f>
        <v>6540</v>
      </c>
      <c r="T3" s="56">
        <f>+S3/R3</f>
        <v>20.373831775700936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45969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37">
        <v>1</v>
      </c>
      <c r="D7" s="151" t="s">
        <v>156</v>
      </c>
      <c r="E7" s="150">
        <v>4.5</v>
      </c>
      <c r="F7" s="150">
        <v>0.5</v>
      </c>
      <c r="G7" s="165">
        <v>95</v>
      </c>
      <c r="H7" s="227">
        <f t="shared" ref="H7:H45" si="0">+G7/E7</f>
        <v>21.111111111111111</v>
      </c>
      <c r="I7" s="228">
        <f>+(SUM($G$7:$G$1048576)/SUM($E$7:$E$1048576))*E7</f>
        <v>96.182242990654203</v>
      </c>
      <c r="J7" s="364">
        <f>+Tabla2[[#This Row],[PROM DE USUARIOS]]-Tabla2[[#This Row],[USUARIOS]]</f>
        <v>1.1822429906542027</v>
      </c>
      <c r="K7" s="151"/>
      <c r="L7" s="163">
        <f t="shared" ref="L7:L45" si="1">P7*585</f>
        <v>53634.11214953271</v>
      </c>
      <c r="M7" s="162" t="str">
        <f>+VLOOKUP(C7,Lista!B:D,3,0)</f>
        <v>MICRO</v>
      </c>
      <c r="N7" s="375">
        <f t="shared" ref="N7:N45" si="2">+(SUMIFS(G:G,M:M,"MICRO",E:E,"&gt;0")*100)/COUNTIF($E$7:$E$45,"&gt;0")</f>
        <v>11815.384615384615</v>
      </c>
      <c r="O7" s="50">
        <f t="shared" ref="O7:O45" si="3">+(E7*1)-V7</f>
        <v>4.5</v>
      </c>
      <c r="P7" s="47">
        <f t="shared" ref="P7:P45" si="4">+I7-O7-W7</f>
        <v>91.682242990654203</v>
      </c>
      <c r="Q7" s="49">
        <f t="shared" ref="Q7:Q45" si="5">+G7-O7</f>
        <v>90.5</v>
      </c>
      <c r="R7" s="51">
        <f t="shared" ref="R7:R45" si="6">+E7*$T$3</f>
        <v>91.682242990654203</v>
      </c>
      <c r="S7" s="46">
        <f t="shared" ref="S7:S45" si="7">+R7*550</f>
        <v>50425.233644859814</v>
      </c>
      <c r="T7" t="str">
        <f t="shared" ref="T7:T45" si="8">+IF(K7&lt;&gt;"",K7,"")</f>
        <v/>
      </c>
      <c r="U7">
        <f>+RANK(H7,$H$6:$H$1048576,1)</f>
        <v>21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124</v>
      </c>
      <c r="C8" s="166">
        <v>2</v>
      </c>
      <c r="D8" s="151" t="s">
        <v>170</v>
      </c>
      <c r="E8" s="150">
        <v>9</v>
      </c>
      <c r="F8" s="150">
        <v>0</v>
      </c>
      <c r="G8" s="165">
        <v>175</v>
      </c>
      <c r="H8" s="227">
        <f t="shared" si="0"/>
        <v>19.444444444444443</v>
      </c>
      <c r="I8" s="228">
        <f>+(SUM($G$7:$G$1048576)/SUM($E$7:$E$1048576))*E8</f>
        <v>192.36448598130841</v>
      </c>
      <c r="J8" s="364">
        <f>+Tabla2[[#This Row],[PROM DE USUARIOS]]-Tabla2[[#This Row],[USUARIOS]]</f>
        <v>17.364485981308405</v>
      </c>
      <c r="K8" s="151"/>
      <c r="L8" s="163">
        <f t="shared" si="1"/>
        <v>107268.22429906542</v>
      </c>
      <c r="M8" s="162">
        <f>+VLOOKUP(C8,Lista!B:D,3,0)</f>
        <v>0</v>
      </c>
      <c r="N8" s="375">
        <f t="shared" si="2"/>
        <v>11815.384615384615</v>
      </c>
      <c r="O8" s="50">
        <f t="shared" si="3"/>
        <v>9</v>
      </c>
      <c r="P8" s="47">
        <f t="shared" si="4"/>
        <v>183.36448598130841</v>
      </c>
      <c r="Q8" s="49">
        <f t="shared" si="5"/>
        <v>166</v>
      </c>
      <c r="R8" s="51">
        <f t="shared" si="6"/>
        <v>183.36448598130841</v>
      </c>
      <c r="S8" s="46">
        <f t="shared" si="7"/>
        <v>100850.46728971963</v>
      </c>
      <c r="T8" t="str">
        <f t="shared" si="8"/>
        <v/>
      </c>
      <c r="U8">
        <f>+RANK(H8,$H$6:$H$1048576,1)</f>
        <v>11</v>
      </c>
      <c r="Y8" t="str">
        <f>TRIM(Tabla2[[#This Row],[CONDUCTOR]])</f>
        <v>PARIAS MURIEL JHON FREDY</v>
      </c>
    </row>
    <row r="9" spans="1:32" x14ac:dyDescent="0.2">
      <c r="B9" s="136" t="s">
        <v>123</v>
      </c>
      <c r="C9" s="166">
        <v>3</v>
      </c>
      <c r="D9" s="151" t="s">
        <v>177</v>
      </c>
      <c r="E9" s="150">
        <v>9</v>
      </c>
      <c r="F9" s="150">
        <v>0</v>
      </c>
      <c r="G9" s="165">
        <v>167</v>
      </c>
      <c r="H9" s="227">
        <f t="shared" si="0"/>
        <v>18.555555555555557</v>
      </c>
      <c r="I9" s="228">
        <f>+(SUM($G$7:$G$1048576)/SUM($E$7:$E$1048576))*E9</f>
        <v>192.36448598130841</v>
      </c>
      <c r="J9" s="364">
        <f>+Tabla2[[#This Row],[PROM DE USUARIOS]]-Tabla2[[#This Row],[USUARIOS]]</f>
        <v>25.364485981308405</v>
      </c>
      <c r="K9" s="151"/>
      <c r="L9" s="163">
        <f t="shared" si="1"/>
        <v>107268.22429906542</v>
      </c>
      <c r="M9" s="162" t="str">
        <f>+VLOOKUP(C9,Lista!B:D,3,0)</f>
        <v>MICRO</v>
      </c>
      <c r="N9" s="375">
        <f t="shared" si="2"/>
        <v>11815.384615384615</v>
      </c>
      <c r="O9" s="50">
        <f t="shared" si="3"/>
        <v>9</v>
      </c>
      <c r="P9" s="47">
        <f t="shared" si="4"/>
        <v>183.36448598130841</v>
      </c>
      <c r="Q9" s="49">
        <f t="shared" si="5"/>
        <v>158</v>
      </c>
      <c r="R9" s="51">
        <f t="shared" si="6"/>
        <v>183.36448598130841</v>
      </c>
      <c r="S9" s="46">
        <f t="shared" si="7"/>
        <v>100850.46728971963</v>
      </c>
      <c r="T9" t="str">
        <f t="shared" si="8"/>
        <v/>
      </c>
      <c r="U9">
        <f>+RANK(H9,$H$6:$H$1048576,1)</f>
        <v>6</v>
      </c>
      <c r="Y9" t="str">
        <f>TRIM(Tabla2[[#This Row],[CONDUCTOR]])</f>
        <v>GONZALEZ IPUANA RENE</v>
      </c>
    </row>
    <row r="10" spans="1:32" x14ac:dyDescent="0.2">
      <c r="B10" s="136" t="s">
        <v>124</v>
      </c>
      <c r="C10" s="166">
        <v>4</v>
      </c>
      <c r="D10" s="151" t="s">
        <v>150</v>
      </c>
      <c r="E10" s="150">
        <v>9</v>
      </c>
      <c r="F10" s="150">
        <v>0</v>
      </c>
      <c r="G10" s="146">
        <v>222</v>
      </c>
      <c r="H10" s="227">
        <f t="shared" si="0"/>
        <v>24.666666666666668</v>
      </c>
      <c r="I10" s="228">
        <f>+(SUM($G$7:$G$1048576)/SUM($E$7:$E$1048576))*E10</f>
        <v>192.36448598130841</v>
      </c>
      <c r="J10" s="364">
        <f>+Tabla2[[#This Row],[PROM DE USUARIOS]]-Tabla2[[#This Row],[USUARIOS]]</f>
        <v>-29.635514018691595</v>
      </c>
      <c r="K10" s="151" t="s">
        <v>131</v>
      </c>
      <c r="L10" s="163">
        <f t="shared" si="1"/>
        <v>107268.22429906542</v>
      </c>
      <c r="M10" s="162" t="str">
        <f>+VLOOKUP(C10,Lista!B:D,3,0)</f>
        <v>MICRO</v>
      </c>
      <c r="N10" s="375">
        <f t="shared" si="2"/>
        <v>11815.384615384615</v>
      </c>
      <c r="O10" s="50">
        <f t="shared" si="3"/>
        <v>9</v>
      </c>
      <c r="P10" s="47">
        <f t="shared" si="4"/>
        <v>183.36448598130841</v>
      </c>
      <c r="Q10" s="49">
        <f t="shared" si="5"/>
        <v>213</v>
      </c>
      <c r="R10" s="51">
        <f t="shared" si="6"/>
        <v>183.36448598130841</v>
      </c>
      <c r="S10" s="46">
        <f t="shared" si="7"/>
        <v>100850.46728971963</v>
      </c>
      <c r="T10" t="str">
        <f t="shared" si="8"/>
        <v xml:space="preserve">1 Descuento (Conduct) </v>
      </c>
      <c r="U10">
        <f>+RANK(H10,$H$6:$H$1048576,1)</f>
        <v>35</v>
      </c>
      <c r="Y10" t="str">
        <f>TRIM(Tabla2[[#This Row],[CONDUCTOR]])</f>
        <v>SANCHEZ BETANCOURT FRANSCISCO</v>
      </c>
    </row>
    <row r="11" spans="1:32" x14ac:dyDescent="0.2">
      <c r="B11" s="136" t="s">
        <v>123</v>
      </c>
      <c r="C11" s="166">
        <v>5</v>
      </c>
      <c r="D11" s="151" t="s">
        <v>155</v>
      </c>
      <c r="E11" s="150">
        <v>8</v>
      </c>
      <c r="F11" s="150">
        <v>0</v>
      </c>
      <c r="G11" s="165">
        <v>175</v>
      </c>
      <c r="H11" s="227">
        <f t="shared" si="0"/>
        <v>21.875</v>
      </c>
      <c r="I11" s="228">
        <f>+(SUM($G$7:$G$1048576)/SUM($E$7:$E$1048576))*E11</f>
        <v>170.99065420560748</v>
      </c>
      <c r="J11" s="364">
        <f>+Tabla2[[#This Row],[PROM DE USUARIOS]]-Tabla2[[#This Row],[USUARIOS]]</f>
        <v>-4.0093457943925159</v>
      </c>
      <c r="K11" s="151"/>
      <c r="L11" s="163">
        <f t="shared" si="1"/>
        <v>95349.532710280371</v>
      </c>
      <c r="M11" s="162">
        <f>+VLOOKUP(C11,Lista!B:D,3,0)</f>
        <v>0</v>
      </c>
      <c r="N11" s="375">
        <f t="shared" si="2"/>
        <v>11815.384615384615</v>
      </c>
      <c r="O11" s="50">
        <f t="shared" si="3"/>
        <v>8</v>
      </c>
      <c r="P11" s="47">
        <f t="shared" si="4"/>
        <v>162.99065420560748</v>
      </c>
      <c r="Q11" s="49">
        <f t="shared" si="5"/>
        <v>167</v>
      </c>
      <c r="R11" s="51">
        <f t="shared" si="6"/>
        <v>162.99065420560748</v>
      </c>
      <c r="S11" s="46">
        <f t="shared" si="7"/>
        <v>89644.859813084113</v>
      </c>
      <c r="T11" t="str">
        <f t="shared" si="8"/>
        <v/>
      </c>
      <c r="U11">
        <f>+RANK(H11,$H$6:$H$1048576,1)</f>
        <v>25</v>
      </c>
      <c r="Y11" t="str">
        <f>TRIM(Tabla2[[#This Row],[CONDUCTOR]])</f>
        <v>LONDOÑO LOPERA DUVAN ANDRES</v>
      </c>
    </row>
    <row r="12" spans="1:32" x14ac:dyDescent="0.2">
      <c r="B12" s="136" t="s">
        <v>124</v>
      </c>
      <c r="C12" s="137">
        <v>6</v>
      </c>
      <c r="D12" s="151" t="s">
        <v>158</v>
      </c>
      <c r="E12" s="150">
        <v>5</v>
      </c>
      <c r="F12" s="150">
        <v>0</v>
      </c>
      <c r="G12" s="165">
        <v>90</v>
      </c>
      <c r="H12" s="227">
        <f t="shared" si="0"/>
        <v>18</v>
      </c>
      <c r="I12" s="228">
        <f>+(SUM($G$7:$G$1048576)/SUM($E$7:$E$1048576))*E12</f>
        <v>106.86915887850468</v>
      </c>
      <c r="J12" s="364">
        <f>+Tabla2[[#This Row],[PROM DE USUARIOS]]-Tabla2[[#This Row],[USUARIOS]]</f>
        <v>16.869158878504678</v>
      </c>
      <c r="K12" s="151"/>
      <c r="L12" s="163">
        <f t="shared" si="1"/>
        <v>59593.457943925234</v>
      </c>
      <c r="M12" s="162" t="str">
        <f>+VLOOKUP(C12,Lista!B:D,3,0)</f>
        <v>MICRO</v>
      </c>
      <c r="N12" s="375">
        <f t="shared" si="2"/>
        <v>11815.384615384615</v>
      </c>
      <c r="O12" s="50">
        <f t="shared" si="3"/>
        <v>5</v>
      </c>
      <c r="P12" s="47">
        <f t="shared" si="4"/>
        <v>101.86915887850468</v>
      </c>
      <c r="Q12" s="49">
        <f t="shared" si="5"/>
        <v>85</v>
      </c>
      <c r="R12" s="51">
        <f t="shared" si="6"/>
        <v>101.86915887850468</v>
      </c>
      <c r="S12" s="46">
        <f t="shared" si="7"/>
        <v>56028.037383177572</v>
      </c>
      <c r="T12" t="str">
        <f t="shared" si="8"/>
        <v/>
      </c>
      <c r="U12">
        <f>+RANK(H12,$H$6:$H$1048576,1)</f>
        <v>4</v>
      </c>
      <c r="Y12" t="str">
        <f>TRIM(Tabla2[[#This Row],[CONDUCTOR]])</f>
        <v>LOPEZ PINEDA DANIEL ESTIVEN</v>
      </c>
    </row>
    <row r="13" spans="1:32" x14ac:dyDescent="0.2">
      <c r="B13" s="136" t="s">
        <v>123</v>
      </c>
      <c r="C13" s="166">
        <v>7</v>
      </c>
      <c r="D13" s="151" t="s">
        <v>169</v>
      </c>
      <c r="E13" s="150">
        <v>9</v>
      </c>
      <c r="F13" s="150">
        <v>0</v>
      </c>
      <c r="G13" s="165">
        <v>171</v>
      </c>
      <c r="H13" s="227">
        <f t="shared" si="0"/>
        <v>19</v>
      </c>
      <c r="I13" s="228">
        <f>+(SUM($G$7:$G$1048576)/SUM($E$7:$E$1048576))*E13</f>
        <v>192.36448598130841</v>
      </c>
      <c r="J13" s="364">
        <f>+Tabla2[[#This Row],[PROM DE USUARIOS]]-Tabla2[[#This Row],[USUARIOS]]</f>
        <v>21.364485981308405</v>
      </c>
      <c r="K13" s="151" t="s">
        <v>188</v>
      </c>
      <c r="L13" s="163">
        <f t="shared" si="1"/>
        <v>107268.22429906542</v>
      </c>
      <c r="M13" s="162">
        <f>+VLOOKUP(C13,Lista!B:D,3,0)</f>
        <v>0</v>
      </c>
      <c r="N13" s="375">
        <f t="shared" si="2"/>
        <v>11815.384615384615</v>
      </c>
      <c r="O13" s="50">
        <f t="shared" si="3"/>
        <v>9</v>
      </c>
      <c r="P13" s="47">
        <f t="shared" si="4"/>
        <v>183.36448598130841</v>
      </c>
      <c r="Q13" s="49">
        <f t="shared" si="5"/>
        <v>162</v>
      </c>
      <c r="R13" s="51">
        <f t="shared" si="6"/>
        <v>183.36448598130841</v>
      </c>
      <c r="S13" s="46">
        <f t="shared" si="7"/>
        <v>100850.46728971963</v>
      </c>
      <c r="T13" t="str">
        <f t="shared" si="8"/>
        <v xml:space="preserve">2 Descuentos (Transbordo) </v>
      </c>
      <c r="U13">
        <f>+RANK(H13,$H$6:$H$1048576,1)</f>
        <v>8</v>
      </c>
      <c r="Y13" t="str">
        <f>TRIM(Tabla2[[#This Row],[CONDUCTOR]])</f>
        <v>PALACIO ARIAS YORFAN ALEXIS</v>
      </c>
    </row>
    <row r="14" spans="1:32" x14ac:dyDescent="0.2">
      <c r="B14" s="136" t="s">
        <v>124</v>
      </c>
      <c r="C14" s="166">
        <v>8</v>
      </c>
      <c r="D14" s="151" t="s">
        <v>167</v>
      </c>
      <c r="E14" s="150">
        <v>6.5</v>
      </c>
      <c r="F14" s="150">
        <v>0.5</v>
      </c>
      <c r="G14" s="165">
        <v>161</v>
      </c>
      <c r="H14" s="227">
        <f t="shared" si="0"/>
        <v>24.76923076923077</v>
      </c>
      <c r="I14" s="228">
        <f>+(SUM($G$7:$G$1048576)/SUM($E$7:$E$1048576))*E14</f>
        <v>138.92990654205607</v>
      </c>
      <c r="J14" s="364">
        <f>+Tabla2[[#This Row],[PROM DE USUARIOS]]-Tabla2[[#This Row],[USUARIOS]]</f>
        <v>-22.070093457943926</v>
      </c>
      <c r="K14" s="151"/>
      <c r="L14" s="163">
        <f t="shared" si="1"/>
        <v>77471.495327102806</v>
      </c>
      <c r="M14" s="162">
        <f>+VLOOKUP(C14,Lista!B:D,3,0)</f>
        <v>0</v>
      </c>
      <c r="N14" s="375">
        <f t="shared" si="2"/>
        <v>11815.384615384615</v>
      </c>
      <c r="O14" s="50">
        <f t="shared" si="3"/>
        <v>6.5</v>
      </c>
      <c r="P14" s="47">
        <f t="shared" si="4"/>
        <v>132.42990654205607</v>
      </c>
      <c r="Q14" s="49">
        <f t="shared" si="5"/>
        <v>154.5</v>
      </c>
      <c r="R14" s="51">
        <f t="shared" si="6"/>
        <v>132.42990654205607</v>
      </c>
      <c r="S14" s="46">
        <f t="shared" si="7"/>
        <v>72836.448598130839</v>
      </c>
      <c r="T14" t="str">
        <f t="shared" si="8"/>
        <v/>
      </c>
      <c r="U14">
        <f>+RANK(H14,$H$6:$H$1048576,1)</f>
        <v>36</v>
      </c>
      <c r="Y14" t="str">
        <f>TRIM(Tabla2[[#This Row],[CONDUCTOR]])</f>
        <v>GONZALEZ PEREZ RAFAEL JOSE</v>
      </c>
    </row>
    <row r="15" spans="1:32" x14ac:dyDescent="0.2">
      <c r="B15" s="136" t="s">
        <v>123</v>
      </c>
      <c r="C15" s="166">
        <v>9</v>
      </c>
      <c r="D15" s="151" t="s">
        <v>148</v>
      </c>
      <c r="E15" s="150">
        <v>11</v>
      </c>
      <c r="F15" s="150">
        <v>0</v>
      </c>
      <c r="G15" s="165">
        <v>278</v>
      </c>
      <c r="H15" s="227">
        <f t="shared" si="0"/>
        <v>25.272727272727273</v>
      </c>
      <c r="I15" s="228">
        <f>+(SUM($G$7:$G$1048576)/SUM($E$7:$E$1048576))*E15</f>
        <v>235.1121495327103</v>
      </c>
      <c r="J15" s="364">
        <f>+Tabla2[[#This Row],[PROM DE USUARIOS]]-Tabla2[[#This Row],[USUARIOS]]</f>
        <v>-42.887850467289695</v>
      </c>
      <c r="K15" s="151"/>
      <c r="L15" s="163">
        <f t="shared" si="1"/>
        <v>131105.60747663552</v>
      </c>
      <c r="M15" s="162" t="str">
        <f>+VLOOKUP(C15,Lista!B:D,3,0)</f>
        <v>MICRO</v>
      </c>
      <c r="N15" s="375">
        <f t="shared" si="2"/>
        <v>11815.384615384615</v>
      </c>
      <c r="O15" s="50">
        <f t="shared" si="3"/>
        <v>11</v>
      </c>
      <c r="P15" s="47">
        <f t="shared" si="4"/>
        <v>224.1121495327103</v>
      </c>
      <c r="Q15" s="49">
        <f t="shared" si="5"/>
        <v>267</v>
      </c>
      <c r="R15" s="51">
        <f t="shared" si="6"/>
        <v>224.1121495327103</v>
      </c>
      <c r="S15" s="46">
        <f t="shared" si="7"/>
        <v>123261.68224299066</v>
      </c>
      <c r="T15" t="str">
        <f t="shared" si="8"/>
        <v/>
      </c>
      <c r="U15">
        <f>+RANK(H15,$H$6:$H$1048576,1)</f>
        <v>37</v>
      </c>
      <c r="Y15" t="str">
        <f>TRIM(Tabla2[[#This Row],[CONDUCTOR]])</f>
        <v>CARTAGENA RAMIREZ FREDY ALONSO</v>
      </c>
    </row>
    <row r="16" spans="1:32" x14ac:dyDescent="0.2">
      <c r="B16" s="136" t="s">
        <v>124</v>
      </c>
      <c r="C16" s="166">
        <v>10</v>
      </c>
      <c r="D16" s="151" t="s">
        <v>176</v>
      </c>
      <c r="E16" s="150">
        <v>8</v>
      </c>
      <c r="F16" s="150">
        <v>0</v>
      </c>
      <c r="G16" s="165">
        <v>165</v>
      </c>
      <c r="H16" s="227">
        <f t="shared" si="0"/>
        <v>20.625</v>
      </c>
      <c r="I16" s="228">
        <f>+(SUM($G$7:$G$1048576)/SUM($E$7:$E$1048576))*E16</f>
        <v>170.99065420560748</v>
      </c>
      <c r="J16" s="364">
        <f>+Tabla2[[#This Row],[PROM DE USUARIOS]]-Tabla2[[#This Row],[USUARIOS]]</f>
        <v>5.9906542056074841</v>
      </c>
      <c r="K16" s="151"/>
      <c r="L16" s="163">
        <f t="shared" si="1"/>
        <v>95349.532710280371</v>
      </c>
      <c r="M16" s="162" t="str">
        <f>+VLOOKUP(C16,Lista!B:D,3,0)</f>
        <v>MICRO</v>
      </c>
      <c r="N16" s="375">
        <f t="shared" si="2"/>
        <v>11815.384615384615</v>
      </c>
      <c r="O16" s="50">
        <f t="shared" si="3"/>
        <v>8</v>
      </c>
      <c r="P16" s="47">
        <f t="shared" si="4"/>
        <v>162.99065420560748</v>
      </c>
      <c r="Q16" s="49">
        <f t="shared" si="5"/>
        <v>157</v>
      </c>
      <c r="R16" s="51">
        <f t="shared" si="6"/>
        <v>162.99065420560748</v>
      </c>
      <c r="S16" s="46">
        <f t="shared" si="7"/>
        <v>89644.859813084113</v>
      </c>
      <c r="T16" t="str">
        <f t="shared" si="8"/>
        <v/>
      </c>
      <c r="U16">
        <f>+RANK(H16,$H$6:$H$1048576,1)</f>
        <v>18</v>
      </c>
      <c r="Y16" t="str">
        <f>TRIM(Tabla2[[#This Row],[CONDUCTOR]])</f>
        <v>MARIN ALZATE KEVIN ANDRES</v>
      </c>
    </row>
    <row r="17" spans="2:25" x14ac:dyDescent="0.2">
      <c r="B17" s="136" t="s">
        <v>123</v>
      </c>
      <c r="C17" s="166">
        <v>11</v>
      </c>
      <c r="D17" s="151" t="s">
        <v>163</v>
      </c>
      <c r="E17" s="150">
        <v>9</v>
      </c>
      <c r="F17" s="150">
        <v>0</v>
      </c>
      <c r="G17" s="165">
        <v>175</v>
      </c>
      <c r="H17" s="227">
        <f t="shared" si="0"/>
        <v>19.444444444444443</v>
      </c>
      <c r="I17" s="228">
        <f>+(SUM($G$7:$G$1048576)/SUM($E$7:$E$1048576))*E17</f>
        <v>192.36448598130841</v>
      </c>
      <c r="J17" s="364">
        <f>+Tabla2[[#This Row],[PROM DE USUARIOS]]-Tabla2[[#This Row],[USUARIOS]]</f>
        <v>17.364485981308405</v>
      </c>
      <c r="K17" s="151"/>
      <c r="L17" s="163">
        <f t="shared" si="1"/>
        <v>107268.22429906542</v>
      </c>
      <c r="M17" s="162" t="str">
        <f>+VLOOKUP(C17,Lista!B:D,3,0)</f>
        <v>MICRO</v>
      </c>
      <c r="N17" s="375">
        <f t="shared" si="2"/>
        <v>11815.384615384615</v>
      </c>
      <c r="O17" s="50">
        <f t="shared" si="3"/>
        <v>9</v>
      </c>
      <c r="P17" s="47">
        <f t="shared" si="4"/>
        <v>183.36448598130841</v>
      </c>
      <c r="Q17" s="49">
        <f t="shared" si="5"/>
        <v>166</v>
      </c>
      <c r="R17" s="51">
        <f t="shared" si="6"/>
        <v>183.36448598130841</v>
      </c>
      <c r="S17" s="46">
        <f t="shared" si="7"/>
        <v>100850.46728971963</v>
      </c>
      <c r="T17" t="str">
        <f t="shared" si="8"/>
        <v/>
      </c>
      <c r="U17">
        <f>+RANK(H17,$H$6:$H$1048576,1)</f>
        <v>11</v>
      </c>
      <c r="Y17" t="str">
        <f>TRIM(Tabla2[[#This Row],[CONDUCTOR]])</f>
        <v>YEPES TORRES JHON ALEXANDER</v>
      </c>
    </row>
    <row r="18" spans="2:25" x14ac:dyDescent="0.2">
      <c r="B18" s="136" t="s">
        <v>124</v>
      </c>
      <c r="C18" s="166">
        <v>13</v>
      </c>
      <c r="D18" s="151" t="s">
        <v>175</v>
      </c>
      <c r="E18" s="150">
        <v>9</v>
      </c>
      <c r="F18" s="150">
        <v>0</v>
      </c>
      <c r="G18" s="165">
        <v>202</v>
      </c>
      <c r="H18" s="227">
        <f t="shared" si="0"/>
        <v>22.444444444444443</v>
      </c>
      <c r="I18" s="228">
        <f>+(SUM($G$7:$G$1048576)/SUM($E$7:$E$1048576))*E18</f>
        <v>192.36448598130841</v>
      </c>
      <c r="J18" s="364">
        <f>+Tabla2[[#This Row],[PROM DE USUARIOS]]-Tabla2[[#This Row],[USUARIOS]]</f>
        <v>-9.6355140186915946</v>
      </c>
      <c r="K18" s="151"/>
      <c r="L18" s="163">
        <f t="shared" si="1"/>
        <v>107268.22429906542</v>
      </c>
      <c r="M18" s="162" t="str">
        <f>+VLOOKUP(C18,Lista!B:D,3,0)</f>
        <v>MICRO</v>
      </c>
      <c r="N18" s="375">
        <f t="shared" si="2"/>
        <v>11815.384615384615</v>
      </c>
      <c r="O18" s="50">
        <f t="shared" si="3"/>
        <v>9</v>
      </c>
      <c r="P18" s="47">
        <f t="shared" si="4"/>
        <v>183.36448598130841</v>
      </c>
      <c r="Q18" s="49">
        <f t="shared" si="5"/>
        <v>193</v>
      </c>
      <c r="R18" s="51">
        <f t="shared" si="6"/>
        <v>183.36448598130841</v>
      </c>
      <c r="S18" s="46">
        <f t="shared" si="7"/>
        <v>100850.46728971963</v>
      </c>
      <c r="T18" t="str">
        <f t="shared" si="8"/>
        <v/>
      </c>
      <c r="U18">
        <f>+RANK(H18,$H$6:$H$1048576,1)</f>
        <v>27</v>
      </c>
      <c r="Y18" t="str">
        <f>TRIM(Tabla2[[#This Row],[CONDUCTOR]])</f>
        <v>DAVID HENRY GIOVANNY</v>
      </c>
    </row>
    <row r="19" spans="2:25" x14ac:dyDescent="0.2">
      <c r="B19" s="136" t="s">
        <v>123</v>
      </c>
      <c r="C19" s="166">
        <v>14</v>
      </c>
      <c r="D19" s="151" t="s">
        <v>165</v>
      </c>
      <c r="E19" s="150">
        <v>8.5</v>
      </c>
      <c r="F19" s="150">
        <v>0.5</v>
      </c>
      <c r="G19" s="165">
        <v>198</v>
      </c>
      <c r="H19" s="227">
        <f t="shared" si="0"/>
        <v>23.294117647058822</v>
      </c>
      <c r="I19" s="228">
        <f>+(SUM($G$7:$G$1048576)/SUM($E$7:$E$1048576))*E19</f>
        <v>181.67757009345794</v>
      </c>
      <c r="J19" s="364">
        <f>+Tabla2[[#This Row],[PROM DE USUARIOS]]-Tabla2[[#This Row],[USUARIOS]]</f>
        <v>-16.322429906542055</v>
      </c>
      <c r="K19" s="151"/>
      <c r="L19" s="163">
        <f t="shared" si="1"/>
        <v>101308.8785046729</v>
      </c>
      <c r="M19" s="162">
        <f>+VLOOKUP(C19,Lista!B:D,3,0)</f>
        <v>0</v>
      </c>
      <c r="N19" s="375">
        <f t="shared" si="2"/>
        <v>11815.384615384615</v>
      </c>
      <c r="O19" s="50">
        <f t="shared" si="3"/>
        <v>8.5</v>
      </c>
      <c r="P19" s="47">
        <f t="shared" si="4"/>
        <v>173.17757009345794</v>
      </c>
      <c r="Q19" s="49">
        <f t="shared" si="5"/>
        <v>189.5</v>
      </c>
      <c r="R19" s="51">
        <f t="shared" si="6"/>
        <v>173.17757009345794</v>
      </c>
      <c r="S19" s="46">
        <f t="shared" si="7"/>
        <v>95247.663551401871</v>
      </c>
      <c r="T19" t="str">
        <f t="shared" si="8"/>
        <v/>
      </c>
      <c r="U19">
        <f>+RANK(H19,$H$6:$H$1048576,1)</f>
        <v>31</v>
      </c>
      <c r="Y19" t="str">
        <f>TRIM(Tabla2[[#This Row],[CONDUCTOR]])</f>
        <v>VERENZUELA MARTINEZ ALEXANDER</v>
      </c>
    </row>
    <row r="20" spans="2:25" x14ac:dyDescent="0.2">
      <c r="B20" s="136" t="s">
        <v>124</v>
      </c>
      <c r="C20" s="166">
        <v>15</v>
      </c>
      <c r="D20" s="151" t="s">
        <v>182</v>
      </c>
      <c r="E20" s="150">
        <v>7.5</v>
      </c>
      <c r="F20" s="150">
        <v>0</v>
      </c>
      <c r="G20" s="146">
        <v>173</v>
      </c>
      <c r="H20" s="227">
        <f t="shared" si="0"/>
        <v>23.066666666666666</v>
      </c>
      <c r="I20" s="365">
        <f>+(SUM($G$7:$G$1048576)/SUM($E$7:$E$1048576))*E20</f>
        <v>160.30373831775702</v>
      </c>
      <c r="J20" s="364">
        <f>+Tabla2[[#This Row],[PROM DE USUARIOS]]-Tabla2[[#This Row],[USUARIOS]]</f>
        <v>-12.696261682242977</v>
      </c>
      <c r="K20" s="151"/>
      <c r="L20" s="163">
        <f t="shared" si="1"/>
        <v>89390.186915887854</v>
      </c>
      <c r="M20" s="162">
        <f>+VLOOKUP(C20,Lista!B:D,3,0)</f>
        <v>0</v>
      </c>
      <c r="N20" s="375">
        <f t="shared" si="2"/>
        <v>11815.384615384615</v>
      </c>
      <c r="O20" s="50">
        <f t="shared" si="3"/>
        <v>7.5</v>
      </c>
      <c r="P20" s="47">
        <f t="shared" si="4"/>
        <v>152.80373831775702</v>
      </c>
      <c r="Q20" s="49">
        <f t="shared" si="5"/>
        <v>165.5</v>
      </c>
      <c r="R20" s="51">
        <f t="shared" si="6"/>
        <v>152.80373831775702</v>
      </c>
      <c r="S20" s="46">
        <f t="shared" si="7"/>
        <v>84042.056074766369</v>
      </c>
      <c r="T20" t="str">
        <f t="shared" si="8"/>
        <v/>
      </c>
      <c r="U20">
        <f>+RANK(H20,$H$6:$H$1048576,1)</f>
        <v>30</v>
      </c>
      <c r="Y20" t="str">
        <f>TRIM(Tabla2[[#This Row],[CONDUCTOR]])</f>
        <v>HERNANDEZ MACIAS GILBERTO</v>
      </c>
    </row>
    <row r="21" spans="2:25" x14ac:dyDescent="0.2">
      <c r="B21" s="136" t="s">
        <v>123</v>
      </c>
      <c r="C21" s="166">
        <v>16</v>
      </c>
      <c r="D21" s="151" t="s">
        <v>151</v>
      </c>
      <c r="E21" s="150">
        <v>11</v>
      </c>
      <c r="F21" s="150">
        <v>0</v>
      </c>
      <c r="G21" s="165">
        <v>280</v>
      </c>
      <c r="H21" s="227">
        <f t="shared" si="0"/>
        <v>25.454545454545453</v>
      </c>
      <c r="I21" s="228">
        <f>+(SUM($G$7:$G$1048576)/SUM($E$7:$E$1048576))*E21</f>
        <v>235.1121495327103</v>
      </c>
      <c r="J21" s="364">
        <f>+Tabla2[[#This Row],[PROM DE USUARIOS]]-Tabla2[[#This Row],[USUARIOS]]</f>
        <v>-44.887850467289695</v>
      </c>
      <c r="K21" s="151"/>
      <c r="L21" s="163">
        <f t="shared" si="1"/>
        <v>131105.60747663552</v>
      </c>
      <c r="M21" s="162" t="str">
        <f>+VLOOKUP(C21,Lista!B:D,3,0)</f>
        <v>MICRO</v>
      </c>
      <c r="N21" s="375">
        <f t="shared" si="2"/>
        <v>11815.384615384615</v>
      </c>
      <c r="O21" s="50">
        <f t="shared" si="3"/>
        <v>11</v>
      </c>
      <c r="P21" s="47">
        <f t="shared" si="4"/>
        <v>224.1121495327103</v>
      </c>
      <c r="Q21" s="49">
        <f t="shared" si="5"/>
        <v>269</v>
      </c>
      <c r="R21" s="51">
        <f t="shared" si="6"/>
        <v>224.1121495327103</v>
      </c>
      <c r="S21" s="46">
        <f t="shared" si="7"/>
        <v>123261.68224299066</v>
      </c>
      <c r="T21" t="str">
        <f t="shared" si="8"/>
        <v/>
      </c>
      <c r="U21">
        <f>+RANK(H21,$H$6:$H$1048576,1)</f>
        <v>38</v>
      </c>
      <c r="Y21" t="str">
        <f>TRIM(Tabla2[[#This Row],[CONDUCTOR]])</f>
        <v>MURILLO YORMAN ANDRES</v>
      </c>
    </row>
    <row r="22" spans="2:25" x14ac:dyDescent="0.2">
      <c r="B22" s="136" t="s">
        <v>124</v>
      </c>
      <c r="C22" s="166">
        <v>17</v>
      </c>
      <c r="D22" s="151" t="s">
        <v>159</v>
      </c>
      <c r="E22" s="150">
        <v>9</v>
      </c>
      <c r="F22" s="150">
        <v>0</v>
      </c>
      <c r="G22" s="165">
        <v>182</v>
      </c>
      <c r="H22" s="227">
        <f t="shared" si="0"/>
        <v>20.222222222222221</v>
      </c>
      <c r="I22" s="228">
        <f>+(SUM($G$7:$G$1048576)/SUM($E$7:$E$1048576))*E22</f>
        <v>192.36448598130841</v>
      </c>
      <c r="J22" s="364">
        <f>+Tabla2[[#This Row],[PROM DE USUARIOS]]-Tabla2[[#This Row],[USUARIOS]]</f>
        <v>10.364485981308405</v>
      </c>
      <c r="K22" s="151"/>
      <c r="L22" s="163">
        <f t="shared" si="1"/>
        <v>107268.22429906542</v>
      </c>
      <c r="M22" s="162" t="str">
        <f>+VLOOKUP(C22,Lista!B:D,3,0)</f>
        <v>MICRO</v>
      </c>
      <c r="N22" s="375">
        <f t="shared" si="2"/>
        <v>11815.384615384615</v>
      </c>
      <c r="O22" s="50">
        <f t="shared" si="3"/>
        <v>9</v>
      </c>
      <c r="P22" s="47">
        <f t="shared" si="4"/>
        <v>183.36448598130841</v>
      </c>
      <c r="Q22" s="49">
        <f t="shared" si="5"/>
        <v>173</v>
      </c>
      <c r="R22" s="51">
        <f t="shared" si="6"/>
        <v>183.36448598130841</v>
      </c>
      <c r="S22" s="46">
        <f t="shared" si="7"/>
        <v>100850.46728971963</v>
      </c>
      <c r="T22" t="str">
        <f t="shared" si="8"/>
        <v/>
      </c>
      <c r="U22">
        <f>+RANK(H22,$H$6:$H$1048576,1)</f>
        <v>14</v>
      </c>
      <c r="Y22" t="str">
        <f>TRIM(Tabla2[[#This Row],[CONDUCTOR]])</f>
        <v>PARRA VILLA YUBER ALONSO</v>
      </c>
    </row>
    <row r="23" spans="2:25" x14ac:dyDescent="0.2">
      <c r="B23" s="136" t="s">
        <v>123</v>
      </c>
      <c r="C23" s="166">
        <v>18</v>
      </c>
      <c r="D23" s="151" t="s">
        <v>183</v>
      </c>
      <c r="E23" s="150">
        <v>3</v>
      </c>
      <c r="F23" s="150">
        <v>0</v>
      </c>
      <c r="G23" s="165">
        <v>26</v>
      </c>
      <c r="H23" s="227">
        <f t="shared" si="0"/>
        <v>8.6666666666666661</v>
      </c>
      <c r="I23" s="228">
        <f>+(SUM($G$7:$G$1048576)/SUM($E$7:$E$1048576))*E23</f>
        <v>64.121495327102807</v>
      </c>
      <c r="J23" s="364">
        <f>+Tabla2[[#This Row],[PROM DE USUARIOS]]-Tabla2[[#This Row],[USUARIOS]]</f>
        <v>38.121495327102807</v>
      </c>
      <c r="K23" s="151"/>
      <c r="L23" s="163">
        <f t="shared" si="1"/>
        <v>35756.074766355145</v>
      </c>
      <c r="M23" s="162" t="str">
        <f>+VLOOKUP(C23,Lista!B:D,3,0)</f>
        <v>MICRO</v>
      </c>
      <c r="N23" s="375">
        <f t="shared" si="2"/>
        <v>11815.384615384615</v>
      </c>
      <c r="O23" s="50">
        <f t="shared" si="3"/>
        <v>3</v>
      </c>
      <c r="P23" s="47">
        <f t="shared" si="4"/>
        <v>61.121495327102807</v>
      </c>
      <c r="Q23" s="49">
        <f t="shared" si="5"/>
        <v>23</v>
      </c>
      <c r="R23" s="51">
        <f t="shared" si="6"/>
        <v>61.121495327102807</v>
      </c>
      <c r="S23" s="46">
        <f t="shared" si="7"/>
        <v>33616.82242990654</v>
      </c>
      <c r="T23" t="str">
        <f t="shared" si="8"/>
        <v/>
      </c>
      <c r="U23">
        <f>+RANK(H23,$H$6:$H$1048576,1)</f>
        <v>1</v>
      </c>
      <c r="Y23" t="str">
        <f>TRIM(Tabla2[[#This Row],[CONDUCTOR]])</f>
        <v>SUAREZ ESCUDERO JONATAN</v>
      </c>
    </row>
    <row r="24" spans="2:25" x14ac:dyDescent="0.2">
      <c r="B24" s="136" t="s">
        <v>124</v>
      </c>
      <c r="C24" s="166">
        <v>19</v>
      </c>
      <c r="D24" s="151" t="s">
        <v>178</v>
      </c>
      <c r="E24" s="150">
        <v>6</v>
      </c>
      <c r="F24" s="150">
        <v>0</v>
      </c>
      <c r="G24" s="165">
        <v>123</v>
      </c>
      <c r="H24" s="227">
        <f t="shared" si="0"/>
        <v>20.5</v>
      </c>
      <c r="I24" s="228">
        <f>+(SUM($G$7:$G$1048576)/SUM($E$7:$E$1048576))*E24</f>
        <v>128.24299065420561</v>
      </c>
      <c r="J24" s="364">
        <f>+Tabla2[[#This Row],[PROM DE USUARIOS]]-Tabla2[[#This Row],[USUARIOS]]</f>
        <v>5.2429906542056131</v>
      </c>
      <c r="K24" s="151"/>
      <c r="L24" s="163">
        <f t="shared" si="1"/>
        <v>71512.149532710289</v>
      </c>
      <c r="M24" s="162" t="str">
        <f>+VLOOKUP(C24,Lista!B:D,3,0)</f>
        <v>MICRO</v>
      </c>
      <c r="N24" s="375">
        <f t="shared" si="2"/>
        <v>11815.384615384615</v>
      </c>
      <c r="O24" s="50">
        <f t="shared" si="3"/>
        <v>6</v>
      </c>
      <c r="P24" s="47">
        <f t="shared" si="4"/>
        <v>122.24299065420561</v>
      </c>
      <c r="Q24" s="49">
        <f t="shared" si="5"/>
        <v>117</v>
      </c>
      <c r="R24" s="51">
        <f t="shared" si="6"/>
        <v>122.24299065420561</v>
      </c>
      <c r="S24" s="46">
        <f t="shared" si="7"/>
        <v>67233.644859813081</v>
      </c>
      <c r="T24" t="str">
        <f t="shared" si="8"/>
        <v/>
      </c>
      <c r="U24">
        <f>+RANK(H24,$H$6:$H$1048576,1)</f>
        <v>16</v>
      </c>
      <c r="Y24" t="str">
        <f>TRIM(Tabla2[[#This Row],[CONDUCTOR]])</f>
        <v>MACEA ARBELAEZ MATEO</v>
      </c>
    </row>
    <row r="25" spans="2:25" x14ac:dyDescent="0.2">
      <c r="B25" s="136" t="s">
        <v>123</v>
      </c>
      <c r="C25" s="166">
        <v>20</v>
      </c>
      <c r="D25" s="151" t="s">
        <v>184</v>
      </c>
      <c r="E25" s="150">
        <v>8</v>
      </c>
      <c r="F25" s="150">
        <v>0</v>
      </c>
      <c r="G25" s="165">
        <v>169</v>
      </c>
      <c r="H25" s="227">
        <f t="shared" si="0"/>
        <v>21.125</v>
      </c>
      <c r="I25" s="228">
        <f>+(SUM($G$7:$G$1048576)/SUM($E$7:$E$1048576))*E25</f>
        <v>170.99065420560748</v>
      </c>
      <c r="J25" s="364">
        <f>+Tabla2[[#This Row],[PROM DE USUARIOS]]-Tabla2[[#This Row],[USUARIOS]]</f>
        <v>1.9906542056074841</v>
      </c>
      <c r="K25" s="151"/>
      <c r="L25" s="163">
        <f t="shared" si="1"/>
        <v>95349.532710280371</v>
      </c>
      <c r="M25" s="162" t="str">
        <f>+VLOOKUP(C25,Lista!B:D,3,0)</f>
        <v>MICRO</v>
      </c>
      <c r="N25" s="375">
        <f t="shared" si="2"/>
        <v>11815.384615384615</v>
      </c>
      <c r="O25" s="50">
        <f t="shared" si="3"/>
        <v>8</v>
      </c>
      <c r="P25" s="47">
        <f t="shared" si="4"/>
        <v>162.99065420560748</v>
      </c>
      <c r="Q25" s="49">
        <f t="shared" si="5"/>
        <v>161</v>
      </c>
      <c r="R25" s="51">
        <f t="shared" si="6"/>
        <v>162.99065420560748</v>
      </c>
      <c r="S25" s="46">
        <f t="shared" si="7"/>
        <v>89644.859813084113</v>
      </c>
      <c r="T25" t="str">
        <f t="shared" si="8"/>
        <v/>
      </c>
      <c r="U25">
        <f>+RANK(H25,$H$6:$H$1048576,1)</f>
        <v>22</v>
      </c>
      <c r="Y25" t="str">
        <f>TRIM(Tabla2[[#This Row],[CONDUCTOR]])</f>
        <v>VALENCIA MENDOZA JHON</v>
      </c>
    </row>
    <row r="26" spans="2:25" x14ac:dyDescent="0.2">
      <c r="B26" s="136" t="s">
        <v>124</v>
      </c>
      <c r="C26" s="166">
        <v>21</v>
      </c>
      <c r="D26" s="151" t="s">
        <v>157</v>
      </c>
      <c r="E26" s="150">
        <v>11</v>
      </c>
      <c r="F26" s="150">
        <v>0</v>
      </c>
      <c r="G26" s="146">
        <v>295</v>
      </c>
      <c r="H26" s="227">
        <f t="shared" si="0"/>
        <v>26.818181818181817</v>
      </c>
      <c r="I26" s="365">
        <f>+(SUM($G$7:$G$1048576)/SUM($E$7:$E$1048576))*E26</f>
        <v>235.1121495327103</v>
      </c>
      <c r="J26" s="364">
        <f>+Tabla2[[#This Row],[PROM DE USUARIOS]]-Tabla2[[#This Row],[USUARIOS]]</f>
        <v>-59.887850467289695</v>
      </c>
      <c r="K26" s="151" t="s">
        <v>187</v>
      </c>
      <c r="L26" s="163">
        <f t="shared" si="1"/>
        <v>131105.60747663552</v>
      </c>
      <c r="M26" s="162" t="str">
        <f>+VLOOKUP(C26,Lista!B:D,3,0)</f>
        <v>MICRO</v>
      </c>
      <c r="N26" s="375">
        <f t="shared" si="2"/>
        <v>11815.384615384615</v>
      </c>
      <c r="O26" s="50">
        <f t="shared" si="3"/>
        <v>11</v>
      </c>
      <c r="P26" s="47">
        <f t="shared" si="4"/>
        <v>224.1121495327103</v>
      </c>
      <c r="Q26" s="49">
        <f t="shared" si="5"/>
        <v>284</v>
      </c>
      <c r="R26" s="51">
        <f t="shared" si="6"/>
        <v>224.1121495327103</v>
      </c>
      <c r="S26" s="46">
        <f t="shared" si="7"/>
        <v>123261.68224299066</v>
      </c>
      <c r="T26" t="str">
        <f t="shared" si="8"/>
        <v xml:space="preserve">JULIAN MACIAS Realizó 5 viajes donde movilizó 157 Usuarios </v>
      </c>
      <c r="U26">
        <f>+RANK(H26,$H$6:$H$1048576,1)</f>
        <v>39</v>
      </c>
      <c r="Y26" t="str">
        <f>TRIM(Tabla2[[#This Row],[CONDUCTOR]])</f>
        <v>DURANGO DAVID JOSE</v>
      </c>
    </row>
    <row r="27" spans="2:25" x14ac:dyDescent="0.2">
      <c r="B27" s="136" t="s">
        <v>123</v>
      </c>
      <c r="C27" s="137">
        <v>22</v>
      </c>
      <c r="D27" s="151" t="s">
        <v>152</v>
      </c>
      <c r="E27" s="150">
        <v>8</v>
      </c>
      <c r="F27" s="150">
        <v>0</v>
      </c>
      <c r="G27" s="146">
        <v>165</v>
      </c>
      <c r="H27" s="227">
        <f t="shared" si="0"/>
        <v>20.625</v>
      </c>
      <c r="I27" s="228">
        <f>+(SUM($G$7:$G$1048576)/SUM($E$7:$E$1048576))*E27</f>
        <v>170.99065420560748</v>
      </c>
      <c r="J27" s="364">
        <f>+Tabla2[[#This Row],[PROM DE USUARIOS]]-Tabla2[[#This Row],[USUARIOS]]</f>
        <v>5.9906542056074841</v>
      </c>
      <c r="K27" s="151"/>
      <c r="L27" s="163">
        <f t="shared" si="1"/>
        <v>95349.532710280371</v>
      </c>
      <c r="M27" s="162">
        <f>+VLOOKUP(C27,Lista!B:D,3,0)</f>
        <v>0</v>
      </c>
      <c r="N27" s="375">
        <f t="shared" si="2"/>
        <v>11815.384615384615</v>
      </c>
      <c r="O27" s="50">
        <f t="shared" si="3"/>
        <v>8</v>
      </c>
      <c r="P27" s="47">
        <f t="shared" si="4"/>
        <v>162.99065420560748</v>
      </c>
      <c r="Q27" s="49">
        <f t="shared" si="5"/>
        <v>157</v>
      </c>
      <c r="R27" s="51">
        <f t="shared" si="6"/>
        <v>162.99065420560748</v>
      </c>
      <c r="S27" s="46">
        <f t="shared" si="7"/>
        <v>89644.859813084113</v>
      </c>
      <c r="T27" t="str">
        <f t="shared" si="8"/>
        <v/>
      </c>
      <c r="U27">
        <f>+RANK(H27,$H$6:$H$1048576,1)</f>
        <v>18</v>
      </c>
      <c r="Y27" t="str">
        <f>TRIM(Tabla2[[#This Row],[CONDUCTOR]])</f>
        <v>QUIRAMA CASTAÑEDA JHON JADER</v>
      </c>
    </row>
    <row r="28" spans="2:25" x14ac:dyDescent="0.2">
      <c r="B28" s="136" t="s">
        <v>124</v>
      </c>
      <c r="C28" s="166">
        <v>23</v>
      </c>
      <c r="D28" s="151" t="s">
        <v>164</v>
      </c>
      <c r="E28" s="150">
        <v>7</v>
      </c>
      <c r="F28" s="150">
        <v>0</v>
      </c>
      <c r="G28" s="165">
        <v>113</v>
      </c>
      <c r="H28" s="227">
        <f t="shared" si="0"/>
        <v>16.142857142857142</v>
      </c>
      <c r="I28" s="228">
        <f>+(SUM($G$7:$G$1048576)/SUM($E$7:$E$1048576))*E28</f>
        <v>149.61682242990656</v>
      </c>
      <c r="J28" s="364">
        <f>+Tabla2[[#This Row],[PROM DE USUARIOS]]-Tabla2[[#This Row],[USUARIOS]]</f>
        <v>36.616822429906563</v>
      </c>
      <c r="K28" s="151"/>
      <c r="L28" s="163">
        <f t="shared" si="1"/>
        <v>83430.841121495338</v>
      </c>
      <c r="M28" s="162" t="str">
        <f>+VLOOKUP(C28,Lista!B:D,3,0)</f>
        <v xml:space="preserve">MICRO </v>
      </c>
      <c r="N28" s="375">
        <f t="shared" si="2"/>
        <v>11815.384615384615</v>
      </c>
      <c r="O28" s="50">
        <f t="shared" si="3"/>
        <v>7</v>
      </c>
      <c r="P28" s="47">
        <f t="shared" si="4"/>
        <v>142.61682242990656</v>
      </c>
      <c r="Q28" s="49">
        <f t="shared" si="5"/>
        <v>106</v>
      </c>
      <c r="R28" s="51">
        <f t="shared" si="6"/>
        <v>142.61682242990656</v>
      </c>
      <c r="S28" s="46">
        <f t="shared" si="7"/>
        <v>78439.252336448611</v>
      </c>
      <c r="T28" t="str">
        <f t="shared" si="8"/>
        <v/>
      </c>
      <c r="U28">
        <f>+RANK(H28,$H$6:$H$1048576,1)</f>
        <v>2</v>
      </c>
      <c r="Y28" t="str">
        <f>TRIM(Tabla2[[#This Row],[CONDUCTOR]])</f>
        <v>SALDARRIAGA PARRA LUIS ALBERTO</v>
      </c>
    </row>
    <row r="29" spans="2:25" x14ac:dyDescent="0.2">
      <c r="B29" s="136" t="s">
        <v>123</v>
      </c>
      <c r="C29" s="137">
        <v>24</v>
      </c>
      <c r="D29" s="151" t="s">
        <v>180</v>
      </c>
      <c r="E29" s="150">
        <v>9</v>
      </c>
      <c r="F29" s="150">
        <v>0</v>
      </c>
      <c r="G29" s="146">
        <v>177</v>
      </c>
      <c r="H29" s="227">
        <f t="shared" si="0"/>
        <v>19.666666666666668</v>
      </c>
      <c r="I29" s="228">
        <f>+(SUM($G$7:$G$1048576)/SUM($E$7:$E$1048576))*E29</f>
        <v>192.36448598130841</v>
      </c>
      <c r="J29" s="364">
        <f>+Tabla2[[#This Row],[PROM DE USUARIOS]]-Tabla2[[#This Row],[USUARIOS]]</f>
        <v>15.364485981308405</v>
      </c>
      <c r="K29" s="151"/>
      <c r="L29" s="163">
        <f t="shared" si="1"/>
        <v>107268.22429906542</v>
      </c>
      <c r="M29" s="162" t="str">
        <f>+VLOOKUP(C29,Lista!B:D,3,0)</f>
        <v>MICRO</v>
      </c>
      <c r="N29" s="375">
        <f t="shared" si="2"/>
        <v>11815.384615384615</v>
      </c>
      <c r="O29" s="50">
        <f t="shared" si="3"/>
        <v>9</v>
      </c>
      <c r="P29" s="47">
        <f t="shared" si="4"/>
        <v>183.36448598130841</v>
      </c>
      <c r="Q29" s="49">
        <f t="shared" si="5"/>
        <v>168</v>
      </c>
      <c r="R29" s="51">
        <f t="shared" si="6"/>
        <v>183.36448598130841</v>
      </c>
      <c r="S29" s="46">
        <f t="shared" si="7"/>
        <v>100850.46728971963</v>
      </c>
      <c r="T29" t="str">
        <f t="shared" si="8"/>
        <v/>
      </c>
      <c r="U29">
        <f>+RANK(H29,$H$6:$H$1048576,1)</f>
        <v>13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124</v>
      </c>
      <c r="C30" s="166">
        <v>26</v>
      </c>
      <c r="D30" s="151" t="s">
        <v>168</v>
      </c>
      <c r="E30" s="150">
        <v>9</v>
      </c>
      <c r="F30" s="150">
        <v>0.5</v>
      </c>
      <c r="G30" s="165">
        <v>205</v>
      </c>
      <c r="H30" s="227">
        <f t="shared" si="0"/>
        <v>22.777777777777779</v>
      </c>
      <c r="I30" s="228">
        <f>+(SUM($G$7:$G$1048576)/SUM($E$7:$E$1048576))*E30</f>
        <v>192.36448598130841</v>
      </c>
      <c r="J30" s="364">
        <f>+Tabla2[[#This Row],[PROM DE USUARIOS]]-Tabla2[[#This Row],[USUARIOS]]</f>
        <v>-12.635514018691595</v>
      </c>
      <c r="K30" s="151" t="s">
        <v>191</v>
      </c>
      <c r="L30" s="163">
        <f t="shared" si="1"/>
        <v>101308.82929906542</v>
      </c>
      <c r="M30" s="162" t="str">
        <f>+VLOOKUP(C30,Lista!B:D,3,0)</f>
        <v>MICRO</v>
      </c>
      <c r="N30" s="375">
        <f t="shared" si="2"/>
        <v>11815.384615384615</v>
      </c>
      <c r="O30" s="50">
        <f t="shared" si="3"/>
        <v>8.5</v>
      </c>
      <c r="P30" s="47">
        <f t="shared" si="4"/>
        <v>173.17748598130839</v>
      </c>
      <c r="Q30" s="49">
        <f t="shared" si="5"/>
        <v>196.5</v>
      </c>
      <c r="R30" s="51">
        <f t="shared" si="6"/>
        <v>183.36448598130841</v>
      </c>
      <c r="S30" s="46">
        <f t="shared" si="7"/>
        <v>100850.46728971963</v>
      </c>
      <c r="T30" t="str">
        <f t="shared" si="8"/>
        <v xml:space="preserve">Se descuenta 0.5 viaje de 5 36 pm ya que NO ingresa a la minorista. </v>
      </c>
      <c r="U30">
        <f>+RANK(H30,$H$6:$H$1048576,1)</f>
        <v>28</v>
      </c>
      <c r="V30" s="2">
        <v>0.5</v>
      </c>
      <c r="W30" s="2">
        <v>10.686999999999999</v>
      </c>
      <c r="Y30" t="str">
        <f>TRIM(Tabla2[[#This Row],[CONDUCTOR]])</f>
        <v>CIRO MARIN RODRIGO ALBERTO</v>
      </c>
    </row>
    <row r="31" spans="2:25" x14ac:dyDescent="0.2">
      <c r="B31" s="136" t="s">
        <v>123</v>
      </c>
      <c r="C31" s="166">
        <v>27</v>
      </c>
      <c r="D31" s="151" t="s">
        <v>185</v>
      </c>
      <c r="E31" s="150">
        <v>10</v>
      </c>
      <c r="F31" s="150">
        <v>0</v>
      </c>
      <c r="G31" s="165">
        <v>215</v>
      </c>
      <c r="H31" s="227">
        <f t="shared" si="0"/>
        <v>21.5</v>
      </c>
      <c r="I31" s="228">
        <f>+(SUM($G$7:$G$1048576)/SUM($E$7:$E$1048576))*E31</f>
        <v>213.73831775700936</v>
      </c>
      <c r="J31" s="364">
        <f>+Tabla2[[#This Row],[PROM DE USUARIOS]]-Tabla2[[#This Row],[USUARIOS]]</f>
        <v>-1.2616822429906449</v>
      </c>
      <c r="K31" s="151"/>
      <c r="L31" s="163">
        <f t="shared" si="1"/>
        <v>119186.91588785047</v>
      </c>
      <c r="M31" s="162" t="str">
        <f>+VLOOKUP(C31,Lista!B:D,3,0)</f>
        <v>MICRO</v>
      </c>
      <c r="N31" s="375">
        <f t="shared" si="2"/>
        <v>11815.384615384615</v>
      </c>
      <c r="O31" s="50">
        <f t="shared" si="3"/>
        <v>10</v>
      </c>
      <c r="P31" s="47">
        <f t="shared" si="4"/>
        <v>203.73831775700936</v>
      </c>
      <c r="Q31" s="49">
        <f t="shared" si="5"/>
        <v>205</v>
      </c>
      <c r="R31" s="51">
        <f t="shared" si="6"/>
        <v>203.73831775700936</v>
      </c>
      <c r="S31" s="46">
        <f t="shared" si="7"/>
        <v>112056.07476635514</v>
      </c>
      <c r="T31" t="str">
        <f t="shared" si="8"/>
        <v/>
      </c>
      <c r="U31">
        <f>+RANK(H31,$H$6:$H$1048576,1)</f>
        <v>24</v>
      </c>
      <c r="Y31" t="str">
        <f>TRIM(Tabla2[[#This Row],[CONDUCTOR]])</f>
        <v>FLORES RINCON JORGE ALBERTO</v>
      </c>
    </row>
    <row r="32" spans="2:25" x14ac:dyDescent="0.2">
      <c r="B32" s="136" t="s">
        <v>124</v>
      </c>
      <c r="C32" s="166">
        <v>28</v>
      </c>
      <c r="D32" s="151" t="s">
        <v>166</v>
      </c>
      <c r="E32" s="150">
        <v>7</v>
      </c>
      <c r="F32" s="150">
        <v>0</v>
      </c>
      <c r="G32" s="165">
        <v>154</v>
      </c>
      <c r="H32" s="227">
        <f t="shared" si="0"/>
        <v>22</v>
      </c>
      <c r="I32" s="228">
        <f>+(SUM($G$7:$G$1048576)/SUM($E$7:$E$1048576))*E32</f>
        <v>149.61682242990656</v>
      </c>
      <c r="J32" s="364">
        <f>+Tabla2[[#This Row],[PROM DE USUARIOS]]-Tabla2[[#This Row],[USUARIOS]]</f>
        <v>-4.3831775700934372</v>
      </c>
      <c r="K32" s="151" t="s">
        <v>131</v>
      </c>
      <c r="L32" s="163">
        <f t="shared" si="1"/>
        <v>83430.841121495338</v>
      </c>
      <c r="M32" s="162" t="str">
        <f>+VLOOKUP(C32,Lista!B:D,3,0)</f>
        <v>MICRO</v>
      </c>
      <c r="N32" s="375">
        <f t="shared" si="2"/>
        <v>11815.384615384615</v>
      </c>
      <c r="O32" s="50">
        <f t="shared" si="3"/>
        <v>7</v>
      </c>
      <c r="P32" s="47">
        <f t="shared" si="4"/>
        <v>142.61682242990656</v>
      </c>
      <c r="Q32" s="49">
        <f t="shared" si="5"/>
        <v>147</v>
      </c>
      <c r="R32" s="51">
        <f t="shared" si="6"/>
        <v>142.61682242990656</v>
      </c>
      <c r="S32" s="46">
        <f t="shared" si="7"/>
        <v>78439.252336448611</v>
      </c>
      <c r="T32" t="str">
        <f t="shared" si="8"/>
        <v xml:space="preserve">1 Descuento (Conduct) </v>
      </c>
      <c r="U32">
        <f>+RANK(H32,$H$6:$H$1048576,1)</f>
        <v>26</v>
      </c>
      <c r="Y32" t="str">
        <f>TRIM(Tabla2[[#This Row],[CONDUCTOR]])</f>
        <v>OSORIO URREGO SANTIAGO</v>
      </c>
    </row>
    <row r="33" spans="2:25" x14ac:dyDescent="0.2">
      <c r="B33" s="136" t="s">
        <v>123</v>
      </c>
      <c r="C33" s="166">
        <v>29</v>
      </c>
      <c r="D33" s="151" t="s">
        <v>160</v>
      </c>
      <c r="E33" s="150">
        <v>9</v>
      </c>
      <c r="F33" s="150">
        <v>0</v>
      </c>
      <c r="G33" s="146">
        <v>163</v>
      </c>
      <c r="H33" s="227">
        <f t="shared" si="0"/>
        <v>18.111111111111111</v>
      </c>
      <c r="I33" s="365">
        <f>+(SUM($G$7:$G$1048576)/SUM($E$7:$E$1048576))*E33</f>
        <v>192.36448598130841</v>
      </c>
      <c r="J33" s="364">
        <f>+Tabla2[[#This Row],[PROM DE USUARIOS]]-Tabla2[[#This Row],[USUARIOS]]</f>
        <v>29.364485981308405</v>
      </c>
      <c r="K33" s="151"/>
      <c r="L33" s="163">
        <f t="shared" si="1"/>
        <v>107268.22429906542</v>
      </c>
      <c r="M33" s="162" t="str">
        <f>+VLOOKUP(C33,Lista!B:D,3,0)</f>
        <v>MICRO</v>
      </c>
      <c r="N33" s="375">
        <f t="shared" si="2"/>
        <v>11815.384615384615</v>
      </c>
      <c r="O33" s="50">
        <f t="shared" si="3"/>
        <v>9</v>
      </c>
      <c r="P33" s="47">
        <f t="shared" si="4"/>
        <v>183.36448598130841</v>
      </c>
      <c r="Q33" s="49">
        <f t="shared" si="5"/>
        <v>154</v>
      </c>
      <c r="R33" s="51">
        <f t="shared" si="6"/>
        <v>183.36448598130841</v>
      </c>
      <c r="S33" s="46">
        <f t="shared" si="7"/>
        <v>100850.46728971963</v>
      </c>
      <c r="T33" t="str">
        <f t="shared" si="8"/>
        <v/>
      </c>
      <c r="U33">
        <f>+RANK(H33,$H$6:$H$1048576,1)</f>
        <v>5</v>
      </c>
      <c r="Y33" t="str">
        <f>TRIM(Tabla2[[#This Row],[CONDUCTOR]])</f>
        <v>LEON PEREZ RAUL ENRIQUE</v>
      </c>
    </row>
    <row r="34" spans="2:25" x14ac:dyDescent="0.2">
      <c r="B34" s="136" t="s">
        <v>124</v>
      </c>
      <c r="C34" s="166">
        <v>30</v>
      </c>
      <c r="D34" s="151" t="s">
        <v>186</v>
      </c>
      <c r="E34" s="150">
        <v>4</v>
      </c>
      <c r="F34" s="150">
        <v>0</v>
      </c>
      <c r="G34" s="165">
        <v>115</v>
      </c>
      <c r="H34" s="227">
        <f t="shared" si="0"/>
        <v>28.75</v>
      </c>
      <c r="I34" s="228">
        <f>+(SUM($G$7:$G$1048576)/SUM($E$7:$E$1048576))*E34</f>
        <v>85.495327102803742</v>
      </c>
      <c r="J34" s="364">
        <f>+Tabla2[[#This Row],[PROM DE USUARIOS]]-Tabla2[[#This Row],[USUARIOS]]</f>
        <v>-29.504672897196258</v>
      </c>
      <c r="K34" s="151"/>
      <c r="L34" s="163">
        <f t="shared" si="1"/>
        <v>47674.766355140186</v>
      </c>
      <c r="M34" s="162" t="str">
        <f>+VLOOKUP(C34,Lista!B:D,3,0)</f>
        <v>MICRO</v>
      </c>
      <c r="N34" s="375">
        <f t="shared" si="2"/>
        <v>11815.384615384615</v>
      </c>
      <c r="O34" s="50">
        <f t="shared" si="3"/>
        <v>4</v>
      </c>
      <c r="P34" s="47">
        <f t="shared" si="4"/>
        <v>81.495327102803742</v>
      </c>
      <c r="Q34" s="49">
        <f t="shared" si="5"/>
        <v>111</v>
      </c>
      <c r="R34" s="51">
        <f t="shared" si="6"/>
        <v>81.495327102803742</v>
      </c>
      <c r="S34" s="46">
        <f t="shared" si="7"/>
        <v>44822.429906542056</v>
      </c>
      <c r="T34" t="str">
        <f t="shared" si="8"/>
        <v/>
      </c>
      <c r="U34">
        <f>+RANK(H34,$H$6:$H$1048576,1)</f>
        <v>40</v>
      </c>
      <c r="Y34" t="str">
        <f>TRIM(Tabla2[[#This Row],[CONDUCTOR]])</f>
        <v>AGUDELO GARCIA LLORDIN ELIAS</v>
      </c>
    </row>
    <row r="35" spans="2:25" x14ac:dyDescent="0.2">
      <c r="B35" s="136" t="s">
        <v>123</v>
      </c>
      <c r="C35" s="166">
        <v>32</v>
      </c>
      <c r="D35" s="151" t="s">
        <v>153</v>
      </c>
      <c r="E35" s="150">
        <v>8</v>
      </c>
      <c r="F35" s="150">
        <v>0</v>
      </c>
      <c r="G35" s="146">
        <v>135</v>
      </c>
      <c r="H35" s="227">
        <f t="shared" si="0"/>
        <v>16.875</v>
      </c>
      <c r="I35" s="365">
        <f>+(SUM($G$7:$G$1048576)/SUM($E$7:$E$1048576))*E35</f>
        <v>170.99065420560748</v>
      </c>
      <c r="J35" s="364">
        <f>+Tabla2[[#This Row],[PROM DE USUARIOS]]-Tabla2[[#This Row],[USUARIOS]]</f>
        <v>35.990654205607484</v>
      </c>
      <c r="K35" s="151"/>
      <c r="L35" s="163">
        <f t="shared" si="1"/>
        <v>95349.532710280371</v>
      </c>
      <c r="M35" s="162" t="str">
        <f>+VLOOKUP(C35,Lista!B:D,3,0)</f>
        <v>MICRO</v>
      </c>
      <c r="N35" s="375">
        <f t="shared" si="2"/>
        <v>11815.384615384615</v>
      </c>
      <c r="O35" s="50">
        <f t="shared" si="3"/>
        <v>8</v>
      </c>
      <c r="P35" s="47">
        <f t="shared" si="4"/>
        <v>162.99065420560748</v>
      </c>
      <c r="Q35" s="49">
        <f t="shared" si="5"/>
        <v>127</v>
      </c>
      <c r="R35" s="51">
        <f t="shared" si="6"/>
        <v>162.99065420560748</v>
      </c>
      <c r="S35" s="46">
        <f t="shared" si="7"/>
        <v>89644.859813084113</v>
      </c>
      <c r="T35" t="str">
        <f t="shared" si="8"/>
        <v/>
      </c>
      <c r="U35">
        <f>+RANK(H35,$H$6:$H$1048576,1)</f>
        <v>3</v>
      </c>
      <c r="Y35" t="str">
        <f>TRIM(Tabla2[[#This Row],[CONDUCTOR]])</f>
        <v>LAYOS JIMENEZ JOHAN CAMILO</v>
      </c>
    </row>
    <row r="36" spans="2:25" x14ac:dyDescent="0.2">
      <c r="B36" s="136" t="s">
        <v>124</v>
      </c>
      <c r="C36" s="166">
        <v>34</v>
      </c>
      <c r="D36" s="151" t="s">
        <v>171</v>
      </c>
      <c r="E36" s="150">
        <v>9</v>
      </c>
      <c r="F36" s="150">
        <v>0</v>
      </c>
      <c r="G36" s="146">
        <v>215</v>
      </c>
      <c r="H36" s="227">
        <f t="shared" si="0"/>
        <v>23.888888888888889</v>
      </c>
      <c r="I36" s="228">
        <f>+(SUM($G$7:$G$1048576)/SUM($E$7:$E$1048576))*E36</f>
        <v>192.36448598130841</v>
      </c>
      <c r="J36" s="364">
        <f>+Tabla2[[#This Row],[PROM DE USUARIOS]]-Tabla2[[#This Row],[USUARIOS]]</f>
        <v>-22.635514018691595</v>
      </c>
      <c r="K36" s="151"/>
      <c r="L36" s="163">
        <f t="shared" si="1"/>
        <v>107268.22429906542</v>
      </c>
      <c r="M36" s="162" t="str">
        <f>+VLOOKUP(C36,Lista!B:D,3,0)</f>
        <v>MICRO</v>
      </c>
      <c r="N36" s="375">
        <f t="shared" si="2"/>
        <v>11815.384615384615</v>
      </c>
      <c r="O36" s="50">
        <f t="shared" si="3"/>
        <v>9</v>
      </c>
      <c r="P36" s="47">
        <f t="shared" si="4"/>
        <v>183.36448598130841</v>
      </c>
      <c r="Q36" s="49">
        <f t="shared" si="5"/>
        <v>206</v>
      </c>
      <c r="R36" s="51">
        <f t="shared" si="6"/>
        <v>183.36448598130841</v>
      </c>
      <c r="S36" s="46">
        <f t="shared" si="7"/>
        <v>100850.46728971963</v>
      </c>
      <c r="T36" t="str">
        <f t="shared" si="8"/>
        <v/>
      </c>
      <c r="U36">
        <f>+RANK(H36,$H$6:$H$1048576,1)</f>
        <v>33</v>
      </c>
      <c r="Y36" t="str">
        <f>TRIM(Tabla2[[#This Row],[CONDUCTOR]])</f>
        <v>MONTOYA OSPINA GILBERTO ANTONIO</v>
      </c>
    </row>
    <row r="37" spans="2:25" x14ac:dyDescent="0.2">
      <c r="B37" s="136" t="s">
        <v>123</v>
      </c>
      <c r="C37" s="166">
        <v>35</v>
      </c>
      <c r="D37" s="151" t="s">
        <v>161</v>
      </c>
      <c r="E37" s="150">
        <v>8</v>
      </c>
      <c r="F37" s="150">
        <v>0</v>
      </c>
      <c r="G37" s="165">
        <v>154</v>
      </c>
      <c r="H37" s="227">
        <f t="shared" si="0"/>
        <v>19.25</v>
      </c>
      <c r="I37" s="228">
        <f>+(SUM($G$7:$G$1048576)/SUM($E$7:$E$1048576))*E37</f>
        <v>170.99065420560748</v>
      </c>
      <c r="J37" s="364">
        <f>+Tabla2[[#This Row],[PROM DE USUARIOS]]-Tabla2[[#This Row],[USUARIOS]]</f>
        <v>16.990654205607484</v>
      </c>
      <c r="K37" s="151"/>
      <c r="L37" s="163">
        <f t="shared" si="1"/>
        <v>95349.532710280371</v>
      </c>
      <c r="M37" s="162">
        <f>+VLOOKUP(C37,Lista!B:D,3,0)</f>
        <v>0</v>
      </c>
      <c r="N37" s="375">
        <f t="shared" si="2"/>
        <v>11815.384615384615</v>
      </c>
      <c r="O37" s="50">
        <f t="shared" si="3"/>
        <v>8</v>
      </c>
      <c r="P37" s="47">
        <f t="shared" si="4"/>
        <v>162.99065420560748</v>
      </c>
      <c r="Q37" s="49">
        <f t="shared" si="5"/>
        <v>146</v>
      </c>
      <c r="R37" s="51">
        <f t="shared" si="6"/>
        <v>162.99065420560748</v>
      </c>
      <c r="S37" s="46">
        <f t="shared" si="7"/>
        <v>89644.859813084113</v>
      </c>
      <c r="T37" t="str">
        <f t="shared" si="8"/>
        <v/>
      </c>
      <c r="U37">
        <f>+RANK(H37,$H$6:$H$1048576,1)</f>
        <v>9</v>
      </c>
      <c r="Y37" t="str">
        <f>TRIM(Tabla2[[#This Row],[CONDUCTOR]])</f>
        <v>ARAQUE ARROYAVE JOSE ALBEIRO</v>
      </c>
    </row>
    <row r="38" spans="2:25" x14ac:dyDescent="0.2">
      <c r="B38" s="136" t="s">
        <v>124</v>
      </c>
      <c r="C38" s="166">
        <v>36</v>
      </c>
      <c r="D38" s="151" t="s">
        <v>149</v>
      </c>
      <c r="E38" s="150">
        <v>8</v>
      </c>
      <c r="F38" s="150">
        <v>0</v>
      </c>
      <c r="G38" s="146">
        <v>166</v>
      </c>
      <c r="H38" s="227">
        <f t="shared" si="0"/>
        <v>20.75</v>
      </c>
      <c r="I38" s="228">
        <f>+(SUM($G$7:$G$1048576)/SUM($E$7:$E$1048576))*E38</f>
        <v>170.99065420560748</v>
      </c>
      <c r="J38" s="364">
        <f>+Tabla2[[#This Row],[PROM DE USUARIOS]]-Tabla2[[#This Row],[USUARIOS]]</f>
        <v>4.9906542056074841</v>
      </c>
      <c r="K38" s="151"/>
      <c r="L38" s="163">
        <f t="shared" si="1"/>
        <v>95349.532710280371</v>
      </c>
      <c r="M38" s="162" t="str">
        <f>+VLOOKUP(C38,Lista!B:D,3,0)</f>
        <v>MICRO</v>
      </c>
      <c r="N38" s="375">
        <f t="shared" si="2"/>
        <v>11815.384615384615</v>
      </c>
      <c r="O38" s="50">
        <f t="shared" si="3"/>
        <v>8</v>
      </c>
      <c r="P38" s="47">
        <f t="shared" si="4"/>
        <v>162.99065420560748</v>
      </c>
      <c r="Q38" s="49">
        <f t="shared" si="5"/>
        <v>158</v>
      </c>
      <c r="R38" s="51">
        <f t="shared" si="6"/>
        <v>162.99065420560748</v>
      </c>
      <c r="S38" s="46">
        <f t="shared" si="7"/>
        <v>89644.859813084113</v>
      </c>
      <c r="T38" t="str">
        <f t="shared" si="8"/>
        <v/>
      </c>
      <c r="U38">
        <f>+RANK(H38,$H$6:$H$1048576,1)</f>
        <v>20</v>
      </c>
      <c r="Y38" t="str">
        <f>TRIM(Tabla2[[#This Row],[CONDUCTOR]])</f>
        <v>JARAMILLO JARAMILLO FRANCISCO WBEIMAR</v>
      </c>
    </row>
    <row r="39" spans="2:25" x14ac:dyDescent="0.2">
      <c r="B39" s="136" t="s">
        <v>123</v>
      </c>
      <c r="C39" s="166">
        <v>37</v>
      </c>
      <c r="D39" s="151" t="s">
        <v>174</v>
      </c>
      <c r="E39" s="150">
        <v>9</v>
      </c>
      <c r="F39" s="150">
        <v>0</v>
      </c>
      <c r="G39" s="165">
        <v>210</v>
      </c>
      <c r="H39" s="227">
        <f t="shared" si="0"/>
        <v>23.333333333333332</v>
      </c>
      <c r="I39" s="228">
        <f>+(SUM($G$7:$G$1048576)/SUM($E$7:$E$1048576))*E39</f>
        <v>192.36448598130841</v>
      </c>
      <c r="J39" s="364">
        <f>+Tabla2[[#This Row],[PROM DE USUARIOS]]-Tabla2[[#This Row],[USUARIOS]]</f>
        <v>-17.635514018691595</v>
      </c>
      <c r="K39" s="151"/>
      <c r="L39" s="163">
        <f t="shared" si="1"/>
        <v>107268.22429906542</v>
      </c>
      <c r="M39" s="162">
        <f>+VLOOKUP(C39,Lista!B:D,3,0)</f>
        <v>0</v>
      </c>
      <c r="N39" s="375">
        <f t="shared" si="2"/>
        <v>11815.384615384615</v>
      </c>
      <c r="O39" s="50">
        <f t="shared" si="3"/>
        <v>9</v>
      </c>
      <c r="P39" s="47">
        <f t="shared" si="4"/>
        <v>183.36448598130841</v>
      </c>
      <c r="Q39" s="49">
        <f t="shared" si="5"/>
        <v>201</v>
      </c>
      <c r="R39" s="51">
        <f t="shared" si="6"/>
        <v>183.36448598130841</v>
      </c>
      <c r="S39" s="46">
        <f t="shared" si="7"/>
        <v>100850.46728971963</v>
      </c>
      <c r="T39" t="str">
        <f t="shared" si="8"/>
        <v/>
      </c>
      <c r="U39">
        <f>+RANK(H39,$H$6:$H$1048576,1)</f>
        <v>32</v>
      </c>
      <c r="Y39" t="str">
        <f>TRIM(Tabla2[[#This Row],[CONDUCTOR]])</f>
        <v>TABORDA ROJAS DIEGO ALEJANDRO</v>
      </c>
    </row>
    <row r="40" spans="2:25" x14ac:dyDescent="0.2">
      <c r="B40" s="136" t="s">
        <v>124</v>
      </c>
      <c r="C40" s="166">
        <v>38</v>
      </c>
      <c r="D40" s="151" t="s">
        <v>154</v>
      </c>
      <c r="E40" s="150">
        <v>7</v>
      </c>
      <c r="F40" s="150">
        <v>0</v>
      </c>
      <c r="G40" s="146">
        <v>144</v>
      </c>
      <c r="H40" s="227">
        <f t="shared" si="0"/>
        <v>20.571428571428573</v>
      </c>
      <c r="I40" s="365">
        <f>+(SUM($G$7:$G$1048576)/SUM($E$7:$E$1048576))*E40</f>
        <v>149.61682242990656</v>
      </c>
      <c r="J40" s="364">
        <f>+Tabla2[[#This Row],[PROM DE USUARIOS]]-Tabla2[[#This Row],[USUARIOS]]</f>
        <v>5.6168224299065628</v>
      </c>
      <c r="K40" s="151"/>
      <c r="L40" s="163">
        <f t="shared" si="1"/>
        <v>83430.841121495338</v>
      </c>
      <c r="M40" s="162" t="str">
        <f>+VLOOKUP(C40,Lista!B:D,3,0)</f>
        <v>MICRO</v>
      </c>
      <c r="N40" s="375">
        <f t="shared" si="2"/>
        <v>11815.384615384615</v>
      </c>
      <c r="O40" s="50">
        <f t="shared" si="3"/>
        <v>7</v>
      </c>
      <c r="P40" s="47">
        <f t="shared" si="4"/>
        <v>142.61682242990656</v>
      </c>
      <c r="Q40" s="49">
        <f t="shared" si="5"/>
        <v>137</v>
      </c>
      <c r="R40" s="51">
        <f t="shared" si="6"/>
        <v>142.61682242990656</v>
      </c>
      <c r="S40" s="46">
        <f t="shared" si="7"/>
        <v>78439.252336448611</v>
      </c>
      <c r="T40" t="str">
        <f t="shared" si="8"/>
        <v/>
      </c>
      <c r="U40">
        <f>+RANK(H40,$H$6:$H$1048576,1)</f>
        <v>17</v>
      </c>
      <c r="Y40" t="str">
        <f>TRIM(Tabla2[[#This Row],[CONDUCTOR]])</f>
        <v>CALLE BOTERO JUAN RICARDO</v>
      </c>
    </row>
    <row r="41" spans="2:25" x14ac:dyDescent="0.2">
      <c r="B41" s="136" t="s">
        <v>123</v>
      </c>
      <c r="C41" s="166">
        <v>39</v>
      </c>
      <c r="D41" s="151" t="s">
        <v>181</v>
      </c>
      <c r="E41" s="150">
        <v>9</v>
      </c>
      <c r="F41" s="150">
        <v>0</v>
      </c>
      <c r="G41" s="165">
        <v>219</v>
      </c>
      <c r="H41" s="227">
        <f t="shared" si="0"/>
        <v>24.333333333333332</v>
      </c>
      <c r="I41" s="228">
        <f>+(SUM($G$7:$G$1048576)/SUM($E$7:$E$1048576))*E41</f>
        <v>192.36448598130841</v>
      </c>
      <c r="J41" s="364">
        <f>+Tabla2[[#This Row],[PROM DE USUARIOS]]-Tabla2[[#This Row],[USUARIOS]]</f>
        <v>-26.635514018691595</v>
      </c>
      <c r="K41" s="151"/>
      <c r="L41" s="163">
        <f t="shared" si="1"/>
        <v>107268.22429906542</v>
      </c>
      <c r="M41" s="162" t="str">
        <f>+VLOOKUP(C41,Lista!B:D,3,0)</f>
        <v>MICRO</v>
      </c>
      <c r="N41" s="375">
        <f t="shared" si="2"/>
        <v>11815.384615384615</v>
      </c>
      <c r="O41" s="50">
        <f t="shared" si="3"/>
        <v>9</v>
      </c>
      <c r="P41" s="47">
        <f t="shared" si="4"/>
        <v>183.36448598130841</v>
      </c>
      <c r="Q41" s="49">
        <f t="shared" si="5"/>
        <v>210</v>
      </c>
      <c r="R41" s="51">
        <f t="shared" si="6"/>
        <v>183.36448598130841</v>
      </c>
      <c r="S41" s="46">
        <f t="shared" si="7"/>
        <v>100850.46728971963</v>
      </c>
      <c r="T41" t="str">
        <f t="shared" si="8"/>
        <v/>
      </c>
      <c r="U41">
        <f>+RANK(H41,$H$6:$H$1048576,1)</f>
        <v>34</v>
      </c>
      <c r="Y41" t="str">
        <f>TRIM(Tabla2[[#This Row],[CONDUCTOR]])</f>
        <v>PULGARIN GARCIA YONATHAN ANDRES</v>
      </c>
    </row>
    <row r="42" spans="2:25" x14ac:dyDescent="0.2">
      <c r="B42" s="136" t="s">
        <v>124</v>
      </c>
      <c r="C42" s="137">
        <v>40</v>
      </c>
      <c r="D42" s="151" t="s">
        <v>179</v>
      </c>
      <c r="E42" s="150">
        <v>12</v>
      </c>
      <c r="F42" s="150">
        <v>0</v>
      </c>
      <c r="G42" s="146">
        <v>231</v>
      </c>
      <c r="H42" s="227">
        <f t="shared" si="0"/>
        <v>19.25</v>
      </c>
      <c r="I42" s="228">
        <f>+(SUM($G$7:$G$1048576)/SUM($E$7:$E$1048576))*E42</f>
        <v>256.48598130841123</v>
      </c>
      <c r="J42" s="364">
        <f>+Tabla2[[#This Row],[PROM DE USUARIOS]]-Tabla2[[#This Row],[USUARIOS]]</f>
        <v>25.485981308411226</v>
      </c>
      <c r="K42" s="151" t="s">
        <v>189</v>
      </c>
      <c r="L42" s="163">
        <f t="shared" si="1"/>
        <v>143024.29906542058</v>
      </c>
      <c r="M42" s="162" t="str">
        <f>+VLOOKUP(C42,Lista!B:D,3,0)</f>
        <v>MICRO</v>
      </c>
      <c r="N42" s="375">
        <f t="shared" si="2"/>
        <v>11815.384615384615</v>
      </c>
      <c r="O42" s="50">
        <f t="shared" si="3"/>
        <v>12</v>
      </c>
      <c r="P42" s="47">
        <f t="shared" si="4"/>
        <v>244.48598130841123</v>
      </c>
      <c r="Q42" s="49">
        <f t="shared" si="5"/>
        <v>219</v>
      </c>
      <c r="R42" s="51">
        <f t="shared" si="6"/>
        <v>244.48598130841123</v>
      </c>
      <c r="S42" s="46">
        <f t="shared" si="7"/>
        <v>134467.28971962616</v>
      </c>
      <c r="T42" t="str">
        <f t="shared" si="8"/>
        <v xml:space="preserve">1 Descuento (Despachador) </v>
      </c>
      <c r="U42">
        <f>+RANK(H42,$H$6:$H$1048576,1)</f>
        <v>9</v>
      </c>
      <c r="Y42" t="str">
        <f>TRIM(Tabla2[[#This Row],[CONDUCTOR]])</f>
        <v>OCAMPO OCAMPO ANTONIO JOSE</v>
      </c>
    </row>
    <row r="43" spans="2:25" x14ac:dyDescent="0.2">
      <c r="B43" s="136" t="s">
        <v>123</v>
      </c>
      <c r="C43" s="166">
        <v>41</v>
      </c>
      <c r="D43" s="151" t="s">
        <v>172</v>
      </c>
      <c r="E43" s="150">
        <v>9</v>
      </c>
      <c r="F43" s="150">
        <v>0</v>
      </c>
      <c r="G43" s="165">
        <v>206</v>
      </c>
      <c r="H43" s="227">
        <f t="shared" si="0"/>
        <v>22.888888888888889</v>
      </c>
      <c r="I43" s="228">
        <f>+(SUM($G$7:$G$1048576)/SUM($E$7:$E$1048576))*E43</f>
        <v>192.36448598130841</v>
      </c>
      <c r="J43" s="364">
        <f>+Tabla2[[#This Row],[PROM DE USUARIOS]]-Tabla2[[#This Row],[USUARIOS]]</f>
        <v>-13.635514018691595</v>
      </c>
      <c r="K43" s="151" t="s">
        <v>131</v>
      </c>
      <c r="L43" s="163">
        <f t="shared" si="1"/>
        <v>107268.22429906542</v>
      </c>
      <c r="M43" s="162">
        <f>+VLOOKUP(C43,Lista!B:D,3,0)</f>
        <v>0</v>
      </c>
      <c r="N43" s="375">
        <f t="shared" si="2"/>
        <v>11815.384615384615</v>
      </c>
      <c r="O43" s="50">
        <f t="shared" si="3"/>
        <v>9</v>
      </c>
      <c r="P43" s="47">
        <f t="shared" si="4"/>
        <v>183.36448598130841</v>
      </c>
      <c r="Q43" s="49">
        <f t="shared" si="5"/>
        <v>197</v>
      </c>
      <c r="R43" s="51">
        <f t="shared" si="6"/>
        <v>183.36448598130841</v>
      </c>
      <c r="S43" s="46">
        <f t="shared" si="7"/>
        <v>100850.46728971963</v>
      </c>
      <c r="T43" t="str">
        <f t="shared" si="8"/>
        <v xml:space="preserve">1 Descuento (Conduct) </v>
      </c>
      <c r="U43">
        <f>+RANK(H43,$H$6:$H$1048576,1)</f>
        <v>29</v>
      </c>
      <c r="Y43" t="str">
        <f>TRIM(Tabla2[[#This Row],[CONDUCTOR]])</f>
        <v>GARCIA DAVID WILSON ALBERTO</v>
      </c>
    </row>
    <row r="44" spans="2:25" x14ac:dyDescent="0.2">
      <c r="B44" s="136" t="s">
        <v>124</v>
      </c>
      <c r="C44" s="166">
        <v>42</v>
      </c>
      <c r="D44" s="151" t="s">
        <v>173</v>
      </c>
      <c r="E44" s="150">
        <v>10</v>
      </c>
      <c r="F44" s="150">
        <v>0</v>
      </c>
      <c r="G44" s="165">
        <v>189</v>
      </c>
      <c r="H44" s="227">
        <f t="shared" si="0"/>
        <v>18.899999999999999</v>
      </c>
      <c r="I44" s="228">
        <f>+(SUM($G$7:$G$1048576)/SUM($E$7:$E$1048576))*E44</f>
        <v>213.73831775700936</v>
      </c>
      <c r="J44" s="364">
        <f>+Tabla2[[#This Row],[PROM DE USUARIOS]]-Tabla2[[#This Row],[USUARIOS]]</f>
        <v>24.738317757009355</v>
      </c>
      <c r="K44" s="151"/>
      <c r="L44" s="163">
        <f t="shared" si="1"/>
        <v>119186.91588785047</v>
      </c>
      <c r="M44" s="162">
        <f>+VLOOKUP(C44,Lista!B:D,3,0)</f>
        <v>0</v>
      </c>
      <c r="N44" s="375">
        <f t="shared" si="2"/>
        <v>11815.384615384615</v>
      </c>
      <c r="O44" s="50">
        <f t="shared" si="3"/>
        <v>10</v>
      </c>
      <c r="P44" s="47">
        <f t="shared" si="4"/>
        <v>203.73831775700936</v>
      </c>
      <c r="Q44" s="49">
        <f t="shared" si="5"/>
        <v>179</v>
      </c>
      <c r="R44" s="51">
        <f t="shared" si="6"/>
        <v>203.73831775700936</v>
      </c>
      <c r="S44" s="46">
        <f t="shared" si="7"/>
        <v>112056.07476635514</v>
      </c>
      <c r="T44" t="str">
        <f t="shared" si="8"/>
        <v/>
      </c>
      <c r="U44">
        <f>+RANK(H44,$H$6:$H$1048576,1)</f>
        <v>7</v>
      </c>
      <c r="Y44" t="str">
        <f>TRIM(Tabla2[[#This Row],[CONDUCTOR]])</f>
        <v>AGUDELO GARCIA DENIN ANGELO</v>
      </c>
    </row>
    <row r="45" spans="2:25" x14ac:dyDescent="0.2">
      <c r="B45" s="136" t="s">
        <v>123</v>
      </c>
      <c r="C45" s="137">
        <v>43</v>
      </c>
      <c r="D45" s="151" t="s">
        <v>162</v>
      </c>
      <c r="E45" s="150">
        <v>8</v>
      </c>
      <c r="F45" s="150">
        <v>0</v>
      </c>
      <c r="G45" s="146">
        <v>163</v>
      </c>
      <c r="H45" s="227">
        <f t="shared" si="0"/>
        <v>20.375</v>
      </c>
      <c r="I45" s="228">
        <f>+(SUM($G$7:$G$1048576)/SUM($E$7:$E$1048576))*E45</f>
        <v>170.99065420560748</v>
      </c>
      <c r="J45" s="364">
        <f>+Tabla2[[#This Row],[PROM DE USUARIOS]]-Tabla2[[#This Row],[USUARIOS]]</f>
        <v>7.9906542056074841</v>
      </c>
      <c r="K45" s="151"/>
      <c r="L45" s="201">
        <f t="shared" si="1"/>
        <v>95349.532710280371</v>
      </c>
      <c r="M45" s="162">
        <f>+VLOOKUP(C45,Lista!B:D,3,0)</f>
        <v>0</v>
      </c>
      <c r="N45" s="183">
        <f t="shared" si="2"/>
        <v>11815.384615384615</v>
      </c>
      <c r="O45" s="50">
        <f t="shared" si="3"/>
        <v>8</v>
      </c>
      <c r="P45" s="47">
        <f t="shared" si="4"/>
        <v>162.99065420560748</v>
      </c>
      <c r="Q45" s="49">
        <f t="shared" si="5"/>
        <v>155</v>
      </c>
      <c r="R45" s="51">
        <f t="shared" si="6"/>
        <v>162.99065420560748</v>
      </c>
      <c r="S45" s="46">
        <f t="shared" si="7"/>
        <v>89644.859813084113</v>
      </c>
      <c r="T45" t="str">
        <f t="shared" si="8"/>
        <v/>
      </c>
      <c r="U45">
        <f>+RANK(H45,$H$6:$H$1048576,1)</f>
        <v>15</v>
      </c>
      <c r="Y45" t="str">
        <f>TRIM(Tabla2[[#This Row],[CONDUCTOR]])</f>
        <v>CALLE BOTERO ANDRES CAMILO</v>
      </c>
    </row>
    <row r="46" spans="2:25" x14ac:dyDescent="0.2">
      <c r="B46" s="233"/>
      <c r="C46" s="240">
        <f>SUBTOTAL(102,Tabla2[VEH])</f>
        <v>39</v>
      </c>
      <c r="D46" s="234" t="s">
        <v>129</v>
      </c>
      <c r="E46" s="235">
        <f>SUBTOTAL(109,Tabla2[VIAJES])</f>
        <v>321</v>
      </c>
      <c r="F46" s="235">
        <f>SUBTOTAL(109,Tabla2[VIAJES PERD.])</f>
        <v>2</v>
      </c>
      <c r="G46" s="241">
        <f>SUBTOTAL(109,Tabla2[USUARIOS])</f>
        <v>6861</v>
      </c>
      <c r="H46" s="374">
        <f>+Tabla2[[#Totals],[USUARIOS]]/Tabla2[[#Totals],[VIAJES]]</f>
        <v>21.373831775700936</v>
      </c>
      <c r="I46" s="241">
        <f>SUBTOTAL(109,Tabla2[PROM DE USUARIOS])</f>
        <v>6861</v>
      </c>
      <c r="J46" s="373">
        <f>SUBTOTAL(109,Tabla2[RECIBE / ENTREGA])</f>
        <v>1.7053025658242404E-13</v>
      </c>
      <c r="K46" s="236" t="s">
        <v>190</v>
      </c>
      <c r="L46" s="237"/>
      <c r="M46" s="238"/>
      <c r="N46" s="239">
        <f>SUBTOTAL(109,Tabla2[DIFER. MICRO - BUS ])</f>
        <v>460800.00000000017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8" si="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6"/>
      <c r="C47" s="247"/>
      <c r="D47" s="248"/>
      <c r="E47" s="249"/>
      <c r="F47" s="249"/>
      <c r="G47" s="250"/>
      <c r="H47" s="251"/>
      <c r="I47" s="252"/>
      <c r="J47" s="342"/>
      <c r="K47" s="248"/>
      <c r="L47" s="253"/>
      <c r="M47" s="254"/>
      <c r="N47" s="204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9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6"/>
      <c r="C48" s="247"/>
      <c r="D48" s="248"/>
      <c r="E48" s="249"/>
      <c r="F48" s="249"/>
      <c r="G48" s="250"/>
      <c r="H48" s="251"/>
      <c r="I48" s="252"/>
      <c r="J48" s="342"/>
      <c r="K48" s="248"/>
      <c r="L48" s="253"/>
      <c r="M48" s="254"/>
      <c r="N48" s="204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si="9"/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5"/>
      <c r="H50" s="251"/>
      <c r="I50" s="252"/>
      <c r="J50" s="342"/>
      <c r="K50" s="248"/>
      <c r="L50" s="253"/>
      <c r="M50" s="254"/>
      <c r="N50" s="204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1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6"/>
      <c r="C51" s="247"/>
      <c r="D51" s="248"/>
      <c r="E51" s="249"/>
      <c r="F51" s="249"/>
      <c r="G51" s="255"/>
      <c r="H51" s="251"/>
      <c r="I51" s="252"/>
      <c r="J51" s="342"/>
      <c r="K51" s="248"/>
      <c r="L51" s="253"/>
      <c r="M51" s="254"/>
      <c r="N51" s="204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1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6"/>
      <c r="C52" s="256"/>
      <c r="D52" s="248"/>
      <c r="E52" s="249"/>
      <c r="F52" s="249"/>
      <c r="G52" s="199"/>
      <c r="H52" s="251"/>
      <c r="I52" s="252"/>
      <c r="J52" s="342"/>
      <c r="K52" s="248"/>
      <c r="L52" s="253"/>
      <c r="M52" s="254"/>
      <c r="N52" s="204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1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6"/>
      <c r="C53" s="256"/>
      <c r="D53" s="248"/>
      <c r="E53" s="249"/>
      <c r="F53" s="249"/>
      <c r="G53" s="199"/>
      <c r="H53" s="251"/>
      <c r="I53" s="252"/>
      <c r="J53" s="342"/>
      <c r="K53" s="248"/>
      <c r="L53" s="253"/>
      <c r="M53" s="254"/>
      <c r="N53" s="204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1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6"/>
      <c r="C54" s="247"/>
      <c r="D54" s="248"/>
      <c r="E54" s="249"/>
      <c r="F54" s="249"/>
      <c r="G54" s="255"/>
      <c r="H54" s="251"/>
      <c r="I54" s="252"/>
      <c r="J54" s="342"/>
      <c r="K54" s="248"/>
      <c r="L54" s="253"/>
      <c r="M54" s="254"/>
      <c r="N54" s="204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1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1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2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2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2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2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2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56"/>
      <c r="D71" s="248"/>
      <c r="E71" s="249"/>
      <c r="F71" s="249"/>
      <c r="G71" s="257"/>
      <c r="H71" s="251"/>
      <c r="I71" s="222"/>
      <c r="J71" s="343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7"/>
      <c r="H72" s="251"/>
      <c r="I72" s="222"/>
      <c r="J72" s="343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5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5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56"/>
      <c r="D76" s="248"/>
      <c r="E76" s="249"/>
      <c r="F76" s="249"/>
      <c r="G76" s="199"/>
      <c r="H76" s="258"/>
      <c r="I76" s="223"/>
      <c r="J76" s="344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59"/>
    </row>
    <row r="79" spans="2:21" x14ac:dyDescent="0.2">
      <c r="B79" s="246"/>
      <c r="C79" s="256"/>
      <c r="D79" s="248"/>
      <c r="E79" s="249"/>
      <c r="F79" s="249"/>
      <c r="G79" s="255"/>
      <c r="H79" s="258"/>
      <c r="I79" s="223"/>
      <c r="J79" s="344"/>
      <c r="K79" s="248"/>
      <c r="L79" s="253"/>
      <c r="M79" s="254"/>
      <c r="N79" s="259"/>
    </row>
    <row r="80" spans="2:21" x14ac:dyDescent="0.2">
      <c r="B80" s="246"/>
      <c r="C80" s="247"/>
      <c r="D80" s="248"/>
      <c r="E80" s="249"/>
      <c r="F80" s="249"/>
      <c r="G80" s="255"/>
      <c r="H80" s="251"/>
      <c r="I80" s="222"/>
      <c r="J80" s="343"/>
      <c r="K80" s="248"/>
      <c r="L80" s="253"/>
      <c r="M80" s="254"/>
      <c r="N80" s="259"/>
    </row>
    <row r="81" spans="2:14" x14ac:dyDescent="0.2">
      <c r="B81" s="246"/>
      <c r="C81" s="247"/>
      <c r="D81" s="248"/>
      <c r="E81" s="249"/>
      <c r="F81" s="249"/>
      <c r="G81" s="255"/>
      <c r="H81" s="251"/>
      <c r="I81" s="222"/>
      <c r="J81" s="343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56"/>
      <c r="D83" s="248"/>
      <c r="E83" s="249"/>
      <c r="F83" s="249"/>
      <c r="G83" s="199"/>
      <c r="H83" s="258"/>
      <c r="I83" s="223"/>
      <c r="J83" s="344"/>
      <c r="K83" s="248"/>
      <c r="L83" s="204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47"/>
      <c r="D85" s="248"/>
      <c r="E85" s="249"/>
      <c r="F85" s="249"/>
      <c r="G85" s="257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7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04"/>
      <c r="M91" s="254"/>
      <c r="N91" s="259"/>
    </row>
    <row r="92" spans="2:14" x14ac:dyDescent="0.2">
      <c r="B92" s="246"/>
      <c r="C92" s="256"/>
      <c r="D92" s="248"/>
      <c r="E92" s="249"/>
      <c r="F92" s="249"/>
      <c r="G92" s="199"/>
      <c r="H92" s="258"/>
      <c r="I92" s="223"/>
      <c r="J92" s="344"/>
      <c r="K92" s="248"/>
      <c r="L92" s="204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53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53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04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04"/>
      <c r="M96" s="254"/>
      <c r="N96" s="259"/>
    </row>
    <row r="97" spans="2:14" x14ac:dyDescent="0.2">
      <c r="B97" s="246"/>
      <c r="C97" s="256"/>
      <c r="D97" s="248"/>
      <c r="E97" s="249"/>
      <c r="F97" s="249"/>
      <c r="G97" s="255"/>
      <c r="H97" s="260"/>
      <c r="I97" s="261"/>
      <c r="J97" s="345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53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7"/>
      <c r="H100" s="251"/>
      <c r="I100" s="222"/>
      <c r="J100" s="343"/>
      <c r="K100" s="248"/>
      <c r="L100" s="253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56"/>
      <c r="D102" s="248"/>
      <c r="E102" s="249"/>
      <c r="F102" s="249"/>
      <c r="G102" s="199"/>
      <c r="H102" s="258"/>
      <c r="I102" s="223"/>
      <c r="J102" s="344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7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7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56"/>
      <c r="D116" s="248"/>
      <c r="E116" s="249"/>
      <c r="F116" s="249"/>
      <c r="G116" s="199"/>
      <c r="H116" s="258"/>
      <c r="I116" s="223"/>
      <c r="J116" s="344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04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7"/>
      <c r="H118" s="251"/>
      <c r="I118" s="222"/>
      <c r="J118" s="343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53"/>
      <c r="M120" s="254"/>
      <c r="N120" s="204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53"/>
      <c r="M121" s="254"/>
      <c r="N121" s="204"/>
    </row>
    <row r="122" spans="2:14" x14ac:dyDescent="0.2">
      <c r="B122" s="246"/>
      <c r="C122" s="247"/>
      <c r="D122" s="246"/>
      <c r="E122" s="249"/>
      <c r="F122" s="249"/>
      <c r="G122" s="262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56"/>
      <c r="D127" s="248"/>
      <c r="E127" s="249"/>
      <c r="F127" s="249"/>
      <c r="G127" s="199"/>
      <c r="H127" s="258"/>
      <c r="I127" s="223"/>
      <c r="J127" s="344"/>
      <c r="K127" s="263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00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00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56"/>
      <c r="D136" s="248"/>
      <c r="E136" s="249"/>
      <c r="F136" s="249"/>
      <c r="G136" s="199"/>
      <c r="H136" s="200"/>
      <c r="I136" s="222"/>
      <c r="J136" s="343"/>
      <c r="K136" s="248"/>
      <c r="L136" s="204"/>
      <c r="M136" s="254"/>
      <c r="N136" s="259"/>
    </row>
    <row r="137" spans="2:14" x14ac:dyDescent="0.2">
      <c r="B137" s="246"/>
      <c r="C137" s="247"/>
      <c r="D137" s="248"/>
      <c r="E137" s="249"/>
      <c r="F137" s="249"/>
      <c r="G137" s="255"/>
      <c r="H137" s="200"/>
      <c r="I137" s="222"/>
      <c r="J137" s="343"/>
      <c r="K137" s="248"/>
      <c r="L137" s="253"/>
      <c r="M137" s="254"/>
      <c r="N137" s="259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04"/>
    </row>
    <row r="140" spans="2:14" x14ac:dyDescent="0.2">
      <c r="B140" s="246"/>
      <c r="C140" s="256"/>
      <c r="D140" s="248"/>
      <c r="E140" s="249"/>
      <c r="F140" s="249"/>
      <c r="G140" s="199"/>
      <c r="H140" s="251"/>
      <c r="I140" s="222"/>
      <c r="J140" s="343"/>
      <c r="K140" s="248"/>
      <c r="L140" s="253"/>
      <c r="M140" s="254"/>
      <c r="N140" s="204"/>
    </row>
    <row r="141" spans="2:14" x14ac:dyDescent="0.2">
      <c r="B141" s="246"/>
      <c r="C141" s="256"/>
      <c r="D141" s="248"/>
      <c r="E141" s="249"/>
      <c r="F141" s="249"/>
      <c r="G141" s="199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6"/>
      <c r="E142" s="249"/>
      <c r="F142" s="249"/>
      <c r="G142" s="202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47"/>
      <c r="D143" s="248"/>
      <c r="E143" s="249"/>
      <c r="F143" s="249"/>
      <c r="G143" s="255"/>
      <c r="H143" s="251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47"/>
      <c r="D144" s="248"/>
      <c r="E144" s="249"/>
      <c r="F144" s="249"/>
      <c r="G144" s="255"/>
      <c r="H144" s="251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00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56"/>
      <c r="D150" s="248"/>
      <c r="E150" s="249"/>
      <c r="F150" s="249"/>
      <c r="G150" s="199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00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00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51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52"/>
      <c r="J156" s="342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51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56"/>
      <c r="D161" s="246"/>
      <c r="E161" s="249"/>
      <c r="F161" s="249"/>
      <c r="G161" s="202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56"/>
      <c r="D162" s="248"/>
      <c r="E162" s="249"/>
      <c r="F162" s="249"/>
      <c r="G162" s="199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47"/>
      <c r="D163" s="248"/>
      <c r="E163" s="249"/>
      <c r="F163" s="249"/>
      <c r="G163" s="255"/>
      <c r="H163" s="251"/>
      <c r="I163" s="222"/>
      <c r="J163" s="343"/>
      <c r="K163" s="248"/>
      <c r="L163" s="253"/>
      <c r="M163" s="254"/>
      <c r="N163" s="259"/>
    </row>
    <row r="164" spans="2:14" x14ac:dyDescent="0.2">
      <c r="B164" s="246"/>
      <c r="C164" s="247"/>
      <c r="D164" s="248"/>
      <c r="E164" s="249"/>
      <c r="F164" s="249"/>
      <c r="G164" s="255"/>
      <c r="H164" s="200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00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56"/>
      <c r="D168" s="248"/>
      <c r="E168" s="249"/>
      <c r="F168" s="249"/>
      <c r="G168" s="199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56"/>
      <c r="D173" s="248"/>
      <c r="E173" s="249"/>
      <c r="F173" s="249"/>
      <c r="G173" s="199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56"/>
      <c r="D177" s="248"/>
      <c r="E177" s="249"/>
      <c r="F177" s="249"/>
      <c r="G177" s="199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56"/>
      <c r="D182" s="248"/>
      <c r="E182" s="249"/>
      <c r="F182" s="249"/>
      <c r="G182" s="199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56"/>
      <c r="D190" s="248"/>
      <c r="E190" s="249"/>
      <c r="F190" s="249"/>
      <c r="G190" s="199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04"/>
      <c r="M193" s="254"/>
      <c r="N193" s="259"/>
    </row>
    <row r="194" spans="2:14" x14ac:dyDescent="0.2">
      <c r="B194" s="246"/>
      <c r="C194" s="247"/>
      <c r="D194" s="248"/>
      <c r="E194" s="249"/>
      <c r="F194" s="249"/>
      <c r="G194" s="255"/>
      <c r="H194" s="251"/>
      <c r="I194" s="222"/>
      <c r="J194" s="343"/>
      <c r="K194" s="248"/>
      <c r="L194" s="253"/>
      <c r="M194" s="254"/>
      <c r="N194" s="259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53"/>
      <c r="M195" s="254"/>
      <c r="N195" s="204"/>
    </row>
    <row r="196" spans="2:14" x14ac:dyDescent="0.2">
      <c r="B196" s="246"/>
      <c r="C196" s="256"/>
      <c r="D196" s="248"/>
      <c r="E196" s="249"/>
      <c r="F196" s="249"/>
      <c r="G196" s="199"/>
      <c r="H196" s="245"/>
      <c r="I196" s="223"/>
      <c r="J196" s="344"/>
      <c r="K196" s="248"/>
      <c r="L196" s="253"/>
      <c r="M196" s="254"/>
      <c r="N196" s="204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04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04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53"/>
      <c r="M204" s="254"/>
      <c r="N204" s="204"/>
    </row>
    <row r="205" spans="2:14" x14ac:dyDescent="0.2">
      <c r="B205" s="246"/>
      <c r="C205" s="256"/>
      <c r="D205" s="248"/>
      <c r="E205" s="249"/>
      <c r="F205" s="249"/>
      <c r="G205" s="199"/>
      <c r="H205" s="245"/>
      <c r="I205" s="223"/>
      <c r="J205" s="344"/>
      <c r="K205" s="248"/>
      <c r="L205" s="253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04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04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56"/>
      <c r="D211" s="248"/>
      <c r="E211" s="249"/>
      <c r="F211" s="249"/>
      <c r="G211" s="199"/>
      <c r="H211" s="245"/>
      <c r="I211" s="223"/>
      <c r="J211" s="344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53"/>
      <c r="M215" s="254"/>
      <c r="N215" s="204"/>
    </row>
    <row r="216" spans="2:14" x14ac:dyDescent="0.2">
      <c r="B216" s="246"/>
      <c r="C216" s="256"/>
      <c r="D216" s="248"/>
      <c r="E216" s="249"/>
      <c r="F216" s="249"/>
      <c r="G216" s="199"/>
      <c r="H216" s="245"/>
      <c r="I216" s="223"/>
      <c r="J216" s="344"/>
      <c r="K216" s="248"/>
      <c r="L216" s="253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04"/>
      <c r="M217" s="254"/>
      <c r="N217" s="204"/>
    </row>
    <row r="218" spans="2:14" x14ac:dyDescent="0.2">
      <c r="B218" s="246"/>
      <c r="C218" s="247"/>
      <c r="D218" s="246"/>
      <c r="E218" s="249"/>
      <c r="F218" s="249"/>
      <c r="G218" s="262"/>
      <c r="H218" s="200"/>
      <c r="I218" s="222"/>
      <c r="J218" s="343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6"/>
      <c r="E222" s="249"/>
      <c r="F222" s="249"/>
      <c r="G222" s="262"/>
      <c r="H222" s="200"/>
      <c r="I222" s="222"/>
      <c r="J222" s="343"/>
      <c r="K222" s="248"/>
      <c r="L222" s="204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56"/>
      <c r="D227" s="248"/>
      <c r="E227" s="249"/>
      <c r="F227" s="249"/>
      <c r="G227" s="262"/>
      <c r="H227" s="264"/>
      <c r="I227" s="261"/>
      <c r="J227" s="345"/>
      <c r="K227" s="248"/>
      <c r="L227" s="253"/>
      <c r="M227" s="254"/>
      <c r="N227" s="204"/>
    </row>
    <row r="228" spans="2:14" x14ac:dyDescent="0.2">
      <c r="B228" s="246"/>
      <c r="C228" s="247"/>
      <c r="D228" s="246"/>
      <c r="E228" s="249"/>
      <c r="F228" s="249"/>
      <c r="G228" s="262"/>
      <c r="H228" s="200"/>
      <c r="I228" s="222"/>
      <c r="J228" s="343"/>
      <c r="K228" s="246"/>
      <c r="L228" s="253"/>
      <c r="M228" s="254"/>
      <c r="N228" s="204"/>
    </row>
    <row r="229" spans="2:14" x14ac:dyDescent="0.2">
      <c r="B229" s="246"/>
      <c r="C229" s="247"/>
      <c r="D229" s="248"/>
      <c r="E229" s="249"/>
      <c r="F229" s="249"/>
      <c r="G229" s="255"/>
      <c r="H229" s="200"/>
      <c r="I229" s="222"/>
      <c r="J229" s="343"/>
      <c r="K229" s="248"/>
      <c r="L229" s="253"/>
      <c r="M229" s="254"/>
      <c r="N229" s="204"/>
    </row>
    <row r="230" spans="2:14" x14ac:dyDescent="0.2">
      <c r="B230" s="246"/>
      <c r="C230" s="247"/>
      <c r="D230" s="248"/>
      <c r="E230" s="249"/>
      <c r="F230" s="249"/>
      <c r="G230" s="255"/>
      <c r="H230" s="200"/>
      <c r="I230" s="222"/>
      <c r="J230" s="343"/>
      <c r="K230" s="248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56"/>
      <c r="D237" s="248"/>
      <c r="E237" s="249"/>
      <c r="F237" s="249"/>
      <c r="G237" s="199"/>
      <c r="H237" s="245"/>
      <c r="I237" s="223"/>
      <c r="J237" s="344"/>
      <c r="K237" s="248"/>
      <c r="L237" s="253"/>
      <c r="M237" s="254"/>
      <c r="N237" s="204"/>
    </row>
    <row r="238" spans="2:14" x14ac:dyDescent="0.2">
      <c r="B238" s="246"/>
      <c r="C238" s="256"/>
      <c r="D238" s="248"/>
      <c r="E238" s="249"/>
      <c r="F238" s="249"/>
      <c r="G238" s="199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47"/>
      <c r="D239" s="248"/>
      <c r="E239" s="249"/>
      <c r="F239" s="249"/>
      <c r="G239" s="255"/>
      <c r="H239" s="200"/>
      <c r="I239" s="222"/>
      <c r="J239" s="343"/>
      <c r="K239" s="248"/>
      <c r="L239" s="204"/>
      <c r="M239" s="254"/>
      <c r="N239" s="204"/>
    </row>
    <row r="240" spans="2:14" x14ac:dyDescent="0.2">
      <c r="B240" s="246"/>
      <c r="C240" s="247"/>
      <c r="D240" s="248"/>
      <c r="E240" s="249"/>
      <c r="F240" s="249"/>
      <c r="G240" s="255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56"/>
      <c r="D261" s="248"/>
      <c r="E261" s="249"/>
      <c r="F261" s="249"/>
      <c r="G261" s="262"/>
      <c r="H261" s="200"/>
      <c r="I261" s="222"/>
      <c r="J261" s="343"/>
      <c r="K261" s="246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63"/>
      <c r="L262" s="253"/>
      <c r="M262" s="254"/>
      <c r="N262" s="204"/>
    </row>
    <row r="263" spans="2:14" x14ac:dyDescent="0.2">
      <c r="B263" s="246"/>
      <c r="C263" s="256"/>
      <c r="D263" s="246"/>
      <c r="E263" s="249"/>
      <c r="F263" s="249"/>
      <c r="G263" s="202"/>
      <c r="H263" s="200"/>
      <c r="I263" s="222"/>
      <c r="J263" s="343"/>
      <c r="K263" s="263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46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48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8"/>
      <c r="L266" s="253"/>
      <c r="M266" s="254"/>
      <c r="N266" s="204"/>
    </row>
    <row r="267" spans="2:14" x14ac:dyDescent="0.2">
      <c r="B267" s="246"/>
      <c r="C267" s="247"/>
      <c r="D267" s="246"/>
      <c r="E267" s="249"/>
      <c r="F267" s="249"/>
      <c r="G267" s="262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56"/>
      <c r="D268" s="248"/>
      <c r="E268" s="249"/>
      <c r="F268" s="249"/>
      <c r="G268" s="199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8"/>
      <c r="E269" s="249"/>
      <c r="F269" s="249"/>
      <c r="G269" s="255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8"/>
      <c r="E270" s="249"/>
      <c r="F270" s="249"/>
      <c r="G270" s="255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56"/>
      <c r="D273" s="246"/>
      <c r="E273" s="249"/>
      <c r="F273" s="249"/>
      <c r="G273" s="202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56"/>
      <c r="D274" s="246"/>
      <c r="E274" s="249"/>
      <c r="F274" s="249"/>
      <c r="G274" s="262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47"/>
      <c r="D275" s="248"/>
      <c r="E275" s="249"/>
      <c r="F275" s="249"/>
      <c r="G275" s="255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47"/>
      <c r="D276" s="248"/>
      <c r="E276" s="249"/>
      <c r="F276" s="249"/>
      <c r="G276" s="255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56"/>
      <c r="D278" s="248"/>
      <c r="E278" s="249"/>
      <c r="F278" s="249"/>
      <c r="G278" s="199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6"/>
      <c r="E279" s="249"/>
      <c r="F279" s="249"/>
      <c r="G279" s="262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8"/>
      <c r="E280" s="249"/>
      <c r="F280" s="249"/>
      <c r="G280" s="255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56"/>
      <c r="D281" s="246"/>
      <c r="E281" s="249"/>
      <c r="F281" s="249"/>
      <c r="G281" s="20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56"/>
      <c r="D282" s="248"/>
      <c r="E282" s="249"/>
      <c r="F282" s="249"/>
      <c r="G282" s="199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47"/>
      <c r="D283" s="248"/>
      <c r="E283" s="249"/>
      <c r="F283" s="249"/>
      <c r="G283" s="255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47"/>
      <c r="D284" s="246"/>
      <c r="E284" s="249"/>
      <c r="F284" s="249"/>
      <c r="G284" s="262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56"/>
      <c r="D285" s="248"/>
      <c r="E285" s="249"/>
      <c r="F285" s="249"/>
      <c r="G285" s="199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8"/>
      <c r="E286" s="249"/>
      <c r="F286" s="249"/>
      <c r="G286" s="255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8"/>
      <c r="E287" s="249"/>
      <c r="F287" s="249"/>
      <c r="G287" s="255"/>
      <c r="H287" s="203"/>
      <c r="I287" s="224"/>
      <c r="J287" s="346"/>
      <c r="K287" s="265"/>
      <c r="L287" s="253"/>
      <c r="M287" s="254"/>
      <c r="N287" s="266"/>
    </row>
    <row r="288" spans="2:14" x14ac:dyDescent="0.2">
      <c r="B288" s="246"/>
      <c r="C288" s="247"/>
      <c r="D288" s="248"/>
      <c r="E288" s="249"/>
      <c r="F288" s="249"/>
      <c r="G288" s="255"/>
      <c r="H288" s="203"/>
      <c r="I288" s="224"/>
      <c r="J288" s="346"/>
      <c r="K288" s="265"/>
      <c r="L288" s="253"/>
      <c r="M288" s="254"/>
      <c r="N288" s="266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7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7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5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6"/>
      <c r="E302" s="249"/>
      <c r="F302" s="249"/>
      <c r="G302" s="262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5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5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7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7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8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8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7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7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56"/>
      <c r="D375" s="248"/>
      <c r="E375" s="249"/>
      <c r="F375" s="249"/>
      <c r="G375" s="199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56"/>
      <c r="D379" s="248"/>
      <c r="E379" s="249"/>
      <c r="F379" s="249"/>
      <c r="G379" s="199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56"/>
      <c r="D380" s="248"/>
      <c r="E380" s="249"/>
      <c r="F380" s="249"/>
      <c r="G380" s="199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47"/>
      <c r="D382" s="248"/>
      <c r="E382" s="249"/>
      <c r="F382" s="249"/>
      <c r="G382" s="255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47"/>
      <c r="D383" s="248"/>
      <c r="E383" s="249"/>
      <c r="F383" s="249"/>
      <c r="G383" s="255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56"/>
      <c r="D386" s="248"/>
      <c r="E386" s="249"/>
      <c r="F386" s="249"/>
      <c r="G386" s="199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56"/>
      <c r="D391" s="248"/>
      <c r="E391" s="249"/>
      <c r="F391" s="249"/>
      <c r="G391" s="199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56"/>
      <c r="D392" s="248"/>
      <c r="E392" s="249"/>
      <c r="F392" s="249"/>
      <c r="G392" s="199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47"/>
      <c r="D394" s="248"/>
      <c r="E394" s="249"/>
      <c r="F394" s="249"/>
      <c r="G394" s="255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47"/>
      <c r="D395" s="248"/>
      <c r="E395" s="249"/>
      <c r="F395" s="249"/>
      <c r="G395" s="255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6"/>
      <c r="E402" s="249"/>
      <c r="F402" s="249"/>
      <c r="G402" s="262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6"/>
      <c r="E403" s="249"/>
      <c r="F403" s="249"/>
      <c r="G403" s="262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8"/>
      <c r="E404" s="249"/>
      <c r="F404" s="249"/>
      <c r="G404" s="255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8"/>
      <c r="E405" s="249"/>
      <c r="F405" s="249"/>
      <c r="G405" s="255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6"/>
      <c r="E406" s="249"/>
      <c r="F406" s="249"/>
      <c r="G406" s="262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6"/>
      <c r="E407" s="249"/>
      <c r="F407" s="249"/>
      <c r="G407" s="262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56"/>
      <c r="D408" s="248"/>
      <c r="E408" s="249"/>
      <c r="F408" s="249"/>
      <c r="G408" s="199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56"/>
      <c r="D409" s="248"/>
      <c r="E409" s="249"/>
      <c r="F409" s="249"/>
      <c r="G409" s="199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47"/>
      <c r="D411" s="248"/>
      <c r="E411" s="249"/>
      <c r="F411" s="249"/>
      <c r="G411" s="255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47"/>
      <c r="D412" s="248"/>
      <c r="E412" s="249"/>
      <c r="F412" s="249"/>
      <c r="G412" s="255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56"/>
      <c r="D415" s="248"/>
      <c r="E415" s="249"/>
      <c r="F415" s="249"/>
      <c r="G415" s="199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6"/>
      <c r="E422" s="249"/>
      <c r="F422" s="249"/>
      <c r="G422" s="262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5"/>
      <c r="L428" s="253"/>
      <c r="M428" s="254"/>
      <c r="N428" s="266"/>
    </row>
    <row r="429" spans="2:14" x14ac:dyDescent="0.2">
      <c r="B429" s="246"/>
      <c r="C429" s="247"/>
      <c r="D429" s="246"/>
      <c r="E429" s="249"/>
      <c r="F429" s="249"/>
      <c r="G429" s="262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5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6"/>
      <c r="E437" s="249"/>
      <c r="F437" s="249"/>
      <c r="G437" s="262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56"/>
      <c r="D443" s="248"/>
      <c r="E443" s="249"/>
      <c r="F443" s="249"/>
      <c r="G443" s="199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56"/>
      <c r="D446" s="248"/>
      <c r="E446" s="249"/>
      <c r="F446" s="249"/>
      <c r="G446" s="199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69"/>
      <c r="F450" s="269"/>
      <c r="G450" s="270"/>
      <c r="H450" s="271"/>
      <c r="I450" s="272"/>
      <c r="J450" s="347"/>
      <c r="K450" s="267"/>
      <c r="L450" s="253"/>
      <c r="M450" s="254"/>
      <c r="N450" s="266"/>
    </row>
    <row r="451" spans="2:14" x14ac:dyDescent="0.2">
      <c r="B451" s="246"/>
      <c r="C451" s="256"/>
      <c r="D451" s="248"/>
      <c r="E451" s="249"/>
      <c r="F451" s="249"/>
      <c r="G451" s="262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49"/>
      <c r="F452" s="249"/>
      <c r="G452" s="255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199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6"/>
      <c r="E454" s="249"/>
      <c r="F454" s="249"/>
      <c r="G454" s="262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8"/>
      <c r="E455" s="249"/>
      <c r="F455" s="249"/>
      <c r="G455" s="255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8"/>
      <c r="E456" s="249"/>
      <c r="F456" s="249"/>
      <c r="G456" s="255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5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56"/>
      <c r="D466" s="248"/>
      <c r="E466" s="249"/>
      <c r="F466" s="249"/>
      <c r="G466" s="199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6"/>
      <c r="E489" s="249"/>
      <c r="F489" s="249"/>
      <c r="G489" s="262"/>
      <c r="H489" s="203"/>
      <c r="I489" s="224"/>
      <c r="J489" s="346"/>
      <c r="K489" s="265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5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7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7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5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5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7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7"/>
      <c r="L501" s="253"/>
      <c r="M501" s="254"/>
      <c r="N501" s="266"/>
    </row>
    <row r="502" spans="2:14" x14ac:dyDescent="0.2">
      <c r="B502" s="246"/>
      <c r="C502" s="256"/>
      <c r="D502" s="248"/>
      <c r="E502" s="249"/>
      <c r="F502" s="249"/>
      <c r="G502" s="199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5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8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6"/>
      <c r="E522" s="249"/>
      <c r="F522" s="273"/>
      <c r="G522" s="262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56"/>
      <c r="D526" s="248"/>
      <c r="E526" s="249"/>
      <c r="F526" s="249"/>
      <c r="G526" s="199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47"/>
      <c r="D530" s="248"/>
      <c r="E530" s="249"/>
      <c r="F530" s="249"/>
      <c r="G530" s="255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47"/>
      <c r="D531" s="248"/>
      <c r="E531" s="249"/>
      <c r="F531" s="249"/>
      <c r="G531" s="255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6"/>
      <c r="E539" s="249"/>
      <c r="F539" s="249"/>
      <c r="G539" s="262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56"/>
      <c r="D542" s="248"/>
      <c r="E542" s="249"/>
      <c r="F542" s="249"/>
      <c r="G542" s="199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6"/>
      <c r="E545" s="249"/>
      <c r="F545" s="249"/>
      <c r="G545" s="262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56"/>
      <c r="D548" s="248"/>
      <c r="E548" s="249"/>
      <c r="F548" s="249"/>
      <c r="G548" s="199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6"/>
      <c r="E557" s="249"/>
      <c r="F557" s="249"/>
      <c r="G557" s="262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56"/>
      <c r="D565" s="246"/>
      <c r="E565" s="249"/>
      <c r="F565" s="249"/>
      <c r="G565" s="202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56"/>
      <c r="D571" s="246"/>
      <c r="E571" s="249"/>
      <c r="F571" s="249"/>
      <c r="G571" s="202"/>
      <c r="H571" s="203"/>
      <c r="I571" s="224"/>
      <c r="J571" s="346"/>
      <c r="K571" s="265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8"/>
      <c r="E573" s="249"/>
      <c r="F573" s="249"/>
      <c r="G573" s="199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56"/>
      <c r="D576" s="248"/>
      <c r="E576" s="249"/>
      <c r="F576" s="249"/>
      <c r="G576" s="199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56"/>
      <c r="D577" s="248"/>
      <c r="E577" s="249"/>
      <c r="F577" s="249"/>
      <c r="G577" s="199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47"/>
      <c r="D579" s="248"/>
      <c r="E579" s="249"/>
      <c r="F579" s="249"/>
      <c r="G579" s="255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47"/>
      <c r="D580" s="248"/>
      <c r="E580" s="249"/>
      <c r="F580" s="249"/>
      <c r="G580" s="255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56"/>
      <c r="D581" s="248"/>
      <c r="E581" s="249"/>
      <c r="F581" s="249"/>
      <c r="G581" s="199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56"/>
      <c r="D584" s="248"/>
      <c r="E584" s="249"/>
      <c r="F584" s="249"/>
      <c r="G584" s="199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6"/>
      <c r="E593" s="249"/>
      <c r="F593" s="249"/>
      <c r="G593" s="262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56"/>
      <c r="D598" s="248"/>
      <c r="E598" s="249"/>
      <c r="F598" s="249"/>
      <c r="G598" s="199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56"/>
      <c r="D603" s="246"/>
      <c r="E603" s="249"/>
      <c r="F603" s="249"/>
      <c r="G603" s="202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56"/>
      <c r="D609" s="248"/>
      <c r="E609" s="249"/>
      <c r="F609" s="249"/>
      <c r="G609" s="199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56"/>
      <c r="D610" s="248"/>
      <c r="E610" s="249"/>
      <c r="F610" s="249"/>
      <c r="G610" s="199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47"/>
      <c r="D612" s="248"/>
      <c r="E612" s="249"/>
      <c r="F612" s="249"/>
      <c r="G612" s="255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47"/>
      <c r="D613" s="248"/>
      <c r="E613" s="249"/>
      <c r="F613" s="249"/>
      <c r="G613" s="255"/>
      <c r="H613" s="203"/>
      <c r="I613" s="224"/>
      <c r="J613" s="346"/>
      <c r="K613" s="265"/>
      <c r="L613" s="253"/>
      <c r="M613" s="254"/>
      <c r="N613" s="266"/>
    </row>
    <row r="614" spans="2:14" x14ac:dyDescent="0.2">
      <c r="B614" s="246"/>
      <c r="C614" s="256"/>
      <c r="D614" s="248"/>
      <c r="E614" s="249"/>
      <c r="F614" s="249"/>
      <c r="G614" s="199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6"/>
      <c r="E615" s="249"/>
      <c r="F615" s="249"/>
      <c r="G615" s="262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8"/>
      <c r="E616" s="249"/>
      <c r="F616" s="249"/>
      <c r="G616" s="255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8"/>
      <c r="E617" s="249"/>
      <c r="F617" s="249"/>
      <c r="G617" s="255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5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56"/>
      <c r="D622" s="246"/>
      <c r="E622" s="249"/>
      <c r="F622" s="249"/>
      <c r="G622" s="202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56"/>
      <c r="D633" s="248"/>
      <c r="E633" s="249"/>
      <c r="F633" s="249"/>
      <c r="G633" s="199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5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56"/>
      <c r="D640" s="248"/>
      <c r="E640" s="249"/>
      <c r="F640" s="249"/>
      <c r="G640" s="199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56"/>
      <c r="D641" s="248"/>
      <c r="E641" s="249"/>
      <c r="F641" s="249"/>
      <c r="G641" s="199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47"/>
      <c r="D642" s="248"/>
      <c r="E642" s="249"/>
      <c r="F642" s="249"/>
      <c r="G642" s="255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47"/>
      <c r="D643" s="248"/>
      <c r="E643" s="249"/>
      <c r="F643" s="249"/>
      <c r="G643" s="255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56"/>
      <c r="D656" s="248"/>
      <c r="E656" s="249"/>
      <c r="F656" s="249"/>
      <c r="G656" s="199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56"/>
      <c r="D672" s="248"/>
      <c r="E672" s="249"/>
      <c r="F672" s="249"/>
      <c r="G672" s="199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6"/>
      <c r="E676" s="249"/>
      <c r="F676" s="249"/>
      <c r="G676" s="262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56"/>
      <c r="D681" s="248"/>
      <c r="E681" s="249"/>
      <c r="F681" s="249"/>
      <c r="G681" s="199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6"/>
      <c r="E684" s="249"/>
      <c r="F684" s="249"/>
      <c r="G684" s="262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5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5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7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7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56"/>
      <c r="D700" s="246"/>
      <c r="E700" s="249"/>
      <c r="F700" s="249"/>
      <c r="G700" s="202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56"/>
      <c r="D704" s="248"/>
      <c r="E704" s="249"/>
      <c r="F704" s="249"/>
      <c r="G704" s="199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56"/>
      <c r="D705" s="248"/>
      <c r="E705" s="249"/>
      <c r="F705" s="249"/>
      <c r="G705" s="199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47"/>
      <c r="D706" s="248"/>
      <c r="E706" s="249"/>
      <c r="F706" s="249"/>
      <c r="G706" s="255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5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5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56"/>
      <c r="D725" s="248"/>
      <c r="E725" s="249"/>
      <c r="F725" s="249"/>
      <c r="G725" s="199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56"/>
      <c r="D739" s="248"/>
      <c r="E739" s="249"/>
      <c r="F739" s="249"/>
      <c r="G739" s="199"/>
      <c r="H739" s="203"/>
      <c r="I739" s="224"/>
      <c r="J739" s="346"/>
      <c r="K739" s="267"/>
      <c r="L739" s="253"/>
      <c r="M739" s="254"/>
      <c r="N739" s="274"/>
    </row>
    <row r="740" spans="2:14" x14ac:dyDescent="0.2">
      <c r="B740" s="246"/>
      <c r="C740" s="256"/>
      <c r="D740" s="246"/>
      <c r="E740" s="249"/>
      <c r="F740" s="249"/>
      <c r="G740" s="202"/>
      <c r="H740" s="203"/>
      <c r="I740" s="224"/>
      <c r="J740" s="346"/>
      <c r="K740" s="267"/>
      <c r="L740" s="253"/>
      <c r="M740" s="254"/>
      <c r="N740" s="204"/>
    </row>
    <row r="741" spans="2:14" x14ac:dyDescent="0.2">
      <c r="B741" s="246"/>
      <c r="C741" s="247"/>
      <c r="D741" s="248"/>
      <c r="E741" s="249"/>
      <c r="F741" s="249"/>
      <c r="G741" s="255"/>
      <c r="H741" s="203"/>
      <c r="I741" s="224"/>
      <c r="J741" s="346"/>
      <c r="K741" s="267"/>
      <c r="L741" s="253"/>
      <c r="M741" s="254"/>
      <c r="N741" s="204"/>
    </row>
    <row r="742" spans="2:14" x14ac:dyDescent="0.2">
      <c r="B742" s="246"/>
      <c r="C742" s="247"/>
      <c r="D742" s="248"/>
      <c r="E742" s="249"/>
      <c r="F742" s="249"/>
      <c r="G742" s="255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56"/>
      <c r="D744" s="248"/>
      <c r="E744" s="249"/>
      <c r="F744" s="249"/>
      <c r="G744" s="199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5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56"/>
      <c r="D754" s="248"/>
      <c r="E754" s="249"/>
      <c r="F754" s="249"/>
      <c r="G754" s="199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56"/>
      <c r="D755" s="248"/>
      <c r="E755" s="249"/>
      <c r="F755" s="249"/>
      <c r="G755" s="199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47"/>
      <c r="D757" s="248"/>
      <c r="E757" s="249"/>
      <c r="F757" s="249"/>
      <c r="G757" s="255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47"/>
      <c r="D758" s="248"/>
      <c r="E758" s="249"/>
      <c r="F758" s="249"/>
      <c r="G758" s="255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6"/>
      <c r="E759" s="249"/>
      <c r="F759" s="249"/>
      <c r="G759" s="262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6"/>
      <c r="E764" s="249"/>
      <c r="F764" s="249"/>
      <c r="G764" s="262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56"/>
      <c r="D765" s="246"/>
      <c r="E765" s="249"/>
      <c r="F765" s="249"/>
      <c r="G765" s="202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8"/>
      <c r="E766" s="249"/>
      <c r="F766" s="249"/>
      <c r="G766" s="255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8"/>
      <c r="E767" s="249"/>
      <c r="F767" s="249"/>
      <c r="G767" s="255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56"/>
      <c r="D777" s="248"/>
      <c r="E777" s="249"/>
      <c r="F777" s="249"/>
      <c r="G777" s="255"/>
      <c r="H777" s="203"/>
      <c r="I777" s="224"/>
      <c r="J777" s="346"/>
      <c r="K777" s="265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56"/>
      <c r="D781" s="246"/>
      <c r="E781" s="249"/>
      <c r="F781" s="249"/>
      <c r="G781" s="262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56"/>
      <c r="D782" s="246"/>
      <c r="E782" s="249"/>
      <c r="F782" s="249"/>
      <c r="G782" s="262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47"/>
      <c r="D783" s="248"/>
      <c r="E783" s="249"/>
      <c r="F783" s="249"/>
      <c r="G783" s="255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8"/>
      <c r="E784" s="249"/>
      <c r="F784" s="249"/>
      <c r="G784" s="199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8"/>
      <c r="E785" s="249"/>
      <c r="F785" s="249"/>
      <c r="G785" s="199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47"/>
      <c r="D786" s="248"/>
      <c r="E786" s="249"/>
      <c r="F786" s="249"/>
      <c r="G786" s="255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47"/>
      <c r="D787" s="248"/>
      <c r="E787" s="249"/>
      <c r="F787" s="249"/>
      <c r="G787" s="255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56"/>
      <c r="D790" s="248"/>
      <c r="E790" s="249"/>
      <c r="F790" s="249"/>
      <c r="G790" s="199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56"/>
      <c r="D791" s="248"/>
      <c r="E791" s="249"/>
      <c r="F791" s="249"/>
      <c r="G791" s="199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47"/>
      <c r="D792" s="248"/>
      <c r="E792" s="249"/>
      <c r="F792" s="249"/>
      <c r="G792" s="255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47"/>
      <c r="D793" s="248"/>
      <c r="E793" s="249"/>
      <c r="F793" s="249"/>
      <c r="G793" s="255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5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6"/>
      <c r="E801" s="249"/>
      <c r="F801" s="249"/>
      <c r="G801" s="262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5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6"/>
      <c r="E804" s="249"/>
      <c r="F804" s="249"/>
      <c r="G804" s="262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56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6"/>
      <c r="E807" s="249"/>
      <c r="F807" s="249"/>
      <c r="G807" s="262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56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56"/>
      <c r="D825" s="248"/>
      <c r="E825" s="249"/>
      <c r="F825" s="249"/>
      <c r="G825" s="199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6"/>
      <c r="E836" s="249"/>
      <c r="F836" s="249"/>
      <c r="G836" s="262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5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6"/>
      <c r="E845" s="249"/>
      <c r="F845" s="249"/>
      <c r="G845" s="262"/>
      <c r="H845" s="203"/>
      <c r="I845" s="224"/>
      <c r="J845" s="346"/>
      <c r="K845" s="265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8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8"/>
      <c r="L854" s="253"/>
      <c r="M854" s="254"/>
      <c r="N854" s="204"/>
    </row>
    <row r="855" spans="2:14" x14ac:dyDescent="0.2">
      <c r="B855" s="246"/>
      <c r="C855" s="256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7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7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56"/>
      <c r="D867" s="248"/>
      <c r="E867" s="249"/>
      <c r="F867" s="249"/>
      <c r="G867" s="199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56"/>
      <c r="D868" s="248"/>
      <c r="E868" s="249"/>
      <c r="F868" s="249"/>
      <c r="G868" s="199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47"/>
      <c r="D869" s="248"/>
      <c r="E869" s="249"/>
      <c r="F869" s="249"/>
      <c r="G869" s="255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47"/>
      <c r="D870" s="248"/>
      <c r="E870" s="249"/>
      <c r="F870" s="249"/>
      <c r="G870" s="255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56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56"/>
      <c r="D877" s="248"/>
      <c r="E877" s="249"/>
      <c r="F877" s="249"/>
      <c r="G877" s="199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75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6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56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56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47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47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56"/>
      <c r="D897" s="248"/>
      <c r="E897" s="249"/>
      <c r="F897" s="249"/>
      <c r="G897" s="199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8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199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199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47"/>
      <c r="D906" s="248"/>
      <c r="E906" s="249"/>
      <c r="F906" s="249"/>
      <c r="G906" s="255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47"/>
      <c r="D907" s="248"/>
      <c r="E907" s="249"/>
      <c r="F907" s="249"/>
      <c r="G907" s="255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56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56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47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199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47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199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47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47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47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56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47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199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47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47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56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199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199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199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255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255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199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199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199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199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255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199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199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199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199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199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6"/>
      <c r="E1013" s="249"/>
      <c r="F1013" s="249"/>
      <c r="G1013" s="262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6"/>
      <c r="E1014" s="249"/>
      <c r="F1014" s="249"/>
      <c r="G1014" s="262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8"/>
      <c r="E1015" s="249"/>
      <c r="F1015" s="249"/>
      <c r="G1015" s="255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8"/>
      <c r="E1016" s="249"/>
      <c r="F1016" s="249"/>
      <c r="G1016" s="20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5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02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02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6"/>
      <c r="E1047" s="249"/>
      <c r="F1047" s="249"/>
      <c r="G1047" s="262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6"/>
      <c r="E1060" s="249"/>
      <c r="F1060" s="249"/>
      <c r="G1060" s="262"/>
      <c r="H1060" s="203"/>
      <c r="I1060" s="224"/>
      <c r="J1060" s="346"/>
      <c r="K1060" s="265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04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199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6"/>
      <c r="E1088" s="276"/>
      <c r="F1088" s="276"/>
      <c r="G1088" s="206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255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255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6"/>
      <c r="E1096" s="249"/>
      <c r="F1096" s="249"/>
      <c r="G1096" s="206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199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199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199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199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04"/>
      <c r="M1117" s="254"/>
      <c r="N1117" s="204"/>
    </row>
    <row r="1118" spans="2:14" x14ac:dyDescent="0.2">
      <c r="B1118" s="246"/>
      <c r="C1118" s="256"/>
      <c r="D1118" s="246"/>
      <c r="E1118" s="249"/>
      <c r="F1118" s="249"/>
      <c r="G1118" s="206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199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255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6"/>
      <c r="E1127" s="249"/>
      <c r="F1127" s="249"/>
      <c r="G1127" s="207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77"/>
      <c r="D1138" s="277"/>
      <c r="E1138" s="249"/>
      <c r="F1138" s="278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6"/>
      <c r="E1140" s="249"/>
      <c r="F1140" s="249"/>
      <c r="G1140" s="202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5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75"/>
      <c r="L1146" s="253"/>
      <c r="M1146" s="254"/>
      <c r="N1146" s="204"/>
    </row>
    <row r="1147" spans="2:14" x14ac:dyDescent="0.2">
      <c r="B1147" s="246"/>
      <c r="C1147" s="256"/>
      <c r="D1147" s="246"/>
      <c r="E1147" s="249"/>
      <c r="F1147" s="249"/>
      <c r="G1147" s="262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199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62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5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5"/>
    </row>
    <row r="1157" spans="2:14" x14ac:dyDescent="0.2">
      <c r="B1157" s="246"/>
      <c r="C1157" s="256"/>
      <c r="D1157" s="248"/>
      <c r="E1157" s="249"/>
      <c r="F1157" s="249"/>
      <c r="G1157" s="199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6"/>
      <c r="E1162" s="276"/>
      <c r="F1162" s="276"/>
      <c r="G1162" s="206"/>
      <c r="H1162" s="203"/>
      <c r="I1162" s="224"/>
      <c r="J1162" s="346"/>
      <c r="K1162" s="275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199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199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255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255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75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199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199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199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255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255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255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6"/>
      <c r="E1189" s="249"/>
      <c r="F1189" s="249"/>
      <c r="G1189" s="262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199"/>
      <c r="H1190" s="203"/>
      <c r="I1190" s="224"/>
      <c r="J1190" s="346"/>
      <c r="K1190" s="275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255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255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79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79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199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199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255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255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199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6"/>
      <c r="E1201" s="276"/>
      <c r="F1201" s="276"/>
      <c r="G1201" s="206"/>
      <c r="H1201" s="203"/>
      <c r="I1201" s="224"/>
      <c r="J1201" s="346"/>
      <c r="K1201" s="280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255"/>
      <c r="H1202" s="203"/>
      <c r="I1202" s="224"/>
      <c r="J1202" s="346"/>
      <c r="K1202" s="280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255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199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199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255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6"/>
      <c r="E1209" s="249"/>
      <c r="F1209" s="249"/>
      <c r="G1209" s="206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02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6"/>
      <c r="E1215" s="249"/>
      <c r="F1215" s="249"/>
      <c r="G1215" s="207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76"/>
      <c r="F1217" s="276"/>
      <c r="G1217" s="206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199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199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255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255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199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199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255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255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04"/>
      <c r="M1231" s="254"/>
      <c r="N1231" s="205"/>
    </row>
    <row r="1232" spans="2:14" x14ac:dyDescent="0.2">
      <c r="B1232" s="246"/>
      <c r="C1232" s="281"/>
      <c r="D1232" s="282"/>
      <c r="E1232" s="276"/>
      <c r="F1232" s="276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199"/>
      <c r="H1234" s="203"/>
      <c r="I1234" s="224"/>
      <c r="J1234" s="346"/>
      <c r="K1234" s="280"/>
      <c r="L1234" s="204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8"/>
      <c r="I1237" s="222"/>
      <c r="J1237" s="343"/>
      <c r="K1237" s="280"/>
      <c r="L1237" s="253"/>
      <c r="M1237" s="254"/>
      <c r="N1237" s="209"/>
    </row>
    <row r="1238" spans="2:14" x14ac:dyDescent="0.2">
      <c r="B1238" s="246"/>
      <c r="C1238" s="256"/>
      <c r="D1238" s="248"/>
      <c r="E1238" s="249"/>
      <c r="F1238" s="249"/>
      <c r="G1238" s="255"/>
      <c r="H1238" s="208"/>
      <c r="I1238" s="222"/>
      <c r="J1238" s="343"/>
      <c r="K1238" s="280"/>
      <c r="L1238" s="253"/>
      <c r="M1238" s="254"/>
      <c r="N1238" s="209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47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77"/>
      <c r="D1242" s="277"/>
      <c r="E1242" s="278"/>
      <c r="F1242" s="278"/>
      <c r="G1242" s="210"/>
      <c r="H1242" s="208"/>
      <c r="I1242" s="222"/>
      <c r="J1242" s="343"/>
      <c r="K1242" s="283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6"/>
      <c r="E1246" s="249"/>
      <c r="F1246" s="249"/>
      <c r="G1246" s="262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47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06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62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55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55"/>
      <c r="H1254" s="208"/>
      <c r="I1254" s="222"/>
      <c r="J1254" s="343"/>
      <c r="K1254" s="280"/>
      <c r="L1254" s="211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62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47"/>
      <c r="D1256" s="248"/>
      <c r="E1256" s="249"/>
      <c r="F1256" s="249"/>
      <c r="G1256" s="262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55"/>
      <c r="H1257" s="208"/>
      <c r="I1257" s="222"/>
      <c r="J1257" s="343"/>
      <c r="K1257" s="280"/>
      <c r="L1257" s="253"/>
      <c r="M1257" s="254"/>
      <c r="N1257" s="209"/>
    </row>
    <row r="1258" spans="2:14" ht="15" x14ac:dyDescent="0.25">
      <c r="B1258" s="30"/>
      <c r="C1258" s="284"/>
      <c r="D1258" s="109"/>
      <c r="E1258" s="68"/>
      <c r="F1258" s="68"/>
      <c r="G1258" s="285"/>
      <c r="H1258" s="212"/>
      <c r="I1258" s="225"/>
      <c r="J1258" s="348"/>
      <c r="K1258" s="69"/>
      <c r="L1258" s="286"/>
      <c r="M1258" s="116"/>
      <c r="N1258" s="213"/>
    </row>
    <row r="1259" spans="2:14" ht="15" x14ac:dyDescent="0.25">
      <c r="B1259" s="30"/>
      <c r="C1259" s="284"/>
      <c r="D1259" s="109"/>
      <c r="E1259" s="68"/>
      <c r="F1259" s="68"/>
      <c r="G1259" s="285"/>
      <c r="H1259" s="212"/>
      <c r="I1259" s="225"/>
      <c r="J1259" s="348"/>
      <c r="K1259" s="69"/>
      <c r="L1259" s="286"/>
      <c r="M1259" s="116"/>
      <c r="N1259" s="213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7"/>
      <c r="C1261" s="78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7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x14ac:dyDescent="0.2">
      <c r="B1265" s="37"/>
      <c r="C1265" s="287"/>
      <c r="D1265" s="37"/>
      <c r="E1265" s="60"/>
      <c r="F1265" s="60"/>
      <c r="G1265" s="214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78"/>
      <c r="D1266" s="109"/>
      <c r="E1266" s="68"/>
      <c r="F1266" s="68"/>
      <c r="G1266" s="215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284"/>
      <c r="D1267" s="109"/>
      <c r="E1267" s="68"/>
      <c r="F1267" s="68"/>
      <c r="G1267" s="285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284"/>
      <c r="D1268" s="109"/>
      <c r="E1268" s="68"/>
      <c r="F1268" s="68"/>
      <c r="G1268" s="28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66"/>
      <c r="D1269" s="288"/>
      <c r="E1269" s="68"/>
      <c r="F1269" s="68"/>
      <c r="G1269" s="21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0"/>
      <c r="C1270" s="284"/>
      <c r="D1270" s="109"/>
      <c r="E1270" s="68"/>
      <c r="F1270" s="68"/>
      <c r="G1270" s="289"/>
      <c r="H1270" s="216"/>
      <c r="I1270" s="225"/>
      <c r="J1270" s="348"/>
      <c r="K1270" s="69"/>
      <c r="L1270" s="286"/>
      <c r="M1270" s="116"/>
      <c r="N1270" s="213"/>
    </row>
    <row r="1271" spans="2:14" ht="15" x14ac:dyDescent="0.25">
      <c r="B1271" s="30"/>
      <c r="C1271" s="284"/>
      <c r="D1271" s="109"/>
      <c r="E1271" s="68"/>
      <c r="F1271" s="68"/>
      <c r="G1271" s="285"/>
      <c r="H1271" s="216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5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65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65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30"/>
      <c r="C1275" s="78"/>
      <c r="D1275" s="109"/>
      <c r="E1275" s="68"/>
      <c r="F1275" s="68"/>
      <c r="G1275" s="21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78"/>
      <c r="D1281" s="109"/>
      <c r="E1281" s="68"/>
      <c r="F1281" s="68"/>
      <c r="G1281" s="21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78"/>
      <c r="D1282" s="109"/>
      <c r="E1282" s="68"/>
      <c r="F1282" s="68"/>
      <c r="G1282" s="21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284"/>
      <c r="D1283" s="109"/>
      <c r="E1283" s="68"/>
      <c r="F1283" s="68"/>
      <c r="G1283" s="28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284"/>
      <c r="D1284" s="109"/>
      <c r="E1284" s="68"/>
      <c r="F1284" s="68"/>
      <c r="G1284" s="28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30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17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65"/>
      <c r="C1288" s="78"/>
      <c r="D1288" s="109"/>
      <c r="E1288" s="68"/>
      <c r="F1288" s="68"/>
      <c r="G1288" s="21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17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8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17"/>
      <c r="M1294" s="116"/>
      <c r="N1294" s="213"/>
    </row>
    <row r="1295" spans="2:14" ht="15" x14ac:dyDescent="0.25">
      <c r="B1295" s="65"/>
      <c r="C1295" s="78"/>
      <c r="D1295" s="109"/>
      <c r="E1295" s="68"/>
      <c r="F1295" s="68"/>
      <c r="G1295" s="21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78"/>
      <c r="D1296" s="109"/>
      <c r="E1296" s="68"/>
      <c r="F1296" s="68"/>
      <c r="G1296" s="28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30"/>
      <c r="C1297" s="78"/>
      <c r="D1297" s="109"/>
      <c r="E1297" s="68"/>
      <c r="F1297" s="68"/>
      <c r="G1297" s="28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30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17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284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290"/>
      <c r="D1303" s="291"/>
      <c r="E1303" s="292"/>
      <c r="F1303" s="292"/>
      <c r="G1303" s="285"/>
      <c r="H1303" s="216"/>
      <c r="I1303" s="225"/>
      <c r="J1303" s="348"/>
      <c r="K1303" s="69"/>
      <c r="L1303" s="217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84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x14ac:dyDescent="0.2">
      <c r="B1307" s="30"/>
      <c r="C1307" s="78"/>
      <c r="D1307" s="109"/>
      <c r="E1307" s="68"/>
      <c r="F1307" s="68"/>
      <c r="G1307" s="289"/>
      <c r="H1307" s="212"/>
      <c r="I1307" s="225"/>
      <c r="J1307" s="348"/>
      <c r="K1307" s="80"/>
      <c r="L1307" s="286"/>
      <c r="M1307" s="116"/>
      <c r="N1307" s="213"/>
    </row>
    <row r="1308" spans="2:14" ht="15" x14ac:dyDescent="0.25">
      <c r="B1308" s="30"/>
      <c r="C1308" s="284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ht="15" x14ac:dyDescent="0.25">
      <c r="B1309" s="30"/>
      <c r="C1309" s="78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ht="15" x14ac:dyDescent="0.25">
      <c r="B1310" s="30"/>
      <c r="C1310" s="78"/>
      <c r="D1310" s="109"/>
      <c r="E1310" s="68"/>
      <c r="F1310" s="68"/>
      <c r="G1310" s="285"/>
      <c r="H1310" s="216"/>
      <c r="I1310" s="225"/>
      <c r="J1310" s="348"/>
      <c r="K1310" s="69"/>
      <c r="L1310" s="217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65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65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15"/>
      <c r="H1314" s="216"/>
      <c r="I1314" s="225"/>
      <c r="J1314" s="348"/>
      <c r="K1314" s="69"/>
      <c r="L1314" s="217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17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1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30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30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293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65"/>
      <c r="C1336" s="78"/>
      <c r="D1336" s="109"/>
      <c r="E1336" s="68"/>
      <c r="F1336" s="68"/>
      <c r="G1336" s="21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65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15"/>
      <c r="H1345" s="216"/>
      <c r="I1345" s="294"/>
      <c r="J1345" s="349"/>
      <c r="K1345" s="69"/>
      <c r="L1345" s="286"/>
      <c r="M1345" s="116"/>
      <c r="N1345" s="213"/>
    </row>
    <row r="1346" spans="2:14" ht="15" x14ac:dyDescent="0.25">
      <c r="B1346" s="293"/>
      <c r="C1346" s="78"/>
      <c r="D1346" s="109"/>
      <c r="E1346" s="68"/>
      <c r="F1346" s="68"/>
      <c r="G1346" s="215"/>
      <c r="H1346" s="216"/>
      <c r="I1346" s="294"/>
      <c r="J1346" s="349"/>
      <c r="K1346" s="69"/>
      <c r="L1346" s="286"/>
      <c r="M1346" s="116"/>
      <c r="N1346" s="213"/>
    </row>
    <row r="1347" spans="2:14" ht="15" x14ac:dyDescent="0.25">
      <c r="B1347" s="293"/>
      <c r="C1347" s="78"/>
      <c r="D1347" s="109"/>
      <c r="E1347" s="68"/>
      <c r="F1347" s="68"/>
      <c r="G1347" s="28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9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14"/>
      <c r="H1352" s="216"/>
      <c r="I1352" s="294"/>
      <c r="J1352" s="349"/>
      <c r="K1352" s="69"/>
      <c r="L1352" s="286"/>
      <c r="M1352" s="116"/>
      <c r="N1352" s="213"/>
    </row>
    <row r="1353" spans="2:14" x14ac:dyDescent="0.2">
      <c r="B1353" s="293"/>
      <c r="C1353" s="78"/>
      <c r="D1353" s="109"/>
      <c r="E1353" s="68"/>
      <c r="F1353" s="68"/>
      <c r="G1353" s="289"/>
      <c r="H1353" s="212"/>
      <c r="I1353" s="225"/>
      <c r="J1353" s="348"/>
      <c r="K1353" s="80"/>
      <c r="L1353" s="217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89"/>
      <c r="H1354" s="216"/>
      <c r="I1354" s="294"/>
      <c r="J1354" s="349"/>
      <c r="K1354" s="69"/>
      <c r="L1354" s="286"/>
      <c r="M1354" s="116"/>
      <c r="N1354" s="213"/>
    </row>
    <row r="1355" spans="2:14" ht="15" x14ac:dyDescent="0.25">
      <c r="B1355" s="65"/>
      <c r="C1355" s="290"/>
      <c r="D1355" s="291"/>
      <c r="E1355" s="295"/>
      <c r="F1355" s="296"/>
      <c r="G1355" s="297"/>
      <c r="H1355" s="216"/>
      <c r="I1355" s="294"/>
      <c r="J1355" s="349"/>
      <c r="K1355" s="69"/>
      <c r="L1355" s="286"/>
      <c r="M1355" s="116"/>
      <c r="N1355" s="213"/>
    </row>
    <row r="1356" spans="2:14" ht="15" x14ac:dyDescent="0.25">
      <c r="B1356" s="65"/>
      <c r="C1356" s="78"/>
      <c r="D1356" s="109"/>
      <c r="E1356" s="68"/>
      <c r="F1356" s="77"/>
      <c r="G1356" s="285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78"/>
      <c r="D1357" s="109"/>
      <c r="E1357" s="68"/>
      <c r="F1357" s="77"/>
      <c r="G1357" s="285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293"/>
      <c r="C1358" s="78"/>
      <c r="D1358" s="109"/>
      <c r="E1358" s="298"/>
      <c r="F1358" s="299"/>
      <c r="G1358" s="300"/>
      <c r="H1358" s="301"/>
      <c r="I1358" s="302"/>
      <c r="J1358" s="350"/>
      <c r="K1358" s="69"/>
      <c r="L1358" s="286"/>
      <c r="M1358" s="116"/>
      <c r="N1358" s="213"/>
    </row>
    <row r="1359" spans="2:14" ht="15" x14ac:dyDescent="0.25">
      <c r="B1359" s="293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15"/>
      <c r="H1361" s="216"/>
      <c r="I1361" s="294"/>
      <c r="J1361" s="349"/>
      <c r="K1361" s="69"/>
      <c r="L1361" s="217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65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65"/>
      <c r="C1364" s="290"/>
      <c r="D1364" s="291"/>
      <c r="E1364" s="292"/>
      <c r="F1364" s="285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66"/>
      <c r="D1365" s="109"/>
      <c r="E1365" s="68"/>
      <c r="F1365" s="77"/>
      <c r="G1365" s="297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78"/>
      <c r="D1366" s="109"/>
      <c r="E1366" s="68"/>
      <c r="F1366" s="77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78"/>
      <c r="D1367" s="109"/>
      <c r="E1367" s="68"/>
      <c r="F1367" s="77"/>
      <c r="G1367" s="289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9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293"/>
      <c r="C1369" s="78"/>
      <c r="D1369" s="109"/>
      <c r="E1369" s="68"/>
      <c r="F1369" s="77"/>
      <c r="G1369" s="285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293"/>
      <c r="C1370" s="78"/>
      <c r="D1370" s="109"/>
      <c r="E1370" s="68"/>
      <c r="F1370" s="77"/>
      <c r="G1370" s="285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66"/>
      <c r="D1373" s="109"/>
      <c r="E1373" s="68"/>
      <c r="F1373" s="77"/>
      <c r="G1373" s="297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1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8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9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91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91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65"/>
      <c r="C1382" s="78"/>
      <c r="D1382" s="109"/>
      <c r="E1382" s="68"/>
      <c r="F1382" s="77"/>
      <c r="G1382" s="21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65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66"/>
      <c r="D1384" s="109"/>
      <c r="E1384" s="68"/>
      <c r="F1384" s="77"/>
      <c r="G1384" s="297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66"/>
      <c r="D1385" s="109"/>
      <c r="E1385" s="68"/>
      <c r="F1385" s="68"/>
      <c r="G1385" s="297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78"/>
      <c r="D1386" s="109"/>
      <c r="E1386" s="68"/>
      <c r="F1386" s="77"/>
      <c r="G1386" s="215"/>
      <c r="H1386" s="216"/>
      <c r="I1386" s="294"/>
      <c r="J1386" s="349"/>
      <c r="K1386" s="69"/>
      <c r="L1386" s="286"/>
      <c r="M1386" s="116"/>
      <c r="N1386" s="213"/>
    </row>
    <row r="1387" spans="2:14" x14ac:dyDescent="0.2">
      <c r="B1387" s="65"/>
      <c r="C1387" s="78"/>
      <c r="D1387" s="109"/>
      <c r="E1387" s="68"/>
      <c r="F1387" s="77"/>
      <c r="G1387" s="303"/>
      <c r="H1387" s="212"/>
      <c r="I1387" s="225"/>
      <c r="J1387" s="348"/>
      <c r="K1387" s="80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85"/>
      <c r="H1388" s="216"/>
      <c r="I1388" s="294"/>
      <c r="J1388" s="349"/>
      <c r="K1388" s="69"/>
      <c r="L1388" s="286"/>
      <c r="M1388" s="116"/>
      <c r="N1388" s="213"/>
    </row>
    <row r="1389" spans="2:14" ht="15" x14ac:dyDescent="0.25">
      <c r="B1389" s="65"/>
      <c r="C1389" s="66"/>
      <c r="D1389" s="109"/>
      <c r="E1389" s="68"/>
      <c r="F1389" s="77"/>
      <c r="G1389" s="297"/>
      <c r="H1389" s="216"/>
      <c r="I1389" s="294"/>
      <c r="J1389" s="349"/>
      <c r="K1389" s="69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66"/>
      <c r="D1392" s="109"/>
      <c r="E1392" s="68"/>
      <c r="F1392" s="77"/>
      <c r="G1392" s="297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66"/>
      <c r="D1393" s="109"/>
      <c r="E1393" s="68"/>
      <c r="F1393" s="77"/>
      <c r="G1393" s="297"/>
      <c r="H1393" s="304"/>
      <c r="I1393" s="226"/>
      <c r="J1393" s="351"/>
      <c r="K1393" s="69"/>
      <c r="L1393" s="286"/>
      <c r="M1393" s="116"/>
      <c r="N1393" s="213"/>
    </row>
    <row r="1394" spans="2:14" ht="15" x14ac:dyDescent="0.25">
      <c r="B1394" s="65"/>
      <c r="C1394" s="290"/>
      <c r="D1394" s="291"/>
      <c r="E1394" s="292"/>
      <c r="F1394" s="305"/>
      <c r="G1394" s="285"/>
      <c r="H1394" s="304"/>
      <c r="I1394" s="226"/>
      <c r="J1394" s="351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91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91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78"/>
      <c r="D1400" s="109"/>
      <c r="E1400" s="68"/>
      <c r="F1400" s="68"/>
      <c r="G1400" s="215"/>
      <c r="H1400" s="216"/>
      <c r="I1400" s="294"/>
      <c r="J1400" s="349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65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65"/>
      <c r="C1411" s="290"/>
      <c r="D1411" s="291"/>
      <c r="E1411" s="292"/>
      <c r="F1411" s="305"/>
      <c r="G1411" s="285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78"/>
      <c r="D1413" s="109"/>
      <c r="E1413" s="68"/>
      <c r="F1413" s="77"/>
      <c r="G1413" s="21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78"/>
      <c r="D1414" s="109"/>
      <c r="E1414" s="68"/>
      <c r="F1414" s="77"/>
      <c r="G1414" s="21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91"/>
      <c r="C1415" s="66"/>
      <c r="D1415" s="109"/>
      <c r="E1415" s="68"/>
      <c r="F1415" s="77"/>
      <c r="G1415" s="297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91"/>
      <c r="C1416" s="66"/>
      <c r="D1416" s="109"/>
      <c r="E1416" s="68"/>
      <c r="F1416" s="77"/>
      <c r="G1416" s="297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68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68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77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6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65"/>
      <c r="C1426" s="66"/>
      <c r="D1426" s="109"/>
      <c r="E1426" s="68"/>
      <c r="F1426" s="77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65"/>
      <c r="C1427" s="66"/>
      <c r="D1427" s="109"/>
      <c r="E1427" s="68"/>
      <c r="F1427" s="77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78"/>
      <c r="D1428" s="109"/>
      <c r="E1428" s="68"/>
      <c r="F1428" s="77"/>
      <c r="G1428" s="215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78"/>
      <c r="D1429" s="109"/>
      <c r="E1429" s="68"/>
      <c r="F1429" s="77"/>
      <c r="G1429" s="215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66"/>
      <c r="D1430" s="109"/>
      <c r="E1430" s="68"/>
      <c r="F1430" s="77"/>
      <c r="G1430" s="297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66"/>
      <c r="D1431" s="109"/>
      <c r="E1431" s="68"/>
      <c r="F1431" s="77"/>
      <c r="G1431" s="297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23"/>
      <c r="D1432" s="37"/>
      <c r="E1432" s="60"/>
      <c r="F1432" s="26"/>
      <c r="G1432" s="26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78"/>
      <c r="D1434" s="109"/>
      <c r="E1434" s="68"/>
      <c r="F1434" s="77"/>
      <c r="G1434" s="306"/>
      <c r="H1434" s="216"/>
      <c r="I1434" s="294"/>
      <c r="J1434" s="349"/>
      <c r="K1434" s="69"/>
      <c r="L1434" s="217"/>
      <c r="M1434" s="116"/>
      <c r="N1434" s="213"/>
    </row>
    <row r="1435" spans="2:14" ht="15" x14ac:dyDescent="0.25">
      <c r="B1435" s="91"/>
      <c r="C1435" s="78"/>
      <c r="D1435" s="109"/>
      <c r="E1435" s="68"/>
      <c r="F1435" s="77"/>
      <c r="G1435" s="303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91"/>
      <c r="C1436" s="66"/>
      <c r="D1436" s="109"/>
      <c r="E1436" s="68"/>
      <c r="F1436" s="77"/>
      <c r="G1436" s="297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91"/>
      <c r="C1437" s="66"/>
      <c r="D1437" s="109"/>
      <c r="E1437" s="68"/>
      <c r="F1437" s="77"/>
      <c r="G1437" s="297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78"/>
      <c r="D1438" s="109"/>
      <c r="E1438" s="68"/>
      <c r="F1438" s="77"/>
      <c r="G1438" s="215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78"/>
      <c r="D1439" s="109"/>
      <c r="E1439" s="68"/>
      <c r="F1439" s="77"/>
      <c r="G1439" s="215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66"/>
      <c r="D1440" s="109"/>
      <c r="E1440" s="68"/>
      <c r="F1440" s="77"/>
      <c r="G1440" s="297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66"/>
      <c r="D1441" s="109"/>
      <c r="E1441" s="68"/>
      <c r="F1441" s="77"/>
      <c r="G1441" s="297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23"/>
      <c r="D1442" s="37"/>
      <c r="E1442" s="60"/>
      <c r="F1442" s="26"/>
      <c r="G1442" s="104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65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65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23"/>
      <c r="D1445" s="291"/>
      <c r="E1445" s="292"/>
      <c r="F1445" s="305"/>
      <c r="G1445" s="285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91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91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80"/>
      <c r="L1448" s="286"/>
      <c r="M1448" s="116"/>
      <c r="N1448" s="213"/>
    </row>
    <row r="1449" spans="2:14" ht="15" x14ac:dyDescent="0.25">
      <c r="B1449" s="91"/>
      <c r="C1449" s="23"/>
      <c r="D1449" s="37"/>
      <c r="E1449" s="60"/>
      <c r="F1449" s="26"/>
      <c r="G1449" s="104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27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78"/>
      <c r="D1452" s="109"/>
      <c r="E1452" s="68"/>
      <c r="F1452" s="77"/>
      <c r="G1452" s="215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6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78"/>
      <c r="D1455" s="109"/>
      <c r="E1455" s="68"/>
      <c r="F1455" s="77"/>
      <c r="G1455" s="215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97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97"/>
      <c r="H1457" s="304"/>
      <c r="I1457" s="226"/>
      <c r="J1457" s="351"/>
      <c r="K1457" s="291"/>
      <c r="L1457" s="286"/>
      <c r="M1457" s="116"/>
      <c r="N1457" s="213"/>
    </row>
    <row r="1458" spans="2:14" ht="15" x14ac:dyDescent="0.25">
      <c r="B1458" s="65"/>
      <c r="C1458" s="66"/>
      <c r="D1458" s="109"/>
      <c r="E1458" s="68"/>
      <c r="F1458" s="77"/>
      <c r="G1458" s="104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65"/>
      <c r="C1459" s="66"/>
      <c r="D1459" s="109"/>
      <c r="E1459" s="68"/>
      <c r="F1459" s="77"/>
      <c r="G1459" s="297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65"/>
      <c r="C1460" s="287"/>
      <c r="D1460" s="287"/>
      <c r="E1460" s="307"/>
      <c r="F1460" s="308"/>
      <c r="G1460" s="308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78"/>
      <c r="D1461" s="109"/>
      <c r="E1461" s="68"/>
      <c r="F1461" s="77"/>
      <c r="G1461" s="215"/>
      <c r="H1461" s="216"/>
      <c r="I1461" s="294"/>
      <c r="J1461" s="349"/>
      <c r="K1461" s="69"/>
      <c r="L1461" s="286"/>
      <c r="M1461" s="116"/>
      <c r="N1461" s="213"/>
    </row>
    <row r="1462" spans="2:14" ht="15" x14ac:dyDescent="0.25">
      <c r="B1462" s="65"/>
      <c r="C1462" s="66"/>
      <c r="D1462" s="109"/>
      <c r="E1462" s="68"/>
      <c r="F1462" s="77"/>
      <c r="G1462" s="297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66"/>
      <c r="D1463" s="109"/>
      <c r="E1463" s="68"/>
      <c r="F1463" s="77"/>
      <c r="G1463" s="297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78"/>
      <c r="D1470" s="109"/>
      <c r="E1470" s="68"/>
      <c r="F1470" s="77"/>
      <c r="G1470" s="309"/>
      <c r="H1470" s="216"/>
      <c r="I1470" s="294"/>
      <c r="J1470" s="349"/>
      <c r="K1470" s="69"/>
      <c r="L1470" s="217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310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310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2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2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311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297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91"/>
      <c r="C1479" s="78"/>
      <c r="D1479" s="109"/>
      <c r="E1479" s="68"/>
      <c r="F1479" s="77"/>
      <c r="G1479" s="312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297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65"/>
      <c r="C1486" s="78"/>
      <c r="D1486" s="109"/>
      <c r="E1486" s="68"/>
      <c r="F1486" s="77"/>
      <c r="G1486" s="312"/>
      <c r="H1486" s="313"/>
      <c r="I1486" s="314"/>
      <c r="J1486" s="353"/>
      <c r="K1486" s="69"/>
      <c r="L1486" s="286"/>
      <c r="M1486" s="116"/>
      <c r="N1486" s="213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78"/>
      <c r="D1492" s="109"/>
      <c r="E1492" s="68"/>
      <c r="F1492" s="77"/>
      <c r="G1492" s="312"/>
      <c r="H1492" s="313"/>
      <c r="I1492" s="314"/>
      <c r="J1492" s="353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78"/>
      <c r="D1495" s="109"/>
      <c r="E1495" s="68"/>
      <c r="F1495" s="77"/>
      <c r="G1495" s="312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65"/>
      <c r="C1498" s="78"/>
      <c r="D1498" s="109"/>
      <c r="E1498" s="68"/>
      <c r="F1498" s="77"/>
      <c r="G1498" s="312"/>
      <c r="H1498" s="313"/>
      <c r="I1498" s="314"/>
      <c r="J1498" s="353"/>
      <c r="K1498" s="69"/>
      <c r="L1498" s="217"/>
      <c r="M1498" s="116"/>
      <c r="N1498" s="213"/>
    </row>
    <row r="1499" spans="2:14" ht="15.75" x14ac:dyDescent="0.25">
      <c r="B1499" s="315"/>
      <c r="C1499" s="78"/>
      <c r="D1499" s="109"/>
      <c r="E1499" s="68"/>
      <c r="F1499" s="77"/>
      <c r="G1499" s="312"/>
      <c r="H1499" s="313"/>
      <c r="I1499" s="314"/>
      <c r="J1499" s="353"/>
      <c r="K1499" s="69"/>
      <c r="L1499" s="217"/>
      <c r="M1499" s="116"/>
      <c r="N1499" s="213"/>
    </row>
    <row r="1500" spans="2:14" ht="15.75" x14ac:dyDescent="0.25">
      <c r="B1500" s="316"/>
      <c r="C1500" s="66"/>
      <c r="D1500" s="109"/>
      <c r="E1500" s="68"/>
      <c r="F1500" s="77"/>
      <c r="G1500" s="104"/>
      <c r="H1500" s="121"/>
      <c r="I1500" s="107"/>
      <c r="J1500" s="352"/>
      <c r="K1500" s="69"/>
      <c r="L1500" s="126"/>
      <c r="M1500" s="116"/>
      <c r="N1500" s="218"/>
    </row>
    <row r="1501" spans="2:14" ht="15.75" x14ac:dyDescent="0.25">
      <c r="B1501" s="316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126"/>
      <c r="M1501" s="116"/>
      <c r="N1501" s="218"/>
    </row>
    <row r="1502" spans="2:14" ht="15.75" x14ac:dyDescent="0.25">
      <c r="B1502" s="315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217"/>
      <c r="M1502" s="116"/>
      <c r="N1502" s="213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2"/>
      <c r="K1503" s="69"/>
      <c r="L1503" s="126"/>
      <c r="M1503" s="116"/>
      <c r="N1503" s="218"/>
    </row>
    <row r="1504" spans="2:14" ht="15" x14ac:dyDescent="0.25">
      <c r="B1504" s="91"/>
      <c r="C1504" s="317"/>
      <c r="D1504" s="65"/>
      <c r="E1504" s="68"/>
      <c r="F1504" s="117"/>
      <c r="G1504" s="117"/>
      <c r="H1504" s="121"/>
      <c r="I1504" s="107"/>
      <c r="J1504" s="352"/>
      <c r="K1504" s="69"/>
      <c r="L1504" s="126"/>
      <c r="M1504" s="116"/>
      <c r="N1504" s="218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3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3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78"/>
      <c r="D1510" s="109"/>
      <c r="E1510" s="68"/>
      <c r="F1510" s="77"/>
      <c r="G1510" s="312"/>
      <c r="H1510" s="313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78"/>
      <c r="D1511" s="109"/>
      <c r="E1511" s="68"/>
      <c r="F1511" s="77"/>
      <c r="G1511" s="312"/>
      <c r="H1511" s="313"/>
      <c r="I1511" s="314"/>
      <c r="J1511" s="353"/>
      <c r="K1511" s="69"/>
      <c r="L1511" s="126"/>
      <c r="M1511" s="116"/>
      <c r="N1511" s="213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217"/>
      <c r="M1514" s="116"/>
      <c r="N1514" s="213"/>
    </row>
    <row r="1515" spans="2:14" ht="15" x14ac:dyDescent="0.25">
      <c r="B1515" s="65"/>
      <c r="C1515" s="78"/>
      <c r="D1515" s="109"/>
      <c r="E1515" s="68"/>
      <c r="F1515" s="77"/>
      <c r="G1515" s="312"/>
      <c r="H1515" s="313"/>
      <c r="I1515" s="314"/>
      <c r="J1515" s="353"/>
      <c r="K1515" s="69"/>
      <c r="L1515" s="217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107"/>
      <c r="J1517" s="352"/>
      <c r="K1517" s="69"/>
      <c r="L1517" s="286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314"/>
      <c r="J1518" s="353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314"/>
      <c r="J1519" s="353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2"/>
      <c r="K1524" s="69"/>
      <c r="L1524" s="126"/>
      <c r="M1524" s="116"/>
      <c r="N1524" s="218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2"/>
      <c r="K1525" s="69"/>
      <c r="L1525" s="126"/>
      <c r="M1525" s="116"/>
      <c r="N1525" s="218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80"/>
      <c r="L1526" s="126"/>
      <c r="M1526" s="117"/>
      <c r="N1526" s="218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2"/>
      <c r="K1527" s="80"/>
      <c r="L1527" s="126"/>
      <c r="M1527" s="116"/>
      <c r="N1527" s="218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2"/>
      <c r="K1528" s="69"/>
      <c r="L1528" s="126"/>
      <c r="M1528" s="116"/>
      <c r="N1528" s="218"/>
    </row>
    <row r="1529" spans="2:14" ht="15" x14ac:dyDescent="0.25">
      <c r="B1529" s="37"/>
      <c r="C1529" s="317"/>
      <c r="D1529" s="65"/>
      <c r="E1529" s="68"/>
      <c r="F1529" s="117"/>
      <c r="G1529" s="117"/>
      <c r="H1529" s="121"/>
      <c r="I1529" s="107"/>
      <c r="J1529" s="352"/>
      <c r="K1529" s="69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65"/>
      <c r="C1536" s="78"/>
      <c r="D1536" s="109"/>
      <c r="E1536" s="68"/>
      <c r="F1536" s="77"/>
      <c r="G1536" s="312"/>
      <c r="H1536" s="313"/>
      <c r="I1536" s="314"/>
      <c r="J1536" s="353"/>
      <c r="K1536" s="69"/>
      <c r="L1536" s="217"/>
      <c r="M1536" s="116"/>
      <c r="N1536" s="213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91"/>
      <c r="C1541" s="78"/>
      <c r="D1541" s="109"/>
      <c r="E1541" s="68"/>
      <c r="F1541" s="77"/>
      <c r="G1541" s="312"/>
      <c r="H1541" s="313"/>
      <c r="I1541" s="107"/>
      <c r="J1541" s="352"/>
      <c r="K1541" s="69"/>
      <c r="L1541" s="126"/>
      <c r="M1541" s="116"/>
      <c r="N1541" s="218"/>
    </row>
    <row r="1542" spans="2:14" ht="15" x14ac:dyDescent="0.25">
      <c r="B1542" s="65"/>
      <c r="C1542" s="78"/>
      <c r="D1542" s="109"/>
      <c r="E1542" s="68"/>
      <c r="F1542" s="77"/>
      <c r="G1542" s="312"/>
      <c r="H1542" s="313"/>
      <c r="I1542" s="314"/>
      <c r="J1542" s="353"/>
      <c r="K1542" s="69"/>
      <c r="L1542" s="217"/>
      <c r="M1542" s="116"/>
      <c r="N1542" s="213"/>
    </row>
    <row r="1543" spans="2:14" ht="15" x14ac:dyDescent="0.25">
      <c r="B1543" s="65"/>
      <c r="C1543" s="78"/>
      <c r="D1543" s="109"/>
      <c r="E1543" s="68"/>
      <c r="F1543" s="77"/>
      <c r="G1543" s="312"/>
      <c r="H1543" s="313"/>
      <c r="I1543" s="314"/>
      <c r="J1543" s="353"/>
      <c r="K1543" s="69"/>
      <c r="L1543" s="217"/>
      <c r="M1543" s="116"/>
      <c r="N1543" s="213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2"/>
      <c r="K1547" s="69"/>
      <c r="L1547" s="126"/>
      <c r="M1547" s="116"/>
      <c r="N1547" s="218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2"/>
      <c r="K1548" s="69"/>
      <c r="L1548" s="126"/>
      <c r="M1548" s="116"/>
      <c r="N1548" s="218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65"/>
      <c r="C1551" s="78"/>
      <c r="D1551" s="109"/>
      <c r="E1551" s="68"/>
      <c r="F1551" s="77"/>
      <c r="G1551" s="312"/>
      <c r="H1551" s="313"/>
      <c r="I1551" s="107"/>
      <c r="J1551" s="352"/>
      <c r="K1551" s="69"/>
      <c r="L1551" s="126"/>
      <c r="M1551" s="116"/>
      <c r="N1551" s="218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78"/>
      <c r="D1559" s="109"/>
      <c r="E1559" s="68"/>
      <c r="F1559" s="77"/>
      <c r="G1559" s="312"/>
      <c r="H1559" s="123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78"/>
      <c r="D1560" s="109"/>
      <c r="E1560" s="68"/>
      <c r="F1560" s="77"/>
      <c r="G1560" s="312"/>
      <c r="H1560" s="313"/>
      <c r="I1560" s="314"/>
      <c r="J1560" s="353"/>
      <c r="K1560" s="69"/>
      <c r="L1560" s="217"/>
      <c r="M1560" s="116"/>
      <c r="N1560" s="213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4"/>
      <c r="K1561" s="80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2"/>
      <c r="K1563" s="69"/>
      <c r="L1563" s="126"/>
      <c r="M1563" s="116"/>
      <c r="N1563" s="3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318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2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213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78"/>
      <c r="D1569" s="109"/>
      <c r="E1569" s="68"/>
      <c r="F1569" s="77"/>
      <c r="G1569" s="312"/>
      <c r="H1569" s="313"/>
      <c r="I1569" s="314"/>
      <c r="J1569" s="353"/>
      <c r="K1569" s="69"/>
      <c r="L1569" s="217"/>
      <c r="M1569" s="116"/>
      <c r="N1569" s="213"/>
    </row>
    <row r="1570" spans="2:14" ht="15" x14ac:dyDescent="0.25">
      <c r="B1570" s="65"/>
      <c r="C1570" s="78"/>
      <c r="D1570" s="109"/>
      <c r="E1570" s="68"/>
      <c r="F1570" s="77"/>
      <c r="G1570" s="312"/>
      <c r="H1570" s="313"/>
      <c r="I1570" s="314"/>
      <c r="J1570" s="353"/>
      <c r="K1570" s="69"/>
      <c r="L1570" s="217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2"/>
      <c r="K1573" s="69"/>
      <c r="L1573" s="126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2"/>
      <c r="K1574" s="79"/>
      <c r="L1574" s="126"/>
      <c r="M1574" s="115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79"/>
      <c r="L1577" s="126"/>
      <c r="M1577" s="115"/>
      <c r="N1577" s="218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2"/>
      <c r="H1583" s="313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2"/>
      <c r="H1588" s="313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2"/>
      <c r="H1589" s="313"/>
      <c r="I1589" s="314"/>
      <c r="J1589" s="353"/>
      <c r="K1589" s="69"/>
      <c r="L1589" s="217"/>
      <c r="M1589" s="116"/>
      <c r="N1589" s="213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0"/>
      <c r="M1592" s="116"/>
      <c r="N1592" s="219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2"/>
      <c r="K1596" s="69"/>
      <c r="L1596" s="120"/>
      <c r="M1596" s="116"/>
      <c r="N1596" s="219"/>
    </row>
    <row r="1597" spans="2:14" ht="15" x14ac:dyDescent="0.25">
      <c r="B1597" s="65"/>
      <c r="C1597" s="78"/>
      <c r="D1597" s="109"/>
      <c r="E1597" s="68"/>
      <c r="F1597" s="77"/>
      <c r="G1597" s="312"/>
      <c r="H1597" s="313"/>
      <c r="I1597" s="314"/>
      <c r="J1597" s="353"/>
      <c r="K1597" s="69"/>
      <c r="L1597" s="319"/>
      <c r="M1597" s="116"/>
      <c r="N1597" s="319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118"/>
      <c r="M1600" s="116"/>
      <c r="N1600" s="319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2"/>
      <c r="K1601" s="69"/>
      <c r="L1601" s="118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319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319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2"/>
      <c r="K1605" s="69"/>
      <c r="L1605" s="120"/>
      <c r="M1605" s="116"/>
      <c r="N1605" s="2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120"/>
      <c r="M1606" s="116"/>
      <c r="N1606" s="219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312"/>
      <c r="H1611" s="123"/>
      <c r="I1611" s="107"/>
      <c r="J1611" s="352"/>
      <c r="K1611" s="69"/>
      <c r="L1611" s="120"/>
      <c r="M1611" s="116"/>
      <c r="N1611" s="2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78"/>
      <c r="D1614" s="109"/>
      <c r="E1614" s="68"/>
      <c r="F1614" s="77"/>
      <c r="G1614" s="312"/>
      <c r="H1614" s="313"/>
      <c r="I1614" s="314"/>
      <c r="J1614" s="353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319"/>
      <c r="M1621" s="116"/>
      <c r="N1621" s="319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2"/>
      <c r="K1622" s="69"/>
      <c r="L1622" s="118"/>
      <c r="M1622" s="116"/>
      <c r="N1622" s="319"/>
    </row>
    <row r="1623" spans="2:14" ht="15" x14ac:dyDescent="0.25">
      <c r="B1623" s="65"/>
      <c r="C1623" s="78"/>
      <c r="D1623" s="109"/>
      <c r="E1623" s="68"/>
      <c r="F1623" s="77"/>
      <c r="G1623" s="312"/>
      <c r="H1623" s="313"/>
      <c r="I1623" s="314"/>
      <c r="J1623" s="353"/>
      <c r="K1623" s="69"/>
      <c r="L1623" s="319"/>
      <c r="M1623" s="116"/>
      <c r="N1623" s="319"/>
    </row>
    <row r="1624" spans="2:14" ht="15" x14ac:dyDescent="0.25">
      <c r="B1624" s="65"/>
      <c r="C1624" s="78"/>
      <c r="D1624" s="109"/>
      <c r="E1624" s="68"/>
      <c r="F1624" s="77"/>
      <c r="G1624" s="312"/>
      <c r="H1624" s="313"/>
      <c r="I1624" s="314"/>
      <c r="J1624" s="353"/>
      <c r="K1624" s="69"/>
      <c r="L1624" s="319"/>
      <c r="M1624" s="116"/>
      <c r="N1624" s="319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2"/>
      <c r="K1625" s="69"/>
      <c r="L1625" s="319"/>
      <c r="M1625" s="116"/>
      <c r="N1625" s="319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2"/>
      <c r="K1626" s="69"/>
      <c r="L1626" s="118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2"/>
      <c r="K1627" s="69"/>
      <c r="L1627" s="118"/>
      <c r="M1627" s="116"/>
      <c r="N1627" s="319"/>
    </row>
    <row r="1628" spans="2:14" ht="15" x14ac:dyDescent="0.25">
      <c r="B1628" s="65"/>
      <c r="C1628" s="78"/>
      <c r="D1628" s="109"/>
      <c r="E1628" s="68"/>
      <c r="F1628" s="77"/>
      <c r="G1628" s="312"/>
      <c r="H1628" s="313"/>
      <c r="I1628" s="314"/>
      <c r="J1628" s="353"/>
      <c r="K1628" s="69"/>
      <c r="L1628" s="319"/>
      <c r="M1628" s="116"/>
      <c r="N1628" s="319"/>
    </row>
    <row r="1629" spans="2:14" ht="15" x14ac:dyDescent="0.25">
      <c r="B1629" s="65"/>
      <c r="C1629" s="78"/>
      <c r="D1629" s="109"/>
      <c r="E1629" s="68"/>
      <c r="F1629" s="77"/>
      <c r="G1629" s="312"/>
      <c r="H1629" s="313"/>
      <c r="I1629" s="314"/>
      <c r="J1629" s="353"/>
      <c r="K1629" s="69"/>
      <c r="L1629" s="319"/>
      <c r="M1629" s="116"/>
      <c r="N1629" s="320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2"/>
      <c r="K1630" s="69"/>
      <c r="L1630" s="120"/>
      <c r="M1630" s="116"/>
      <c r="N1630" s="320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2"/>
      <c r="K1631" s="69"/>
      <c r="L1631" s="120"/>
      <c r="M1631" s="116"/>
      <c r="N1631" s="320"/>
    </row>
    <row r="1632" spans="2:14" ht="15" x14ac:dyDescent="0.25">
      <c r="B1632" s="91"/>
      <c r="C1632" s="78"/>
      <c r="D1632" s="109"/>
      <c r="E1632" s="68"/>
      <c r="F1632" s="77"/>
      <c r="G1632" s="312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65"/>
      <c r="C1633" s="78"/>
      <c r="D1633" s="109"/>
      <c r="E1633" s="68"/>
      <c r="F1633" s="77"/>
      <c r="G1633" s="312"/>
      <c r="H1633" s="313"/>
      <c r="I1633" s="314"/>
      <c r="J1633" s="353"/>
      <c r="K1633" s="69"/>
      <c r="L1633" s="319"/>
      <c r="M1633" s="116"/>
      <c r="N1633" s="320"/>
    </row>
    <row r="1634" spans="2:14" ht="15" x14ac:dyDescent="0.25">
      <c r="B1634" s="65"/>
      <c r="C1634" s="78"/>
      <c r="D1634" s="109"/>
      <c r="E1634" s="68"/>
      <c r="F1634" s="77"/>
      <c r="G1634" s="312"/>
      <c r="H1634" s="313"/>
      <c r="I1634" s="314"/>
      <c r="J1634" s="353"/>
      <c r="K1634" s="69"/>
      <c r="L1634" s="319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2"/>
      <c r="K1636" s="69"/>
      <c r="L1636" s="120"/>
      <c r="M1636" s="116"/>
      <c r="N1636" s="220"/>
    </row>
    <row r="1637" spans="2:14" ht="15" x14ac:dyDescent="0.25">
      <c r="B1637" s="91"/>
      <c r="C1637" s="66"/>
      <c r="D1637" s="109"/>
      <c r="E1637" s="68"/>
      <c r="F1637" s="77"/>
      <c r="G1637" s="312"/>
      <c r="H1637" s="123"/>
      <c r="I1637" s="107"/>
      <c r="J1637" s="352"/>
      <c r="K1637" s="69"/>
      <c r="L1637" s="120"/>
      <c r="M1637" s="116"/>
      <c r="N1637" s="2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37"/>
      <c r="C1646" s="66"/>
      <c r="D1646" s="109"/>
      <c r="E1646" s="68"/>
      <c r="F1646" s="77"/>
      <c r="G1646" s="312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78"/>
      <c r="D1648" s="109"/>
      <c r="E1648" s="68"/>
      <c r="F1648" s="77"/>
      <c r="G1648" s="312"/>
      <c r="H1648" s="313"/>
      <c r="I1648" s="314"/>
      <c r="J1648" s="353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68"/>
      <c r="G1650" s="312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319"/>
      <c r="M1652" s="116"/>
      <c r="N1652" s="320"/>
    </row>
    <row r="1653" spans="2:14" ht="15" x14ac:dyDescent="0.25">
      <c r="B1653" s="37"/>
      <c r="C1653" s="78"/>
      <c r="D1653" s="109"/>
      <c r="E1653" s="68"/>
      <c r="F1653" s="77"/>
      <c r="G1653" s="312"/>
      <c r="H1653" s="123"/>
      <c r="I1653" s="107"/>
      <c r="J1653" s="352"/>
      <c r="K1653" s="69"/>
      <c r="L1653" s="118"/>
      <c r="M1653" s="116"/>
      <c r="N1653" s="320"/>
    </row>
    <row r="1654" spans="2:14" ht="15" x14ac:dyDescent="0.25">
      <c r="B1654" s="37"/>
      <c r="C1654" s="78"/>
      <c r="D1654" s="109"/>
      <c r="E1654" s="68"/>
      <c r="F1654" s="77"/>
      <c r="G1654" s="312"/>
      <c r="H1654" s="313"/>
      <c r="I1654" s="314"/>
      <c r="J1654" s="353"/>
      <c r="K1654" s="69"/>
      <c r="L1654" s="319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65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65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2"/>
      <c r="K1659" s="69"/>
      <c r="L1659" s="120"/>
      <c r="M1659" s="116"/>
      <c r="N1659" s="2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2"/>
      <c r="K1661" s="69"/>
      <c r="L1661" s="120"/>
      <c r="M1661" s="116"/>
      <c r="N1661" s="220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2"/>
      <c r="K1662" s="69"/>
      <c r="L1662" s="120"/>
      <c r="M1662" s="116"/>
      <c r="N1662" s="220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2"/>
      <c r="K1663" s="69"/>
      <c r="L1663" s="319"/>
      <c r="M1663" s="116"/>
      <c r="N1663" s="320"/>
    </row>
    <row r="1664" spans="2:14" ht="15" x14ac:dyDescent="0.25">
      <c r="B1664" s="65"/>
      <c r="C1664" s="78"/>
      <c r="D1664" s="109"/>
      <c r="E1664" s="68"/>
      <c r="F1664" s="77"/>
      <c r="G1664" s="312"/>
      <c r="H1664" s="313"/>
      <c r="I1664" s="314"/>
      <c r="J1664" s="353"/>
      <c r="K1664" s="69"/>
      <c r="L1664" s="319"/>
      <c r="M1664" s="116"/>
      <c r="N1664" s="320"/>
    </row>
    <row r="1665" spans="2:14" ht="15" x14ac:dyDescent="0.25">
      <c r="B1665" s="65"/>
      <c r="C1665" s="78"/>
      <c r="D1665" s="109"/>
      <c r="E1665" s="68"/>
      <c r="F1665" s="77"/>
      <c r="G1665" s="312"/>
      <c r="H1665" s="313"/>
      <c r="I1665" s="314"/>
      <c r="J1665" s="353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2"/>
      <c r="K1670" s="79"/>
      <c r="L1670" s="120"/>
      <c r="M1670" s="115"/>
      <c r="N1670" s="2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2"/>
      <c r="K1671" s="69"/>
      <c r="L1671" s="118"/>
      <c r="M1671" s="116"/>
      <c r="N1671" s="321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69"/>
      <c r="L1672" s="118"/>
      <c r="M1672" s="116"/>
      <c r="N1672" s="321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114"/>
      <c r="L1673" s="118"/>
      <c r="M1673" s="117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319"/>
      <c r="M1681" s="116"/>
      <c r="N1681" s="320"/>
    </row>
    <row r="1682" spans="2:14" ht="15" x14ac:dyDescent="0.25">
      <c r="B1682" s="91"/>
      <c r="C1682" s="78"/>
      <c r="D1682" s="109"/>
      <c r="E1682" s="68"/>
      <c r="F1682" s="77"/>
      <c r="G1682" s="312"/>
      <c r="H1682" s="313"/>
      <c r="I1682" s="314"/>
      <c r="J1682" s="353"/>
      <c r="K1682" s="69"/>
      <c r="L1682" s="319"/>
      <c r="M1682" s="116"/>
      <c r="N1682" s="320"/>
    </row>
    <row r="1683" spans="2:14" ht="15" x14ac:dyDescent="0.25">
      <c r="B1683" s="91"/>
      <c r="C1683" s="78"/>
      <c r="D1683" s="109"/>
      <c r="E1683" s="68"/>
      <c r="F1683" s="77"/>
      <c r="G1683" s="312"/>
      <c r="H1683" s="313"/>
      <c r="I1683" s="314"/>
      <c r="J1683" s="353"/>
      <c r="K1683" s="69"/>
      <c r="L1683" s="319"/>
      <c r="M1683" s="116"/>
      <c r="N1683" s="320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2"/>
      <c r="K1684" s="69"/>
      <c r="L1684" s="118"/>
      <c r="M1684" s="116"/>
      <c r="N1684" s="321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2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2"/>
      <c r="K1686" s="69"/>
      <c r="L1686" s="118"/>
      <c r="M1686" s="116"/>
      <c r="N1686" s="320"/>
    </row>
    <row r="1687" spans="2:14" ht="15" x14ac:dyDescent="0.25">
      <c r="B1687" s="65"/>
      <c r="C1687" s="78"/>
      <c r="D1687" s="109"/>
      <c r="E1687" s="68"/>
      <c r="F1687" s="77"/>
      <c r="G1687" s="312"/>
      <c r="H1687" s="313"/>
      <c r="I1687" s="314"/>
      <c r="J1687" s="353"/>
      <c r="K1687" s="69"/>
      <c r="L1687" s="319"/>
      <c r="M1687" s="116"/>
      <c r="N1687" s="320"/>
    </row>
    <row r="1688" spans="2:14" ht="15" x14ac:dyDescent="0.25">
      <c r="B1688" s="65"/>
      <c r="C1688" s="78"/>
      <c r="D1688" s="109"/>
      <c r="E1688" s="68"/>
      <c r="F1688" s="77"/>
      <c r="G1688" s="312"/>
      <c r="H1688" s="313"/>
      <c r="I1688" s="314"/>
      <c r="J1688" s="353"/>
      <c r="K1688" s="69"/>
      <c r="L1688" s="319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217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217"/>
      <c r="M1690" s="82"/>
      <c r="N1690" s="320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2"/>
      <c r="K1691" s="69"/>
      <c r="L1691" s="84"/>
      <c r="M1691" s="82"/>
      <c r="N1691" s="320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2"/>
      <c r="K1692" s="69"/>
      <c r="L1692" s="84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78"/>
      <c r="D1696" s="100"/>
      <c r="E1696" s="101"/>
      <c r="F1696" s="77"/>
      <c r="G1696" s="312"/>
      <c r="H1696" s="322"/>
      <c r="I1696" s="107"/>
      <c r="J1696" s="352"/>
      <c r="K1696" s="69"/>
      <c r="L1696" s="84"/>
      <c r="M1696" s="82"/>
      <c r="N1696" s="320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78"/>
      <c r="D1700" s="100"/>
      <c r="E1700" s="101"/>
      <c r="F1700" s="77"/>
      <c r="G1700" s="312"/>
      <c r="H1700" s="322"/>
      <c r="I1700" s="314"/>
      <c r="J1700" s="353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78"/>
      <c r="D1703" s="100"/>
      <c r="E1703" s="101"/>
      <c r="F1703" s="77"/>
      <c r="G1703" s="312"/>
      <c r="H1703" s="322"/>
      <c r="I1703" s="314"/>
      <c r="J1703" s="353"/>
      <c r="K1703" s="69"/>
      <c r="L1703" s="84"/>
      <c r="M1703" s="82"/>
      <c r="N1703" s="320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2"/>
      <c r="K1704" s="69"/>
      <c r="L1704" s="323"/>
      <c r="M1704" s="82"/>
      <c r="N1704" s="320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2"/>
      <c r="K1705" s="69"/>
      <c r="L1705" s="84"/>
      <c r="M1705" s="82"/>
      <c r="N1705" s="320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78"/>
      <c r="D1707" s="100"/>
      <c r="E1707" s="101"/>
      <c r="F1707" s="77"/>
      <c r="G1707" s="312"/>
      <c r="H1707" s="322"/>
      <c r="I1707" s="314"/>
      <c r="J1707" s="353"/>
      <c r="K1707" s="69"/>
      <c r="L1707" s="323"/>
      <c r="M1707" s="82"/>
      <c r="N1707" s="320"/>
    </row>
    <row r="1708" spans="2:14" ht="15" x14ac:dyDescent="0.25">
      <c r="B1708" s="65"/>
      <c r="C1708" s="78"/>
      <c r="D1708" s="100"/>
      <c r="E1708" s="101"/>
      <c r="F1708" s="77"/>
      <c r="G1708" s="312"/>
      <c r="H1708" s="322"/>
      <c r="I1708" s="314"/>
      <c r="J1708" s="353"/>
      <c r="K1708" s="69"/>
      <c r="L1708" s="323"/>
      <c r="M1708" s="82"/>
      <c r="N1708" s="324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4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107"/>
      <c r="J1711" s="352"/>
      <c r="K1711" s="69"/>
      <c r="L1711" s="84"/>
      <c r="M1711" s="82"/>
      <c r="N1711" s="324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2"/>
      <c r="K1712" s="69"/>
      <c r="L1712" s="84"/>
      <c r="M1712" s="82"/>
      <c r="N1712" s="324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78"/>
      <c r="D1718" s="100"/>
      <c r="E1718" s="101"/>
      <c r="F1718" s="77"/>
      <c r="G1718" s="312"/>
      <c r="H1718" s="322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2"/>
      <c r="K1720" s="70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78"/>
      <c r="D1722" s="100"/>
      <c r="E1722" s="101"/>
      <c r="F1722" s="68"/>
      <c r="G1722" s="312"/>
      <c r="H1722" s="322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323"/>
      <c r="M1723" s="82"/>
      <c r="N1723" s="324"/>
    </row>
    <row r="1724" spans="2:14" ht="15" x14ac:dyDescent="0.25">
      <c r="B1724" s="65"/>
      <c r="C1724" s="78"/>
      <c r="D1724" s="100"/>
      <c r="E1724" s="101"/>
      <c r="F1724" s="77"/>
      <c r="G1724" s="312"/>
      <c r="H1724" s="322"/>
      <c r="I1724" s="314"/>
      <c r="J1724" s="353"/>
      <c r="K1724" s="69"/>
      <c r="L1724" s="323"/>
      <c r="M1724" s="82"/>
      <c r="N1724" s="324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2"/>
      <c r="K1725" s="69"/>
      <c r="L1725" s="84"/>
      <c r="M1725" s="82"/>
      <c r="N1725" s="324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2"/>
      <c r="K1726" s="69"/>
      <c r="L1726" s="84"/>
      <c r="M1726" s="82"/>
      <c r="N1726" s="324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2"/>
      <c r="K1727" s="69"/>
      <c r="L1727" s="323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323"/>
      <c r="M1728" s="82"/>
      <c r="N1728" s="324"/>
    </row>
    <row r="1729" spans="2:14" x14ac:dyDescent="0.2">
      <c r="B1729" s="65"/>
      <c r="C1729" s="78"/>
      <c r="D1729" s="100"/>
      <c r="E1729" s="101"/>
      <c r="F1729" s="77"/>
      <c r="G1729" s="312"/>
      <c r="H1729" s="322"/>
      <c r="I1729" s="325"/>
      <c r="J1729" s="355"/>
      <c r="K1729" s="69"/>
      <c r="L1729" s="84"/>
      <c r="M1729" s="82"/>
      <c r="N1729" s="324"/>
    </row>
    <row r="1730" spans="2:14" x14ac:dyDescent="0.2">
      <c r="B1730" s="65"/>
      <c r="C1730" s="78"/>
      <c r="D1730" s="100"/>
      <c r="E1730" s="101"/>
      <c r="F1730" s="77"/>
      <c r="G1730" s="312"/>
      <c r="H1730" s="322"/>
      <c r="I1730" s="325"/>
      <c r="J1730" s="355"/>
      <c r="K1730" s="69"/>
      <c r="L1730" s="84"/>
      <c r="M1730" s="82"/>
      <c r="N1730" s="324"/>
    </row>
    <row r="1731" spans="2:14" ht="15" x14ac:dyDescent="0.25">
      <c r="B1731" s="65"/>
      <c r="C1731" s="78"/>
      <c r="D1731" s="100"/>
      <c r="E1731" s="101"/>
      <c r="F1731" s="77"/>
      <c r="G1731" s="312"/>
      <c r="H1731" s="322"/>
      <c r="I1731" s="314"/>
      <c r="J1731" s="353"/>
      <c r="K1731" s="69"/>
      <c r="L1731" s="323"/>
      <c r="M1731" s="82"/>
      <c r="N1731" s="324"/>
    </row>
    <row r="1732" spans="2:14" ht="15" x14ac:dyDescent="0.25">
      <c r="B1732" s="65"/>
      <c r="C1732" s="78"/>
      <c r="D1732" s="100"/>
      <c r="E1732" s="102"/>
      <c r="F1732" s="77"/>
      <c r="G1732" s="326"/>
      <c r="H1732" s="322"/>
      <c r="I1732" s="314"/>
      <c r="J1732" s="353"/>
      <c r="K1732" s="69"/>
      <c r="L1732" s="323"/>
      <c r="M1732" s="82"/>
      <c r="N1732" s="324"/>
    </row>
    <row r="1733" spans="2:14" ht="15" x14ac:dyDescent="0.25">
      <c r="B1733" s="65"/>
      <c r="C1733" s="78"/>
      <c r="D1733" s="97"/>
      <c r="E1733" s="67"/>
      <c r="F1733" s="77"/>
      <c r="G1733" s="326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97"/>
      <c r="E1734" s="67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27"/>
      <c r="J1735" s="356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27"/>
      <c r="J1736" s="356"/>
      <c r="K1736" s="69"/>
      <c r="L1736" s="323"/>
      <c r="M1736" s="82"/>
      <c r="N1736" s="324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7"/>
      <c r="K1737" s="80"/>
      <c r="L1737" s="84"/>
      <c r="M1737" s="82"/>
      <c r="N1737" s="328"/>
    </row>
    <row r="1738" spans="2:14" ht="15" x14ac:dyDescent="0.25">
      <c r="B1738" s="65"/>
      <c r="C1738" s="78"/>
      <c r="D1738" s="90"/>
      <c r="E1738" s="67"/>
      <c r="F1738" s="77"/>
      <c r="G1738" s="329"/>
      <c r="H1738" s="322"/>
      <c r="I1738" s="327"/>
      <c r="J1738" s="356"/>
      <c r="K1738" s="69"/>
      <c r="L1738" s="323"/>
      <c r="M1738" s="82"/>
      <c r="N1738" s="328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8"/>
      <c r="K1739" s="80"/>
      <c r="L1739" s="84"/>
      <c r="M1739" s="82"/>
      <c r="N1739" s="328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8"/>
      <c r="K1740" s="69"/>
      <c r="L1740" s="84"/>
      <c r="M1740" s="82"/>
      <c r="N1740" s="328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7"/>
      <c r="K1741" s="69"/>
      <c r="L1741" s="84"/>
      <c r="M1741" s="82"/>
      <c r="N1741" s="328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7"/>
      <c r="K1742" s="69"/>
      <c r="L1742" s="84"/>
      <c r="M1742" s="82"/>
      <c r="N1742" s="328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8"/>
      <c r="K1743" s="80"/>
      <c r="L1743" s="84"/>
      <c r="M1743" s="82"/>
      <c r="N1743" s="328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8"/>
      <c r="K1744" s="69"/>
      <c r="L1744" s="84"/>
      <c r="M1744" s="82"/>
      <c r="N1744" s="328"/>
    </row>
    <row r="1745" spans="2:14" ht="15" x14ac:dyDescent="0.25">
      <c r="B1745" s="91"/>
      <c r="C1745" s="78"/>
      <c r="D1745" s="90"/>
      <c r="E1745" s="67"/>
      <c r="F1745" s="77"/>
      <c r="G1745" s="329"/>
      <c r="H1745" s="322"/>
      <c r="I1745" s="327"/>
      <c r="J1745" s="356"/>
      <c r="K1745" s="69"/>
      <c r="L1745" s="84"/>
      <c r="M1745" s="82"/>
      <c r="N1745" s="328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7"/>
      <c r="K1746" s="69"/>
      <c r="L1746" s="84"/>
      <c r="M1746" s="82"/>
      <c r="N1746" s="328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8"/>
      <c r="K1747" s="69"/>
      <c r="L1747" s="84"/>
      <c r="M1747" s="82"/>
      <c r="N1747" s="328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8"/>
      <c r="K1748" s="80"/>
      <c r="L1748" s="84"/>
      <c r="M1748" s="82"/>
      <c r="N1748" s="328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7"/>
      <c r="K1749" s="69"/>
      <c r="L1749" s="84"/>
      <c r="M1749" s="82"/>
      <c r="N1749" s="324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69"/>
      <c r="L1750" s="323"/>
      <c r="M1750" s="82"/>
      <c r="N1750" s="324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69"/>
      <c r="L1751" s="84"/>
      <c r="M1751" s="82"/>
      <c r="N1751" s="324"/>
    </row>
    <row r="1752" spans="2:14" ht="15" x14ac:dyDescent="0.25">
      <c r="B1752" s="65"/>
      <c r="C1752" s="78"/>
      <c r="D1752" s="90"/>
      <c r="E1752" s="67"/>
      <c r="F1752" s="77"/>
      <c r="G1752" s="329"/>
      <c r="H1752" s="322"/>
      <c r="I1752" s="327"/>
      <c r="J1752" s="356"/>
      <c r="K1752" s="69"/>
      <c r="L1752" s="323"/>
      <c r="M1752" s="82"/>
      <c r="N1752" s="324"/>
    </row>
    <row r="1753" spans="2:14" ht="15" x14ac:dyDescent="0.25">
      <c r="B1753" s="37"/>
      <c r="C1753" s="52"/>
      <c r="D1753" s="24"/>
      <c r="E1753" s="25"/>
      <c r="F1753" s="26"/>
      <c r="G1753" s="26"/>
      <c r="H1753" s="330"/>
      <c r="I1753" s="41"/>
      <c r="J1753" s="359"/>
      <c r="K1753" s="27"/>
      <c r="L1753" s="331"/>
      <c r="M1753" s="34"/>
      <c r="N1753" s="332"/>
    </row>
    <row r="1754" spans="2:14" ht="15" x14ac:dyDescent="0.25">
      <c r="B1754" s="37"/>
      <c r="C1754" s="53"/>
      <c r="D1754" s="24"/>
      <c r="E1754" s="25"/>
      <c r="F1754" s="26"/>
      <c r="G1754" s="326"/>
      <c r="H1754" s="333"/>
      <c r="I1754" s="334"/>
      <c r="J1754" s="360"/>
      <c r="K1754" s="27"/>
      <c r="L1754" s="33"/>
      <c r="M1754" s="34"/>
      <c r="N1754" s="332"/>
    </row>
    <row r="1755" spans="2:14" ht="15" x14ac:dyDescent="0.25">
      <c r="B1755" s="37"/>
      <c r="C1755" s="53"/>
      <c r="D1755" s="24"/>
      <c r="E1755" s="25"/>
      <c r="F1755" s="26"/>
      <c r="G1755" s="326"/>
      <c r="H1755" s="333"/>
      <c r="I1755" s="334"/>
      <c r="J1755" s="360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0"/>
      <c r="C1758" s="52"/>
      <c r="D1758" s="24"/>
      <c r="E1758" s="25"/>
      <c r="F1758" s="26"/>
      <c r="G1758" s="26"/>
      <c r="H1758" s="330"/>
      <c r="I1758" s="41"/>
      <c r="J1758" s="359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30"/>
      <c r="I1763" s="41"/>
      <c r="J1763" s="359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30"/>
      <c r="I1764" s="41"/>
      <c r="J1764" s="359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1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30"/>
      <c r="I1773" s="42"/>
      <c r="J1773" s="361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30"/>
      <c r="I1775" s="41"/>
      <c r="J1775" s="359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6"/>
      <c r="H1776" s="333"/>
      <c r="I1776" s="334"/>
      <c r="J1776" s="360"/>
      <c r="K1776" s="27"/>
      <c r="L1776" s="331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30"/>
      <c r="I1781" s="41"/>
      <c r="J1781" s="359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30"/>
      <c r="I1782" s="41"/>
      <c r="J1782" s="359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6"/>
      <c r="H1784" s="333"/>
      <c r="I1784" s="334"/>
      <c r="J1784" s="360"/>
      <c r="K1784" s="27"/>
      <c r="L1784" s="331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6"/>
      <c r="H1785" s="333"/>
      <c r="I1785" s="334"/>
      <c r="J1785" s="360"/>
      <c r="K1785" s="27"/>
      <c r="L1785" s="331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30"/>
      <c r="I1787" s="41"/>
      <c r="J1787" s="359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30"/>
      <c r="I1788" s="41"/>
      <c r="J1788" s="359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6"/>
      <c r="H1789" s="333"/>
      <c r="I1789" s="334"/>
      <c r="J1789" s="360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30"/>
      <c r="I1790" s="41"/>
      <c r="J1790" s="359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30"/>
      <c r="I1791" s="42"/>
      <c r="J1791" s="361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30"/>
      <c r="I1792" s="41"/>
      <c r="J1792" s="359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30"/>
      <c r="I1793" s="41"/>
      <c r="J1793" s="359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30"/>
      <c r="I1794" s="42"/>
      <c r="J1794" s="361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6"/>
      <c r="H1795" s="333"/>
      <c r="I1795" s="334"/>
      <c r="J1795" s="360"/>
      <c r="K1795" s="27"/>
      <c r="L1795" s="331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6"/>
      <c r="H1797" s="333"/>
      <c r="I1797" s="335"/>
      <c r="J1797" s="362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30"/>
      <c r="I1799" s="335"/>
      <c r="J1799" s="362"/>
      <c r="K1799" s="36"/>
      <c r="L1799" s="331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30"/>
      <c r="I1800" s="41"/>
      <c r="J1800" s="359"/>
      <c r="K1800" s="27"/>
      <c r="L1800" s="331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30"/>
      <c r="I1801" s="41"/>
      <c r="J1801" s="359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30"/>
      <c r="I1802" s="334"/>
      <c r="J1802" s="360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6"/>
      <c r="H1803" s="333"/>
      <c r="I1803" s="334"/>
      <c r="J1803" s="360"/>
      <c r="K1803" s="27"/>
      <c r="L1803" s="331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6"/>
      <c r="H1804" s="333"/>
      <c r="I1804" s="334"/>
      <c r="J1804" s="360"/>
      <c r="K1804" s="27"/>
      <c r="L1804" s="331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30"/>
      <c r="I1806" s="41"/>
      <c r="J1806" s="359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30"/>
      <c r="I1811" s="41"/>
      <c r="J1811" s="359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30"/>
      <c r="I1812" s="41"/>
      <c r="J1812" s="359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30"/>
      <c r="I1814" s="41"/>
      <c r="J1814" s="359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30"/>
      <c r="I1815" s="41"/>
      <c r="J1815" s="359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6"/>
      <c r="H1818" s="333"/>
      <c r="I1818" s="334"/>
      <c r="J1818" s="360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30"/>
      <c r="I1822" s="42"/>
      <c r="J1822" s="361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30"/>
      <c r="I1823" s="42"/>
      <c r="J1823" s="361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30"/>
      <c r="I1824" s="41"/>
      <c r="J1824" s="359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1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30"/>
      <c r="I1828" s="41"/>
      <c r="J1828" s="359"/>
      <c r="K1828" s="27"/>
      <c r="L1828" s="331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30"/>
      <c r="I1829" s="41"/>
      <c r="J1829" s="359"/>
      <c r="K1829" s="27"/>
      <c r="L1829" s="331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6"/>
      <c r="H1830" s="333"/>
      <c r="I1830" s="335"/>
      <c r="J1830" s="362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6"/>
      <c r="H1831" s="333"/>
      <c r="I1831" s="334"/>
      <c r="J1831" s="360"/>
      <c r="K1831" s="27"/>
      <c r="L1831" s="331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6"/>
      <c r="H1832" s="333"/>
      <c r="I1832" s="334"/>
      <c r="J1832" s="360"/>
      <c r="K1832" s="27"/>
      <c r="L1832" s="331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30"/>
      <c r="I1833" s="41"/>
      <c r="J1833" s="359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6"/>
      <c r="H1834" s="333"/>
      <c r="I1834" s="335"/>
      <c r="J1834" s="362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6"/>
      <c r="H1835" s="333"/>
      <c r="I1835" s="334"/>
      <c r="J1835" s="360"/>
      <c r="K1835" s="27"/>
      <c r="L1835" s="331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6"/>
      <c r="H1836" s="333"/>
      <c r="I1836" s="334"/>
      <c r="J1836" s="360"/>
      <c r="K1836" s="27"/>
      <c r="L1836" s="331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30"/>
      <c r="I1840" s="41"/>
      <c r="J1840" s="359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30"/>
      <c r="I1841" s="41"/>
      <c r="J1841" s="359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6"/>
      <c r="H1842" s="333"/>
      <c r="I1842" s="334"/>
      <c r="J1842" s="360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30"/>
      <c r="I1843" s="42"/>
      <c r="J1843" s="361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30"/>
      <c r="I1844" s="42"/>
      <c r="J1844" s="361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30"/>
      <c r="I1845" s="42"/>
      <c r="J1845" s="361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30"/>
      <c r="I1846" s="41"/>
      <c r="J1846" s="359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30"/>
      <c r="I1847" s="42"/>
      <c r="J1847" s="361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6"/>
      <c r="H1848" s="333"/>
      <c r="I1848" s="334"/>
      <c r="J1848" s="360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30"/>
      <c r="I1849" s="41"/>
      <c r="J1849" s="359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30"/>
      <c r="I1850" s="335"/>
      <c r="J1850" s="362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1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1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30"/>
      <c r="I1853" s="42"/>
      <c r="J1853" s="361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30"/>
      <c r="I1854" s="42"/>
      <c r="J1854" s="361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6"/>
      <c r="H1855" s="333"/>
      <c r="I1855" s="334"/>
      <c r="J1855" s="360"/>
      <c r="K1855" s="27"/>
      <c r="L1855" s="331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6"/>
      <c r="H1856" s="333"/>
      <c r="I1856" s="334"/>
      <c r="J1856" s="360"/>
      <c r="K1856" s="27"/>
      <c r="L1856" s="331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30"/>
      <c r="I1858" s="41"/>
      <c r="J1858" s="359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30"/>
      <c r="I1859" s="41"/>
      <c r="J1859" s="359"/>
      <c r="K1859" s="27"/>
      <c r="L1859" s="331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6"/>
      <c r="H1860" s="333"/>
      <c r="I1860" s="334"/>
      <c r="J1860" s="360"/>
      <c r="K1860" s="27"/>
      <c r="L1860" s="331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6"/>
      <c r="H1861" s="333"/>
      <c r="I1861" s="334"/>
      <c r="J1861" s="360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30"/>
      <c r="I1863" s="42"/>
      <c r="J1863" s="361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30"/>
      <c r="I1864" s="42"/>
      <c r="J1864" s="361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30"/>
      <c r="I1866" s="41"/>
      <c r="J1866" s="359"/>
      <c r="K1866" s="36"/>
      <c r="L1866" s="33"/>
      <c r="M1866" s="34"/>
      <c r="N1866" s="35"/>
    </row>
  </sheetData>
  <sortState xmlns:xlrd2="http://schemas.microsoft.com/office/spreadsheetml/2017/richdata2" ref="B7:I1048573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112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113</v>
      </c>
      <c r="E2" s="371"/>
      <c r="F2" s="371"/>
      <c r="G2" s="371"/>
      <c r="H2" s="371"/>
      <c r="I2" s="371"/>
      <c r="J2" s="371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117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6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2025-11-09T06:10:10Z</dcterms:modified>
</cp:coreProperties>
</file>