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4DC2698A-FAAD-47CB-AEBE-5D7203F38D18}" xr6:coauthVersionLast="47" xr6:coauthVersionMax="47" xr10:uidLastSave="{00000000-0000-0000-0000-000000000000}"/>
  <bookViews>
    <workbookView xWindow="15" yWindow="15" windowWidth="20460" windowHeight="1089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Import!$B$6:$N$1863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Import!$B$1:$O$46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3" i="1" l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7" i="1"/>
  <c r="M8" i="1"/>
  <c r="P8" i="1"/>
  <c r="U8" i="1"/>
  <c r="M9" i="1"/>
  <c r="P9" i="1"/>
  <c r="R9" i="1" s="1"/>
  <c r="U9" i="1"/>
  <c r="M10" i="1"/>
  <c r="P10" i="1"/>
  <c r="U10" i="1"/>
  <c r="M11" i="1"/>
  <c r="P11" i="1"/>
  <c r="R11" i="1"/>
  <c r="U11" i="1"/>
  <c r="M12" i="1"/>
  <c r="P12" i="1"/>
  <c r="U12" i="1"/>
  <c r="M13" i="1"/>
  <c r="P13" i="1"/>
  <c r="R13" i="1"/>
  <c r="U13" i="1"/>
  <c r="M14" i="1"/>
  <c r="P14" i="1"/>
  <c r="U14" i="1"/>
  <c r="M15" i="1"/>
  <c r="P15" i="1"/>
  <c r="R15" i="1" s="1"/>
  <c r="U15" i="1"/>
  <c r="M16" i="1"/>
  <c r="P16" i="1"/>
  <c r="U16" i="1"/>
  <c r="M17" i="1"/>
  <c r="P17" i="1"/>
  <c r="R17" i="1" s="1"/>
  <c r="U17" i="1"/>
  <c r="M18" i="1"/>
  <c r="P18" i="1"/>
  <c r="U18" i="1"/>
  <c r="M19" i="1"/>
  <c r="P19" i="1"/>
  <c r="R19" i="1"/>
  <c r="U19" i="1"/>
  <c r="M20" i="1"/>
  <c r="P20" i="1"/>
  <c r="U20" i="1"/>
  <c r="M21" i="1"/>
  <c r="P21" i="1"/>
  <c r="U21" i="1"/>
  <c r="M22" i="1"/>
  <c r="P22" i="1"/>
  <c r="U22" i="1"/>
  <c r="M23" i="1"/>
  <c r="P23" i="1"/>
  <c r="R23" i="1" s="1"/>
  <c r="U23" i="1"/>
  <c r="M24" i="1"/>
  <c r="P24" i="1"/>
  <c r="U24" i="1"/>
  <c r="M25" i="1"/>
  <c r="P25" i="1"/>
  <c r="R25" i="1"/>
  <c r="U25" i="1"/>
  <c r="M26" i="1"/>
  <c r="P26" i="1"/>
  <c r="U26" i="1"/>
  <c r="M27" i="1"/>
  <c r="P27" i="1"/>
  <c r="R27" i="1"/>
  <c r="U27" i="1"/>
  <c r="M28" i="1"/>
  <c r="P28" i="1"/>
  <c r="U28" i="1"/>
  <c r="M29" i="1"/>
  <c r="P29" i="1"/>
  <c r="U29" i="1"/>
  <c r="M30" i="1"/>
  <c r="P30" i="1"/>
  <c r="U30" i="1"/>
  <c r="M31" i="1"/>
  <c r="P31" i="1"/>
  <c r="R31" i="1"/>
  <c r="U31" i="1"/>
  <c r="M32" i="1"/>
  <c r="P32" i="1"/>
  <c r="U32" i="1"/>
  <c r="M33" i="1"/>
  <c r="P33" i="1"/>
  <c r="R33" i="1"/>
  <c r="U33" i="1"/>
  <c r="M34" i="1"/>
  <c r="P34" i="1"/>
  <c r="U34" i="1"/>
  <c r="M35" i="1"/>
  <c r="P35" i="1"/>
  <c r="R35" i="1"/>
  <c r="U35" i="1"/>
  <c r="M36" i="1"/>
  <c r="P36" i="1"/>
  <c r="U36" i="1"/>
  <c r="M37" i="1"/>
  <c r="P37" i="1"/>
  <c r="U37" i="1"/>
  <c r="M38" i="1"/>
  <c r="P38" i="1"/>
  <c r="U38" i="1"/>
  <c r="M39" i="1"/>
  <c r="P39" i="1"/>
  <c r="R39" i="1"/>
  <c r="U39" i="1"/>
  <c r="M40" i="1"/>
  <c r="P40" i="1"/>
  <c r="U40" i="1"/>
  <c r="M41" i="1"/>
  <c r="P41" i="1"/>
  <c r="R41" i="1"/>
  <c r="U41" i="1"/>
  <c r="M42" i="1"/>
  <c r="P42" i="1"/>
  <c r="U42" i="1"/>
  <c r="C43" i="1"/>
  <c r="G43" i="1"/>
  <c r="I17" i="1" s="1"/>
  <c r="Q17" i="1" s="1"/>
  <c r="L17" i="1" s="1"/>
  <c r="F43" i="1"/>
  <c r="E43" i="1"/>
  <c r="G11" i="6"/>
  <c r="F11" i="6"/>
  <c r="E11" i="6"/>
  <c r="U7" i="1"/>
  <c r="P7" i="1"/>
  <c r="R7" i="1" s="1"/>
  <c r="M7" i="1"/>
  <c r="H17" i="1"/>
  <c r="H34" i="1"/>
  <c r="H18" i="1"/>
  <c r="H7" i="1"/>
  <c r="H19" i="1"/>
  <c r="H8" i="1"/>
  <c r="H35" i="1"/>
  <c r="H20" i="1"/>
  <c r="H9" i="1"/>
  <c r="H36" i="1"/>
  <c r="H10" i="1"/>
  <c r="H37" i="1"/>
  <c r="H38" i="1"/>
  <c r="H21" i="1"/>
  <c r="H42" i="1"/>
  <c r="H11" i="1"/>
  <c r="H39" i="1"/>
  <c r="H22" i="1"/>
  <c r="H12" i="1"/>
  <c r="H23" i="1"/>
  <c r="H24" i="1"/>
  <c r="H13" i="1"/>
  <c r="H25" i="1"/>
  <c r="H14" i="1"/>
  <c r="H15" i="1"/>
  <c r="H16" i="1"/>
  <c r="H26" i="1"/>
  <c r="H27" i="1"/>
  <c r="H40" i="1"/>
  <c r="H41" i="1"/>
  <c r="H28" i="1"/>
  <c r="H29" i="1"/>
  <c r="H30" i="1"/>
  <c r="H31" i="1"/>
  <c r="H32" i="1"/>
  <c r="H33" i="1"/>
  <c r="U43" i="1"/>
  <c r="T44" i="1"/>
  <c r="P43" i="1"/>
  <c r="R43" i="1" s="1"/>
  <c r="Q44" i="1"/>
  <c r="P3" i="6"/>
  <c r="T45" i="1"/>
  <c r="Q45" i="1"/>
  <c r="T46" i="1"/>
  <c r="Q46" i="1"/>
  <c r="T47" i="1"/>
  <c r="O47" i="1"/>
  <c r="Q47" i="1" s="1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E12" i="3"/>
  <c r="H11" i="3"/>
  <c r="D12" i="3"/>
  <c r="AP6" i="3"/>
  <c r="E13" i="3"/>
  <c r="D13" i="3"/>
  <c r="V8" i="1" l="1"/>
  <c r="V19" i="1"/>
  <c r="V37" i="1"/>
  <c r="N9" i="1"/>
  <c r="V22" i="1"/>
  <c r="V35" i="1"/>
  <c r="V12" i="1"/>
  <c r="R37" i="1"/>
  <c r="R29" i="1"/>
  <c r="R21" i="1"/>
  <c r="N42" i="1"/>
  <c r="N40" i="1"/>
  <c r="N38" i="1"/>
  <c r="N36" i="1"/>
  <c r="N34" i="1"/>
  <c r="N32" i="1"/>
  <c r="N30" i="1"/>
  <c r="N28" i="1"/>
  <c r="N26" i="1"/>
  <c r="N24" i="1"/>
  <c r="N22" i="1"/>
  <c r="N20" i="1"/>
  <c r="N18" i="1"/>
  <c r="N16" i="1"/>
  <c r="N14" i="1"/>
  <c r="N12" i="1"/>
  <c r="N10" i="1"/>
  <c r="N8" i="1"/>
  <c r="R38" i="1"/>
  <c r="R36" i="1"/>
  <c r="R30" i="1"/>
  <c r="R28" i="1"/>
  <c r="R24" i="1"/>
  <c r="R22" i="1"/>
  <c r="R20" i="1"/>
  <c r="R18" i="1"/>
  <c r="R16" i="1"/>
  <c r="R14" i="1"/>
  <c r="R12" i="1"/>
  <c r="R10" i="1"/>
  <c r="R8" i="1"/>
  <c r="R42" i="1"/>
  <c r="R40" i="1"/>
  <c r="R34" i="1"/>
  <c r="R32" i="1"/>
  <c r="R26" i="1"/>
  <c r="N41" i="1"/>
  <c r="N39" i="1"/>
  <c r="N37" i="1"/>
  <c r="N35" i="1"/>
  <c r="N33" i="1"/>
  <c r="N31" i="1"/>
  <c r="N29" i="1"/>
  <c r="N27" i="1"/>
  <c r="N25" i="1"/>
  <c r="N23" i="1"/>
  <c r="N21" i="1"/>
  <c r="N19" i="1"/>
  <c r="N17" i="1"/>
  <c r="N15" i="1"/>
  <c r="N13" i="1"/>
  <c r="N11" i="1"/>
  <c r="I7" i="1"/>
  <c r="J7" i="1" s="1"/>
  <c r="I30" i="1"/>
  <c r="Q30" i="1" s="1"/>
  <c r="L30" i="1" s="1"/>
  <c r="I25" i="1"/>
  <c r="J25" i="1" s="1"/>
  <c r="I37" i="1"/>
  <c r="J17" i="1" s="1"/>
  <c r="I28" i="1"/>
  <c r="Q28" i="1" s="1"/>
  <c r="L28" i="1" s="1"/>
  <c r="I23" i="1"/>
  <c r="Q23" i="1" s="1"/>
  <c r="L23" i="1" s="1"/>
  <c r="I9" i="1"/>
  <c r="Q9" i="1" s="1"/>
  <c r="L9" i="1" s="1"/>
  <c r="I27" i="1"/>
  <c r="J27" i="1" s="1"/>
  <c r="I39" i="1"/>
  <c r="Q39" i="1" s="1"/>
  <c r="L39" i="1" s="1"/>
  <c r="I35" i="1"/>
  <c r="Q35" i="1" s="1"/>
  <c r="L35" i="1" s="1"/>
  <c r="I34" i="1"/>
  <c r="J34" i="1" s="1"/>
  <c r="I33" i="1"/>
  <c r="J33" i="1" s="1"/>
  <c r="I15" i="1"/>
  <c r="I42" i="1"/>
  <c r="Q42" i="1" s="1"/>
  <c r="L42" i="1" s="1"/>
  <c r="I29" i="1"/>
  <c r="Q29" i="1" s="1"/>
  <c r="L29" i="1" s="1"/>
  <c r="I26" i="1"/>
  <c r="J26" i="1" s="1"/>
  <c r="I24" i="1"/>
  <c r="J24" i="1" s="1"/>
  <c r="I11" i="1"/>
  <c r="I10" i="1"/>
  <c r="J10" i="1" s="1"/>
  <c r="I19" i="1"/>
  <c r="Q19" i="1" s="1"/>
  <c r="L19" i="1" s="1"/>
  <c r="I32" i="1"/>
  <c r="Q32" i="1" s="1"/>
  <c r="L32" i="1" s="1"/>
  <c r="I40" i="1"/>
  <c r="J40" i="1" s="1"/>
  <c r="I14" i="1"/>
  <c r="J14" i="1" s="1"/>
  <c r="I12" i="1"/>
  <c r="J12" i="1" s="1"/>
  <c r="I38" i="1"/>
  <c r="J38" i="1" s="1"/>
  <c r="I20" i="1"/>
  <c r="J20" i="1" s="1"/>
  <c r="I18" i="1"/>
  <c r="Q18" i="1" s="1"/>
  <c r="L18" i="1" s="1"/>
  <c r="I31" i="1"/>
  <c r="J31" i="1" s="1"/>
  <c r="I41" i="1"/>
  <c r="Q41" i="1" s="1"/>
  <c r="L41" i="1" s="1"/>
  <c r="I16" i="1"/>
  <c r="J16" i="1" s="1"/>
  <c r="I13" i="1"/>
  <c r="I22" i="1"/>
  <c r="J22" i="1" s="1"/>
  <c r="I21" i="1"/>
  <c r="Q21" i="1" s="1"/>
  <c r="L21" i="1" s="1"/>
  <c r="I36" i="1"/>
  <c r="J36" i="1" s="1"/>
  <c r="I8" i="1"/>
  <c r="Q8" i="1" s="1"/>
  <c r="L8" i="1" s="1"/>
  <c r="J23" i="1"/>
  <c r="J30" i="1"/>
  <c r="J42" i="1"/>
  <c r="N7" i="1"/>
  <c r="J32" i="1"/>
  <c r="H43" i="1"/>
  <c r="V28" i="1" s="1"/>
  <c r="U44" i="1"/>
  <c r="P44" i="1"/>
  <c r="Q43" i="1"/>
  <c r="P45" i="1"/>
  <c r="U45" i="1"/>
  <c r="P46" i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Q14" i="1" l="1"/>
  <c r="L14" i="1" s="1"/>
  <c r="Q24" i="1"/>
  <c r="L24" i="1" s="1"/>
  <c r="Q16" i="1"/>
  <c r="L16" i="1" s="1"/>
  <c r="V25" i="1"/>
  <c r="V11" i="1"/>
  <c r="V9" i="1"/>
  <c r="V36" i="1"/>
  <c r="Q7" i="1"/>
  <c r="L7" i="1" s="1"/>
  <c r="V27" i="1"/>
  <c r="Q20" i="1"/>
  <c r="L20" i="1" s="1"/>
  <c r="V29" i="1"/>
  <c r="V24" i="1"/>
  <c r="V31" i="1"/>
  <c r="Q38" i="1"/>
  <c r="L38" i="1" s="1"/>
  <c r="V32" i="1"/>
  <c r="Q36" i="1"/>
  <c r="L36" i="1" s="1"/>
  <c r="Q40" i="1"/>
  <c r="L40" i="1" s="1"/>
  <c r="V33" i="1"/>
  <c r="V15" i="1"/>
  <c r="V42" i="1"/>
  <c r="Q27" i="1"/>
  <c r="L27" i="1" s="1"/>
  <c r="Q33" i="1"/>
  <c r="L33" i="1" s="1"/>
  <c r="J11" i="1"/>
  <c r="Q11" i="1"/>
  <c r="L11" i="1" s="1"/>
  <c r="Q34" i="1"/>
  <c r="L34" i="1" s="1"/>
  <c r="Q10" i="1"/>
  <c r="L10" i="1" s="1"/>
  <c r="V41" i="1"/>
  <c r="V18" i="1"/>
  <c r="Q37" i="1"/>
  <c r="L37" i="1" s="1"/>
  <c r="Q25" i="1"/>
  <c r="L25" i="1" s="1"/>
  <c r="V13" i="1"/>
  <c r="V23" i="1"/>
  <c r="V40" i="1"/>
  <c r="V38" i="1"/>
  <c r="V30" i="1"/>
  <c r="V21" i="1"/>
  <c r="V26" i="1"/>
  <c r="J13" i="1"/>
  <c r="Q13" i="1"/>
  <c r="L13" i="1" s="1"/>
  <c r="Q31" i="1"/>
  <c r="L31" i="1" s="1"/>
  <c r="J15" i="1"/>
  <c r="Q15" i="1"/>
  <c r="L15" i="1" s="1"/>
  <c r="Q26" i="1"/>
  <c r="L26" i="1" s="1"/>
  <c r="Q22" i="1"/>
  <c r="L22" i="1" s="1"/>
  <c r="Q12" i="1"/>
  <c r="L12" i="1" s="1"/>
  <c r="V10" i="1"/>
  <c r="V20" i="1"/>
  <c r="V14" i="1"/>
  <c r="V17" i="1"/>
  <c r="V39" i="1"/>
  <c r="V34" i="1"/>
  <c r="V16" i="1"/>
  <c r="J35" i="1"/>
  <c r="J9" i="1"/>
  <c r="J29" i="1"/>
  <c r="J37" i="1"/>
  <c r="J28" i="1"/>
  <c r="J19" i="1"/>
  <c r="J39" i="1"/>
  <c r="I43" i="1"/>
  <c r="J8" i="1"/>
  <c r="J21" i="1"/>
  <c r="J18" i="1"/>
  <c r="J41" i="1"/>
  <c r="V7" i="1"/>
  <c r="M11" i="6"/>
  <c r="V43" i="1"/>
  <c r="N43" i="1"/>
  <c r="U46" i="1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S12" i="1" l="1"/>
  <c r="T12" i="1" s="1"/>
  <c r="S13" i="1"/>
  <c r="T13" i="1" s="1"/>
  <c r="S18" i="1"/>
  <c r="T18" i="1" s="1"/>
  <c r="S19" i="1"/>
  <c r="T19" i="1" s="1"/>
  <c r="S24" i="1"/>
  <c r="T24" i="1" s="1"/>
  <c r="S27" i="1"/>
  <c r="T27" i="1" s="1"/>
  <c r="S32" i="1"/>
  <c r="T32" i="1" s="1"/>
  <c r="S35" i="1"/>
  <c r="T35" i="1" s="1"/>
  <c r="S40" i="1"/>
  <c r="T40" i="1" s="1"/>
  <c r="S17" i="1"/>
  <c r="T17" i="1" s="1"/>
  <c r="S23" i="1"/>
  <c r="T23" i="1" s="1"/>
  <c r="S28" i="1"/>
  <c r="T28" i="1" s="1"/>
  <c r="S39" i="1"/>
  <c r="T39" i="1" s="1"/>
  <c r="S10" i="1"/>
  <c r="T10" i="1" s="1"/>
  <c r="S11" i="1"/>
  <c r="T11" i="1" s="1"/>
  <c r="S22" i="1"/>
  <c r="T22" i="1" s="1"/>
  <c r="S25" i="1"/>
  <c r="T25" i="1" s="1"/>
  <c r="S30" i="1"/>
  <c r="T30" i="1" s="1"/>
  <c r="S33" i="1"/>
  <c r="T33" i="1" s="1"/>
  <c r="S38" i="1"/>
  <c r="T38" i="1" s="1"/>
  <c r="S14" i="1"/>
  <c r="T14" i="1" s="1"/>
  <c r="S15" i="1"/>
  <c r="T15" i="1" s="1"/>
  <c r="S21" i="1"/>
  <c r="T21" i="1" s="1"/>
  <c r="S26" i="1"/>
  <c r="T26" i="1" s="1"/>
  <c r="S29" i="1"/>
  <c r="T29" i="1" s="1"/>
  <c r="S34" i="1"/>
  <c r="T34" i="1" s="1"/>
  <c r="S37" i="1"/>
  <c r="T37" i="1" s="1"/>
  <c r="S42" i="1"/>
  <c r="T42" i="1" s="1"/>
  <c r="S9" i="1"/>
  <c r="T9" i="1" s="1"/>
  <c r="S16" i="1"/>
  <c r="T16" i="1" s="1"/>
  <c r="S20" i="1"/>
  <c r="T20" i="1" s="1"/>
  <c r="S31" i="1"/>
  <c r="T31" i="1" s="1"/>
  <c r="S36" i="1"/>
  <c r="T36" i="1" s="1"/>
  <c r="S8" i="1"/>
  <c r="T8" i="1" s="1"/>
  <c r="S41" i="1"/>
  <c r="T41" i="1" s="1"/>
  <c r="J43" i="1"/>
  <c r="S7" i="1"/>
  <c r="T7" i="1" s="1"/>
  <c r="S43" i="1"/>
  <c r="T43" i="1" s="1"/>
  <c r="R44" i="1"/>
  <c r="S44" i="1" s="1"/>
  <c r="R45" i="1"/>
  <c r="S45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<sst xmlns="http://schemas.openxmlformats.org/spreadsheetml/2006/main" count="302" uniqueCount="193">
  <si>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</si>
  <si>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</si>
  <si>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</si>
  <si>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</si>
  <si>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</si>
  <si>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</si>
  <si>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</si>
  <si>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</si>
  <si>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</si>
  <si>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</si>
  <si>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</si>
  <si>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</si>
  <si>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</si>
  <si>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</si>
  <si>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</si>
  <si>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</si>
  <si>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</si>
  <si>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</si>
  <si>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</si>
  <si>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</si>
  <si>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</si>
  <si>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</si>
  <si>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</si>
  <si>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</si>
  <si>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</si>
  <si>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</si>
  <si>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</si>
  <si>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</si>
  <si>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</si>
  <si>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</si>
  <si>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</si>
  <si>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</si>
  <si>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</si>
  <si>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</si>
  <si>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</si>
  <si>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</si>
  <si>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</si>
  <si>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</si>
  <si>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</si>
  <si>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</si>
  <si>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</si>
  <si>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</si>
  <si>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</si>
  <si>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</si>
  <si>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</si>
  <si>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</si>
  <si>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</si>
  <si>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</si>
  <si>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</si>
  <si>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</si>
  <si>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</si>
  <si>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</si>
  <si>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</si>
  <si>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</si>
  <si>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</si>
  <si>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</si>
  <si>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</si>
  <si>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</si>
  <si>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</si>
  <si>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</si>
  <si>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</si>
  <si>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</si>
  <si>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</si>
  <si>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</si>
  <si>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</si>
  <si>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</si>
  <si>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</si>
  <si>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</si>
  <si>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</si>
  <si>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</si>
  <si>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</si>
  <si>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</si>
  <si>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</si>
  <si>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</si>
  <si>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</si>
  <si>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</si>
  <si>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</si>
  <si>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</si>
  <si>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</si>
  <si>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</si>
  <si>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</si>
  <si>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</si>
  <si>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</si>
  <si>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</si>
  <si>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</si>
  <si>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</si>
  <si>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</si>
  <si>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</si>
  <si>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</si>
  <si>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</si>
  <si>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</si>
  <si>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</si>
  <si>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</si>
  <si>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</si>
  <si>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</si>
  <si>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</si>
  <si>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</si>
  <si>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</si>
  <si>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</si>
  <si>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</si>
  <si>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</si>
  <si>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</si>
  <si>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</si>
  <si>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</si>
  <si>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</si>
  <si>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</si>
  <si>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</si>
  <si>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</si>
  <si>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</si>
  <si>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</si>
  <si>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</si>
  <si>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</si>
  <si>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</si>
  <si>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</si>
  <si>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</si>
  <si>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</si>
  <si>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</si>
  <si>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</si>
  <si>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</si>
  <si>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</si>
  <si>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</si>
  <si>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</si>
  <si>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</si>
  <si>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</si>
  <si>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</si>
  <si>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</si>
  <si>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</si>
  <si>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</si>
  <si>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</si>
  <si>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</si>
  <si>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</si>
  <si>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</si>
  <si>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</si>
  <si>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</si>
  <si>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</si>
  <si>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</si>
  <si>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</si>
  <si>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</si>
  <si>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</si>
  <si>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</si>
  <si>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</si>
  <si>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</si>
  <si>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</si>
  <si>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</si>
  <si>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</si>
  <si>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</si>
  <si>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</si>
  <si>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</si>
  <si>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MONTOYA OSPINA GILBERTO ANTONIO</t>
  </si>
  <si>
    <t>GONZALEZ IPUANA RENE</t>
  </si>
  <si>
    <t>ALBERTO ARISTIZABAL RAFAEL</t>
  </si>
  <si>
    <t>QUIRAMA CASTAÑEDA JHON JADER</t>
  </si>
  <si>
    <t>SUAREZ ESCUDERO JONATAN</t>
  </si>
  <si>
    <t>SANCHEZ BETANCOURT FRANSCISCO</t>
  </si>
  <si>
    <t>PEREZ GARCIA JUAN ESTEBAN</t>
  </si>
  <si>
    <t>PALMAR PANA EDIXON JOSUE</t>
  </si>
  <si>
    <t>VALENCIA MENDOZA JHON</t>
  </si>
  <si>
    <t>OSORIO URREGO SANTIAGO</t>
  </si>
  <si>
    <t>CIRO MARIN RODRIGO ALBERTO</t>
  </si>
  <si>
    <t>PARRA VILLA YUBER ALONSO</t>
  </si>
  <si>
    <t>JIMENEZ HERNANDEZ ESTEBAN CAMILO</t>
  </si>
  <si>
    <t>MARIN ALZATE KEVIN ANDRES</t>
  </si>
  <si>
    <t>TABORDA ROJAS DIEGO ALEJANDRO</t>
  </si>
  <si>
    <t>PARIAS MURIEL JHON FREDY</t>
  </si>
  <si>
    <t>RUA CHAVARRIA YEFERSON ANDREY</t>
  </si>
  <si>
    <t>LOPERA ALVAREZ ESTIVEN</t>
  </si>
  <si>
    <t>JARAMILLO JARAMILLO FRANCISCO WBEIMAR</t>
  </si>
  <si>
    <t>FLORES RINCON JORGE ALBERTO</t>
  </si>
  <si>
    <t>JIMENEZ HURTADO CARLOS ESTIVEN</t>
  </si>
  <si>
    <t>GIL  ARLEX</t>
  </si>
  <si>
    <t>AGUDELO GARCIA DENIN ANGELO</t>
  </si>
  <si>
    <t>HERNANDEZ MACIAS GILBERTO</t>
  </si>
  <si>
    <t>YEPES TORRES JHON ALEXANDER</t>
  </si>
  <si>
    <t>CARTAGENA RAMIREZ FREDY ALONSO</t>
  </si>
  <si>
    <t>IBARGUEN GARRIDO JUAN ESTEBAN</t>
  </si>
  <si>
    <t>MACEA ARBELAEZ MATEO</t>
  </si>
  <si>
    <t>MARTINEZ CHAVERRA LUIS NORBERTO</t>
  </si>
  <si>
    <t>FRANCO CARVAJAL GERARDO ANTONIO</t>
  </si>
  <si>
    <t>DURANGO DAVID JOSE</t>
  </si>
  <si>
    <t>SALDARRIAGA PARRA LUIS ALBERTO</t>
  </si>
  <si>
    <t>VERENZUELA MARTINEZ ALEXANDER</t>
  </si>
  <si>
    <t>LEON PEREZ RAUL ENRIQUE</t>
  </si>
  <si>
    <t>AGUDELO GARCIA LLORDIN ELIAS</t>
  </si>
  <si>
    <t xml:space="preserve">2 Descuentos (Conducts) </t>
  </si>
  <si>
    <t xml:space="preserve">2 Descuentos (Usuarios desubicados)  </t>
  </si>
  <si>
    <t xml:space="preserve">3 Descuentos (Jefe de ruta) </t>
  </si>
  <si>
    <t xml:space="preserve">3 Descuentos (Usuarios desubicados y conduct) </t>
  </si>
  <si>
    <t xml:space="preserve">1 Descuento (Despachador) </t>
  </si>
  <si>
    <t xml:space="preserve">1 Descuento (Asociado) </t>
  </si>
  <si>
    <t xml:space="preserve">3 Descuentos (Asociados) </t>
  </si>
  <si>
    <t xml:space="preserve">FERNEY HENAO Realizó 7 viajes donde movilizó 70 Usuarios. 1 Descuento (Usuario desubicado)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</si>
  <si>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20.9 USUARIOS</t>
    </r>
  </si>
  <si>
    <t>FONDO (SIT)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</si>
</sst>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9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Fill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horizontal="center"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Import!$C$7:$C$43</c:f>
              <c:numCache>
                <c:formatCode>0</c:formatCode>
                <c:ptCount val="36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9</c:v>
                </c:pt>
                <c:pt idx="4">
                  <c:v>11</c:v>
                </c:pt>
                <c:pt idx="5" formatCode="General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18</c:v>
                </c:pt>
                <c:pt idx="10" formatCode="General">
                  <c:v>19</c:v>
                </c:pt>
                <c:pt idx="11">
                  <c:v>20</c:v>
                </c:pt>
                <c:pt idx="12">
                  <c:v>21</c:v>
                </c:pt>
                <c:pt idx="13">
                  <c:v>22</c:v>
                </c:pt>
                <c:pt idx="14">
                  <c:v>23</c:v>
                </c:pt>
                <c:pt idx="15">
                  <c:v>24</c:v>
                </c:pt>
                <c:pt idx="16">
                  <c:v>25</c:v>
                </c:pt>
                <c:pt idx="17">
                  <c:v>26</c:v>
                </c:pt>
                <c:pt idx="18" formatCode="General">
                  <c:v>27</c:v>
                </c:pt>
                <c:pt idx="19">
                  <c:v>28</c:v>
                </c:pt>
                <c:pt idx="20">
                  <c:v>29</c:v>
                </c:pt>
                <c:pt idx="21">
                  <c:v>30</c:v>
                </c:pt>
                <c:pt idx="22" formatCode="General">
                  <c:v>31</c:v>
                </c:pt>
                <c:pt idx="23">
                  <c:v>32</c:v>
                </c:pt>
                <c:pt idx="24">
                  <c:v>33</c:v>
                </c:pt>
                <c:pt idx="25">
                  <c:v>34</c:v>
                </c:pt>
                <c:pt idx="26">
                  <c:v>35</c:v>
                </c:pt>
                <c:pt idx="27">
                  <c:v>36</c:v>
                </c:pt>
                <c:pt idx="28">
                  <c:v>37</c:v>
                </c:pt>
                <c:pt idx="29">
                  <c:v>38</c:v>
                </c:pt>
                <c:pt idx="30">
                  <c:v>39</c:v>
                </c:pt>
                <c:pt idx="31">
                  <c:v>40</c:v>
                </c:pt>
                <c:pt idx="32">
                  <c:v>41</c:v>
                </c:pt>
                <c:pt idx="33">
                  <c:v>42</c:v>
                </c:pt>
                <c:pt idx="34">
                  <c:v>43</c:v>
                </c:pt>
                <c:pt idx="35">
                  <c:v>44</c:v>
                </c:pt>
              </c:numCache>
            </c:numRef>
          </c:cat>
          <c:val>
            <c:numRef>
              <c:f>Import!$H$7:$H$43</c:f>
              <c:numCache>
                <c:formatCode>_-* #,##0.0_-;\-* #,##0.0_-;_-* "-"??_-;_-@_-</c:formatCode>
                <c:ptCount val="36"/>
                <c:pt idx="0">
                  <c:v>24.1</c:v>
                </c:pt>
                <c:pt idx="1">
                  <c:v>21</c:v>
                </c:pt>
                <c:pt idx="2">
                  <c:v>18.600000000000001</c:v>
                </c:pt>
                <c:pt idx="3">
                  <c:v>20.777777777777779</c:v>
                </c:pt>
                <c:pt idx="4">
                  <c:v>20.100000000000001</c:v>
                </c:pt>
                <c:pt idx="5">
                  <c:v>19.600000000000001</c:v>
                </c:pt>
                <c:pt idx="6">
                  <c:v>21.1</c:v>
                </c:pt>
                <c:pt idx="7">
                  <c:v>17.875</c:v>
                </c:pt>
                <c:pt idx="8">
                  <c:v>20</c:v>
                </c:pt>
                <c:pt idx="9">
                  <c:v>21.333333333333332</c:v>
                </c:pt>
                <c:pt idx="10">
                  <c:v>19.142857142857142</c:v>
                </c:pt>
                <c:pt idx="11">
                  <c:v>18.5</c:v>
                </c:pt>
                <c:pt idx="12">
                  <c:v>16.666666666666668</c:v>
                </c:pt>
                <c:pt idx="13">
                  <c:v>26.125</c:v>
                </c:pt>
                <c:pt idx="14">
                  <c:v>19.666666666666668</c:v>
                </c:pt>
                <c:pt idx="15">
                  <c:v>18.166666666666668</c:v>
                </c:pt>
                <c:pt idx="16">
                  <c:v>19.5</c:v>
                </c:pt>
                <c:pt idx="17">
                  <c:v>19</c:v>
                </c:pt>
                <c:pt idx="18">
                  <c:v>25</c:v>
                </c:pt>
                <c:pt idx="19">
                  <c:v>19.454545454545453</c:v>
                </c:pt>
                <c:pt idx="20">
                  <c:v>22.625</c:v>
                </c:pt>
                <c:pt idx="21">
                  <c:v>18.777777777777779</c:v>
                </c:pt>
                <c:pt idx="22">
                  <c:v>21</c:v>
                </c:pt>
                <c:pt idx="23">
                  <c:v>24.222222222222221</c:v>
                </c:pt>
                <c:pt idx="24">
                  <c:v>20.5</c:v>
                </c:pt>
                <c:pt idx="25">
                  <c:v>21.90909090909091</c:v>
                </c:pt>
                <c:pt idx="26">
                  <c:v>21.363636363636363</c:v>
                </c:pt>
                <c:pt idx="27">
                  <c:v>24.2</c:v>
                </c:pt>
                <c:pt idx="28">
                  <c:v>22.428571428571427</c:v>
                </c:pt>
                <c:pt idx="29">
                  <c:v>19.600000000000001</c:v>
                </c:pt>
                <c:pt idx="30">
                  <c:v>20.09090909090909</c:v>
                </c:pt>
                <c:pt idx="31">
                  <c:v>21.666666666666668</c:v>
                </c:pt>
                <c:pt idx="32">
                  <c:v>18.8</c:v>
                </c:pt>
                <c:pt idx="33">
                  <c:v>20.8</c:v>
                </c:pt>
                <c:pt idx="34">
                  <c:v>26.363636363636363</c:v>
                </c:pt>
                <c:pt idx="35">
                  <c:v>21.166666666666668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43" totalsRowCount="1" headerRowDxfId="64" dataDxfId="63" totalsRowDxfId="62">
  <sortState xmlns:xlrd2="http://schemas.microsoft.com/office/spreadsheetml/2017/richdata2" ref="B7:N42">
    <sortCondition ref="C11:C42"/>
  </sortState>
  <tableColumns count="14">
    <tableColumn id="1" xr3:uid="{00000000-0010-0000-0000-000001000000}" name="RUTA" dataDxfId="34" totalsRowDxfId="13"/>
    <tableColumn id="2" xr3:uid="{00000000-0010-0000-0000-000002000000}" name="VEH" totalsRowFunction="countNums" dataDxfId="33" totalsRowDxfId="12"/>
    <tableColumn id="3" xr3:uid="{00000000-0010-0000-0000-000003000000}" name="CONDUCTOR" totalsRowLabel="Vehs " dataDxfId="32" totalsRowDxfId="11"/>
    <tableColumn id="4" xr3:uid="{00000000-0010-0000-0000-000004000000}" name="VIAJES" totalsRowFunction="sum" dataDxfId="31" totalsRowDxfId="10"/>
    <tableColumn id="5" xr3:uid="{00000000-0010-0000-0000-000005000000}" name="VIAJES PERD." totalsRowFunction="sum" dataDxfId="30" totalsRowDxfId="9"/>
    <tableColumn id="6" xr3:uid="{00000000-0010-0000-0000-000006000000}" name="USUARIOS" totalsRowFunction="sum" dataDxfId="29" totalsRowDxfId="8" dataCellStyle="Millares"/>
    <tableColumn id="12" xr3:uid="{00000000-0010-0000-0000-00000C000000}" name="PROM X VIAJE" totalsRowFunction="custom" dataDxfId="28" totalsRowDxfId="7" dataCellStyle="Millares">
      <totalsRowFormula>+Tabla2[[#Totals],[USUARIOS]]/Tabla2[[#Totals],[VIAJES]]</totalsRowFormula>
    </tableColumn>
    <tableColumn id="7" xr3:uid="{00000000-0010-0000-0000-000007000000}" name="PROM DE USUARIOS" totalsRowFunction="sum" dataDxfId="27" totalsRowDxfId="6" dataCellStyle="Millares"/>
    <tableColumn id="13" xr3:uid="{FCD2DCC9-9A34-483A-B1DC-9E398E7F3EDE}" name="RECIBE / ENTREGA" totalsRowFunction="sum" dataDxfId="26" totalsRowDxfId="5" dataCellStyle="Millares"/>
    <tableColumn id="8" xr3:uid="{00000000-0010-0000-0000-000008000000}" name="NOVEDADES" totalsRowLabel="PROMEDIO X VIAJE 20.9 USUARIOS" dataDxfId="25" totalsRowDxfId="4"/>
    <tableColumn id="9" xr3:uid="{00000000-0010-0000-0000-000009000000}" name="VALOR OPERACIÓN" dataDxfId="24" totalsRowDxfId="3">
      <calculatedColumnFormula>Q7*635</calculatedColumnFormula>
    </tableColumn>
    <tableColumn id="10" xr3:uid="{00000000-0010-0000-0000-00000A000000}" name="CLASIFIC." dataDxfId="23" totalsRowDxfId="2">
      <calculatedColumnFormula>+VLOOKUP(C7,Lista!B:D,3,0)</calculatedColumnFormula>
    </tableColumn>
    <tableColumn id="11" xr3:uid="{00000000-0010-0000-0000-00000B000000}" name="DIFER. MICRO - BUS " totalsRowFunction="sum" dataDxfId="22" totalsRowDxfId="1" dataCellStyle="Millares">
      <calculatedColumnFormula>+(SUMIFS(G:G,M:M,"MICRO",E:E,"&gt;0")*100)/COUNTIF($E$7:$E$42,"&gt;0")</calculatedColumnFormula>
    </tableColumn>
    <tableColumn id="14" xr3:uid="{0C99A825-119F-484A-BCC7-04D094F1522F}" name="FONDO (SIT)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61" dataDxfId="60" totalsRowDxfId="59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8" totalsRowDxfId="57"/>
    <tableColumn id="2" xr3:uid="{7E9A4909-E53D-4F94-80A1-A675A394CC57}" name="VEH" totalsRowLabel="4" dataDxfId="56" totalsRowDxfId="55"/>
    <tableColumn id="3" xr3:uid="{32EB6A87-92EF-4CA2-B1E8-104D5D2326F5}" name="CONDUCTOR" totalsRowLabel="Vehs " dataDxfId="54" totalsRowDxfId="53"/>
    <tableColumn id="4" xr3:uid="{72FB169E-4910-4353-AF10-07DA297F0CD5}" name="VIAJES" totalsRowFunction="sum" dataDxfId="52" totalsRowDxfId="51"/>
    <tableColumn id="5" xr3:uid="{F323DE89-3087-4D39-B0ED-15680CB2FE01}" name="VIAJES PERD." totalsRowFunction="sum" dataDxfId="50" totalsRowDxfId="49"/>
    <tableColumn id="6" xr3:uid="{FF87B711-9A02-4FB5-B21F-73198A4385A8}" name="USUARIOS" totalsRowFunction="sum" dataDxfId="48" totalsRowDxfId="47" dataCellStyle="Millares"/>
    <tableColumn id="12" xr3:uid="{60E0DB3A-B7E4-44B6-BB26-D54278C24006}" name="PROM X VIAJE" totalsRowFunction="average" dataDxfId="46" totalsRowDxfId="45" dataCellStyle="Millares"/>
    <tableColumn id="7" xr3:uid="{12134CBA-AEEC-4025-BB5C-89B13D8F91D4}" name="PROM DE USUARIOS" totalsRowFunction="sum" dataDxfId="44" totalsRowDxfId="43" dataCellStyle="Millares"/>
    <tableColumn id="8" xr3:uid="{F35B2CED-DE3E-48D9-8E47-198F9B4F56C9}" name="NOVEDADES" dataDxfId="42" totalsRowDxfId="41"/>
    <tableColumn id="9" xr3:uid="{4BD57B08-79CF-4422-A880-91A289697DC2}" name="VALOR OPERACIÓN" dataDxfId="40" totalsRowDxfId="39" dataCellStyle="Millares"/>
    <tableColumn id="10" xr3:uid="{E8B6C5A5-759D-4901-BD5D-0ADA9540975C}" name="CLASIFIC." dataDxfId="38" totalsRowDxfId="37"/>
    <tableColumn id="11" xr3:uid="{CFA53866-4E21-473F-9C2D-8FB2962BACB5}" name="DIFER. MICRO - BUS " totalsRowFunction="sum" dataDxfId="36" totalsRowDxfId="35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3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52.75" bestFit="1" customWidth="1"/>
    <col min="12" max="12" width="10.5" style="337" bestFit="1" customWidth="1"/>
    <col min="13" max="13" width="9.625" customWidth="1"/>
    <col min="14" max="14" width="11.375" customWidth="1"/>
    <col min="15" max="15" width="13.37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6" t="s">
        <v>142</v>
      </c>
      <c r="E1" s="366"/>
      <c r="F1" s="366"/>
      <c r="G1" s="366"/>
      <c r="H1" s="366"/>
      <c r="I1" s="19"/>
      <c r="J1" s="338"/>
      <c r="K1" s="195"/>
      <c r="L1"/>
    </row>
    <row r="2" spans="1:32" ht="49.5" thickBot="1" x14ac:dyDescent="0.35">
      <c r="D2" s="367" t="s">
        <v>141</v>
      </c>
      <c r="E2" s="367"/>
      <c r="F2" s="367"/>
      <c r="G2" s="367"/>
      <c r="H2" s="367"/>
      <c r="I2" s="367"/>
      <c r="J2" s="367"/>
      <c r="K2" s="367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8"/>
      <c r="C3" s="368"/>
      <c r="D3" s="368"/>
      <c r="E3" s="368"/>
      <c r="F3" s="368"/>
      <c r="G3" s="241"/>
      <c r="H3" s="243"/>
      <c r="I3" s="19"/>
      <c r="J3" s="338"/>
      <c r="K3" s="195"/>
      <c r="L3" s="197"/>
      <c r="Q3" s="55">
        <f>+SUM(G6:G1854)/2</f>
        <v>7134</v>
      </c>
      <c r="R3" s="55">
        <f>+SUM(E6:E1854)/2</f>
        <v>341</v>
      </c>
      <c r="S3" s="55">
        <f>+Q3-R3</f>
        <v>6793</v>
      </c>
      <c r="T3" s="56">
        <f>+S3/R3</f>
        <v>19.920821114369502</v>
      </c>
      <c r="V3" s="15"/>
      <c r="X3" s="15"/>
      <c r="Z3" s="15"/>
      <c r="AB3" s="15"/>
      <c r="AD3" s="15"/>
      <c r="AF3" s="15"/>
    </row>
    <row r="4" spans="1:32" x14ac:dyDescent="0.2">
      <c r="B4" s="368"/>
      <c r="C4" s="368"/>
      <c r="D4" s="368"/>
      <c r="E4" s="368"/>
      <c r="F4" s="368"/>
      <c r="G4" s="194">
        <v>46042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192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14.25" customHeight="1" x14ac:dyDescent="0.2">
      <c r="B7" s="136" t="s">
        <v>121</v>
      </c>
      <c r="C7" s="166">
        <v>2</v>
      </c>
      <c r="D7" s="151" t="s">
        <v>163</v>
      </c>
      <c r="E7" s="150">
        <v>10</v>
      </c>
      <c r="F7" s="150">
        <v>0</v>
      </c>
      <c r="G7" s="165">
        <v>241</v>
      </c>
      <c r="H7" s="226">
        <f>+G7/E7</f>
        <v>24.1</v>
      </c>
      <c r="I7" s="227">
        <f>+(SUM($G$7:$G$1048576)/SUM($E$7:$E$1048576))*E7</f>
        <v>209.20821114369502</v>
      </c>
      <c r="J7" s="363">
        <f>+Tabla2[[#This Row],[PROM DE USUARIOS]]-Tabla2[[#This Row],[USUARIOS]]</f>
        <v>-31.791788856304976</v>
      </c>
      <c r="K7" s="151"/>
      <c r="L7" s="163">
        <f>Q7*635</f>
        <v>126497.21407624634</v>
      </c>
      <c r="M7" s="162">
        <f>+VLOOKUP(C7,Lista!B:D,3,0)</f>
        <v>0</v>
      </c>
      <c r="N7" s="164">
        <f>+(SUMIFS(G:G,M:M,"MICRO",E:E,"&gt;0")*100)/COUNTIF($E$7:$E$42,"&gt;0")</f>
        <v>11388.888888888889</v>
      </c>
      <c r="O7" s="164">
        <f>Tabla2[[#This Row],[USUARIOS]]*150</f>
        <v>36150</v>
      </c>
      <c r="P7" s="50">
        <f>+(E7*1)-W7</f>
        <v>10</v>
      </c>
      <c r="Q7" s="47">
        <f>+I7-P7-X7</f>
        <v>199.20821114369502</v>
      </c>
      <c r="R7" s="49">
        <f>+G7-P7</f>
        <v>231</v>
      </c>
      <c r="S7" s="51">
        <f>+E7*$T$3</f>
        <v>199.20821114369502</v>
      </c>
      <c r="T7" s="46">
        <f t="shared" ref="T7" si="0">+S7*550</f>
        <v>109564.51612903226</v>
      </c>
      <c r="U7" t="str">
        <f>+IF(K7&lt;&gt;"",K7,"")</f>
        <v/>
      </c>
      <c r="V7">
        <f>+RANK(H7,$H$6:$H$1048576,1)</f>
        <v>32</v>
      </c>
      <c r="W7"/>
      <c r="X7"/>
      <c r="Z7" t="str">
        <f>TRIM(Tabla2[[#This Row],[CONDUCTOR]])</f>
        <v>PARIAS MURIEL JHON FREDY</v>
      </c>
    </row>
    <row r="8" spans="1:32" x14ac:dyDescent="0.2">
      <c r="B8" s="136" t="s">
        <v>122</v>
      </c>
      <c r="C8" s="166">
        <v>4</v>
      </c>
      <c r="D8" s="151" t="s">
        <v>153</v>
      </c>
      <c r="E8" s="150">
        <v>11</v>
      </c>
      <c r="F8" s="150">
        <v>0</v>
      </c>
      <c r="G8" s="146">
        <v>231</v>
      </c>
      <c r="H8" s="226">
        <f>+G8/E8</f>
        <v>21</v>
      </c>
      <c r="I8" s="227">
        <f>+(SUM($G$7:$G$1048576)/SUM($E$7:$E$1048576))*E8</f>
        <v>230.12903225806451</v>
      </c>
      <c r="J8" s="363">
        <f>+Tabla2[[#This Row],[PROM DE USUARIOS]]-Tabla2[[#This Row],[USUARIOS]]</f>
        <v>-0.87096774193548754</v>
      </c>
      <c r="K8" s="151"/>
      <c r="L8" s="163">
        <f t="shared" ref="L8:L42" si="1">Q8*635</f>
        <v>139146.93548387097</v>
      </c>
      <c r="M8" s="162" t="str">
        <f>+VLOOKUP(C8,Lista!B:D,3,0)</f>
        <v>MICRO</v>
      </c>
      <c r="N8" s="164">
        <f t="shared" ref="N8:N42" si="2">+(SUMIFS(G:G,M:M,"MICRO",E:E,"&gt;0")*100)/COUNTIF($E$7:$E$42,"&gt;0")</f>
        <v>11388.888888888889</v>
      </c>
      <c r="O8" s="164">
        <f>Tabla2[[#This Row],[USUARIOS]]*150</f>
        <v>34650</v>
      </c>
      <c r="P8" s="50">
        <f>+(E8*1)-W8</f>
        <v>11</v>
      </c>
      <c r="Q8" s="47">
        <f>+I8-P8-X8</f>
        <v>219.12903225806451</v>
      </c>
      <c r="R8" s="49">
        <f>+G8-P8</f>
        <v>220</v>
      </c>
      <c r="S8" s="51">
        <f>+E8*$T$3</f>
        <v>219.12903225806451</v>
      </c>
      <c r="T8" s="46">
        <f t="shared" ref="T8:T42" si="3">+S8*550</f>
        <v>120520.96774193548</v>
      </c>
      <c r="U8" t="str">
        <f>+IF(K8&lt;&gt;"",K8,"")</f>
        <v/>
      </c>
      <c r="V8">
        <f>+RANK(H8,$H$6:$H$1048576,1)</f>
        <v>22</v>
      </c>
      <c r="Z8" t="str">
        <f>TRIM(Tabla2[[#This Row],[CONDUCTOR]])</f>
        <v>SANCHEZ BETANCOURT FRANSCISCO</v>
      </c>
    </row>
    <row r="9" spans="1:32" x14ac:dyDescent="0.2">
      <c r="B9" s="136" t="s">
        <v>121</v>
      </c>
      <c r="C9" s="166">
        <v>8</v>
      </c>
      <c r="D9" s="151" t="s">
        <v>166</v>
      </c>
      <c r="E9" s="150">
        <v>10</v>
      </c>
      <c r="F9" s="150">
        <v>0</v>
      </c>
      <c r="G9" s="146">
        <v>186</v>
      </c>
      <c r="H9" s="226">
        <f>+G9/E9</f>
        <v>18.600000000000001</v>
      </c>
      <c r="I9" s="364">
        <f>+(SUM($G$7:$G$1048576)/SUM($E$7:$E$1048576))*E9</f>
        <v>209.20821114369502</v>
      </c>
      <c r="J9" s="363">
        <f>+Tabla2[[#This Row],[PROM DE USUARIOS]]-Tabla2[[#This Row],[USUARIOS]]</f>
        <v>23.208211143695024</v>
      </c>
      <c r="K9" s="151"/>
      <c r="L9" s="163">
        <f t="shared" si="1"/>
        <v>126497.21407624634</v>
      </c>
      <c r="M9" s="162">
        <f>+VLOOKUP(C9,Lista!B:D,3,0)</f>
        <v>0</v>
      </c>
      <c r="N9" s="164">
        <f t="shared" si="2"/>
        <v>11388.888888888889</v>
      </c>
      <c r="O9" s="164">
        <f>Tabla2[[#This Row],[USUARIOS]]*150</f>
        <v>27900</v>
      </c>
      <c r="P9" s="50">
        <f>+(E9*1)-W9</f>
        <v>10</v>
      </c>
      <c r="Q9" s="47">
        <f>+I9-P9-X9</f>
        <v>199.20821114369502</v>
      </c>
      <c r="R9" s="49">
        <f>+G9-P9</f>
        <v>176</v>
      </c>
      <c r="S9" s="51">
        <f>+E9*$T$3</f>
        <v>199.20821114369502</v>
      </c>
      <c r="T9" s="46">
        <f t="shared" si="3"/>
        <v>109564.51612903226</v>
      </c>
      <c r="U9" t="str">
        <f>+IF(K9&lt;&gt;"",K9,"")</f>
        <v/>
      </c>
      <c r="V9">
        <f>+RANK(H9,$H$6:$H$1048576,1)</f>
        <v>5</v>
      </c>
      <c r="Z9" t="str">
        <f>TRIM(Tabla2[[#This Row],[CONDUCTOR]])</f>
        <v>JARAMILLO JARAMILLO FRANCISCO WBEIMAR</v>
      </c>
    </row>
    <row r="10" spans="1:32" x14ac:dyDescent="0.2">
      <c r="B10" s="136" t="s">
        <v>122</v>
      </c>
      <c r="C10" s="166">
        <v>9</v>
      </c>
      <c r="D10" s="151" t="s">
        <v>173</v>
      </c>
      <c r="E10" s="150">
        <v>9</v>
      </c>
      <c r="F10" s="150">
        <v>0</v>
      </c>
      <c r="G10" s="146">
        <v>187</v>
      </c>
      <c r="H10" s="226">
        <f>+G10/E10</f>
        <v>20.777777777777779</v>
      </c>
      <c r="I10" s="364">
        <f>+(SUM($G$7:$G$1048576)/SUM($E$7:$E$1048576))*E10</f>
        <v>188.28739002932554</v>
      </c>
      <c r="J10" s="363">
        <f>+Tabla2[[#This Row],[PROM DE USUARIOS]]-Tabla2[[#This Row],[USUARIOS]]</f>
        <v>1.287390029325536</v>
      </c>
      <c r="K10" s="151" t="s">
        <v>183</v>
      </c>
      <c r="L10" s="163">
        <f t="shared" si="1"/>
        <v>113847.49266862172</v>
      </c>
      <c r="M10" s="162" t="str">
        <f>+VLOOKUP(C10,Lista!B:D,3,0)</f>
        <v>MICRO</v>
      </c>
      <c r="N10" s="164">
        <f t="shared" si="2"/>
        <v>11388.888888888889</v>
      </c>
      <c r="O10" s="164">
        <f>Tabla2[[#This Row],[USUARIOS]]*150</f>
        <v>28050</v>
      </c>
      <c r="P10" s="50">
        <f>+(E10*1)-W10</f>
        <v>9</v>
      </c>
      <c r="Q10" s="47">
        <f>+I10-P10-X10</f>
        <v>179.28739002932554</v>
      </c>
      <c r="R10" s="49">
        <f>+G10-P10</f>
        <v>178</v>
      </c>
      <c r="S10" s="51">
        <f>+E10*$T$3</f>
        <v>179.28739002932554</v>
      </c>
      <c r="T10" s="46">
        <f t="shared" si="3"/>
        <v>98608.064516129045</v>
      </c>
      <c r="U10" t="str">
        <f>+IF(K10&lt;&gt;"",K10,"")</f>
        <v xml:space="preserve">2 Descuentos (Conducts) </v>
      </c>
      <c r="V10">
        <f>+RANK(H10,$H$6:$H$1048576,1)</f>
        <v>19</v>
      </c>
      <c r="Z10" t="str">
        <f>TRIM(Tabla2[[#This Row],[CONDUCTOR]])</f>
        <v>CARTAGENA RAMIREZ FREDY ALONSO</v>
      </c>
    </row>
    <row r="11" spans="1:32" x14ac:dyDescent="0.2">
      <c r="B11" s="136" t="s">
        <v>122</v>
      </c>
      <c r="C11" s="166">
        <v>11</v>
      </c>
      <c r="D11" s="151" t="s">
        <v>172</v>
      </c>
      <c r="E11" s="150">
        <v>10</v>
      </c>
      <c r="F11" s="150">
        <v>0</v>
      </c>
      <c r="G11" s="146">
        <v>201</v>
      </c>
      <c r="H11" s="226">
        <f>+G11/E11</f>
        <v>20.100000000000001</v>
      </c>
      <c r="I11" s="364">
        <f>+(SUM($G$7:$G$1048576)/SUM($E$7:$E$1048576))*E11</f>
        <v>209.20821114369502</v>
      </c>
      <c r="J11" s="363">
        <f>+Tabla2[[#This Row],[PROM DE USUARIOS]]-Tabla2[[#This Row],[USUARIOS]]</f>
        <v>8.2082111436950242</v>
      </c>
      <c r="K11" s="151" t="s">
        <v>184</v>
      </c>
      <c r="L11" s="163">
        <f t="shared" si="1"/>
        <v>126497.21407624634</v>
      </c>
      <c r="M11" s="162" t="str">
        <f>+VLOOKUP(C11,Lista!B:D,3,0)</f>
        <v>MICRO</v>
      </c>
      <c r="N11" s="164">
        <f t="shared" si="2"/>
        <v>11388.888888888889</v>
      </c>
      <c r="O11" s="164">
        <f>Tabla2[[#This Row],[USUARIOS]]*150</f>
        <v>30150</v>
      </c>
      <c r="P11" s="50">
        <f>+(E11*1)-W11</f>
        <v>10</v>
      </c>
      <c r="Q11" s="47">
        <f>+I11-P11-X11</f>
        <v>199.20821114369502</v>
      </c>
      <c r="R11" s="49">
        <f>+G11-P11</f>
        <v>191</v>
      </c>
      <c r="S11" s="51">
        <f>+E11*$T$3</f>
        <v>199.20821114369502</v>
      </c>
      <c r="T11" s="46">
        <f t="shared" si="3"/>
        <v>109564.51612903226</v>
      </c>
      <c r="U11" t="str">
        <f>+IF(K11&lt;&gt;"",K11,"")</f>
        <v xml:space="preserve">2 Descuentos (Usuarios desubicados)  </v>
      </c>
      <c r="V11">
        <f>+RANK(H11,$H$6:$H$1048576,1)</f>
        <v>17</v>
      </c>
      <c r="Z11" t="str">
        <f>TRIM(Tabla2[[#This Row],[CONDUCTOR]])</f>
        <v>YEPES TORRES JHON ALEXANDER</v>
      </c>
    </row>
    <row r="12" spans="1:32" x14ac:dyDescent="0.2">
      <c r="B12" s="136" t="s">
        <v>121</v>
      </c>
      <c r="C12" s="137">
        <v>13</v>
      </c>
      <c r="D12" s="151" t="s">
        <v>169</v>
      </c>
      <c r="E12" s="150">
        <v>10</v>
      </c>
      <c r="F12" s="150">
        <v>0</v>
      </c>
      <c r="G12" s="146">
        <v>196</v>
      </c>
      <c r="H12" s="226">
        <f>+G12/E12</f>
        <v>19.600000000000001</v>
      </c>
      <c r="I12" s="227">
        <f>+(SUM($G$7:$G$1048576)/SUM($E$7:$E$1048576))*E12</f>
        <v>209.20821114369502</v>
      </c>
      <c r="J12" s="363">
        <f>+Tabla2[[#This Row],[PROM DE USUARIOS]]-Tabla2[[#This Row],[USUARIOS]]</f>
        <v>13.208211143695024</v>
      </c>
      <c r="K12" s="151"/>
      <c r="L12" s="163">
        <f t="shared" si="1"/>
        <v>126497.21407624634</v>
      </c>
      <c r="M12" s="162" t="str">
        <f>+VLOOKUP(C12,Lista!B:D,3,0)</f>
        <v>MICRO</v>
      </c>
      <c r="N12" s="164">
        <f t="shared" si="2"/>
        <v>11388.888888888889</v>
      </c>
      <c r="O12" s="164">
        <f>Tabla2[[#This Row],[USUARIOS]]*150</f>
        <v>29400</v>
      </c>
      <c r="P12" s="50">
        <f>+(E12*1)-W12</f>
        <v>10</v>
      </c>
      <c r="Q12" s="47">
        <f>+I12-P12-X12</f>
        <v>199.20821114369502</v>
      </c>
      <c r="R12" s="49">
        <f>+G12-P12</f>
        <v>186</v>
      </c>
      <c r="S12" s="51">
        <f>+E12*$T$3</f>
        <v>199.20821114369502</v>
      </c>
      <c r="T12" s="46">
        <f t="shared" si="3"/>
        <v>109564.51612903226</v>
      </c>
      <c r="U12" t="str">
        <f>+IF(K12&lt;&gt;"",K12,"")</f>
        <v/>
      </c>
      <c r="V12">
        <f>+RANK(H12,$H$6:$H$1048576,1)</f>
        <v>12</v>
      </c>
      <c r="Z12" t="str">
        <f>TRIM(Tabla2[[#This Row],[CONDUCTOR]])</f>
        <v>GIL ARLEX</v>
      </c>
    </row>
    <row r="13" spans="1:32" x14ac:dyDescent="0.2">
      <c r="B13" s="136" t="s">
        <v>122</v>
      </c>
      <c r="C13" s="166">
        <v>14</v>
      </c>
      <c r="D13" s="151" t="s">
        <v>180</v>
      </c>
      <c r="E13" s="150">
        <v>10</v>
      </c>
      <c r="F13" s="150">
        <v>0</v>
      </c>
      <c r="G13" s="165">
        <v>211</v>
      </c>
      <c r="H13" s="226">
        <f>+G13/E13</f>
        <v>21.1</v>
      </c>
      <c r="I13" s="227">
        <f>+(SUM($G$7:$G$1048576)/SUM($E$7:$E$1048576))*E13</f>
        <v>209.20821114369502</v>
      </c>
      <c r="J13" s="363">
        <f>+Tabla2[[#This Row],[PROM DE USUARIOS]]-Tabla2[[#This Row],[USUARIOS]]</f>
        <v>-1.7917888563049758</v>
      </c>
      <c r="K13" s="151"/>
      <c r="L13" s="163">
        <f t="shared" si="1"/>
        <v>126497.21407624634</v>
      </c>
      <c r="M13" s="162">
        <f>+VLOOKUP(C13,Lista!B:D,3,0)</f>
        <v>0</v>
      </c>
      <c r="N13" s="164">
        <f t="shared" si="2"/>
        <v>11388.888888888889</v>
      </c>
      <c r="O13" s="164">
        <f>Tabla2[[#This Row],[USUARIOS]]*150</f>
        <v>31650</v>
      </c>
      <c r="P13" s="50">
        <f>+(E13*1)-W13</f>
        <v>10</v>
      </c>
      <c r="Q13" s="47">
        <f>+I13-P13-X13</f>
        <v>199.20821114369502</v>
      </c>
      <c r="R13" s="49">
        <f>+G13-P13</f>
        <v>201</v>
      </c>
      <c r="S13" s="51">
        <f>+E13*$T$3</f>
        <v>199.20821114369502</v>
      </c>
      <c r="T13" s="46">
        <f t="shared" si="3"/>
        <v>109564.51612903226</v>
      </c>
      <c r="U13" t="str">
        <f>+IF(K13&lt;&gt;"",K13,"")</f>
        <v/>
      </c>
      <c r="V13">
        <f>+RANK(H13,$H$6:$H$1048576,1)</f>
        <v>24</v>
      </c>
      <c r="Z13" t="str">
        <f>TRIM(Tabla2[[#This Row],[CONDUCTOR]])</f>
        <v>VERENZUELA MARTINEZ ALEXANDER</v>
      </c>
    </row>
    <row r="14" spans="1:32" x14ac:dyDescent="0.2">
      <c r="B14" s="136" t="s">
        <v>121</v>
      </c>
      <c r="C14" s="166">
        <v>15</v>
      </c>
      <c r="D14" s="151" t="s">
        <v>171</v>
      </c>
      <c r="E14" s="150">
        <v>8</v>
      </c>
      <c r="F14" s="150">
        <v>0</v>
      </c>
      <c r="G14" s="165">
        <v>143</v>
      </c>
      <c r="H14" s="226">
        <f>+G14/E14</f>
        <v>17.875</v>
      </c>
      <c r="I14" s="227">
        <f>+(SUM($G$7:$G$1048576)/SUM($E$7:$E$1048576))*E14</f>
        <v>167.36656891495602</v>
      </c>
      <c r="J14" s="363">
        <f>+Tabla2[[#This Row],[PROM DE USUARIOS]]-Tabla2[[#This Row],[USUARIOS]]</f>
        <v>24.366568914956019</v>
      </c>
      <c r="K14" s="151" t="s">
        <v>185</v>
      </c>
      <c r="L14" s="163">
        <f t="shared" si="1"/>
        <v>101197.77126099708</v>
      </c>
      <c r="M14" s="162">
        <f>+VLOOKUP(C14,Lista!B:D,3,0)</f>
        <v>0</v>
      </c>
      <c r="N14" s="164">
        <f t="shared" si="2"/>
        <v>11388.888888888889</v>
      </c>
      <c r="O14" s="164">
        <f>Tabla2[[#This Row],[USUARIOS]]*150</f>
        <v>21450</v>
      </c>
      <c r="P14" s="50">
        <f>+(E14*1)-W14</f>
        <v>8</v>
      </c>
      <c r="Q14" s="47">
        <f>+I14-P14-X14</f>
        <v>159.36656891495602</v>
      </c>
      <c r="R14" s="49">
        <f>+G14-P14</f>
        <v>135</v>
      </c>
      <c r="S14" s="51">
        <f>+E14*$T$3</f>
        <v>159.36656891495602</v>
      </c>
      <c r="T14" s="46">
        <f t="shared" si="3"/>
        <v>87651.612903225818</v>
      </c>
      <c r="U14" t="str">
        <f>+IF(K14&lt;&gt;"",K14,"")</f>
        <v xml:space="preserve">3 Descuentos (Jefe de ruta) </v>
      </c>
      <c r="V14">
        <f>+RANK(H14,$H$6:$H$1048576,1)</f>
        <v>2</v>
      </c>
      <c r="Z14" t="str">
        <f>TRIM(Tabla2[[#This Row],[CONDUCTOR]])</f>
        <v>HERNANDEZ MACIAS GILBERTO</v>
      </c>
    </row>
    <row r="15" spans="1:32" x14ac:dyDescent="0.2">
      <c r="B15" s="136" t="s">
        <v>122</v>
      </c>
      <c r="C15" s="166">
        <v>16</v>
      </c>
      <c r="D15" s="151" t="s">
        <v>154</v>
      </c>
      <c r="E15" s="150">
        <v>10</v>
      </c>
      <c r="F15" s="150">
        <v>0</v>
      </c>
      <c r="G15" s="146">
        <v>200</v>
      </c>
      <c r="H15" s="226">
        <f>+G15/E15</f>
        <v>20</v>
      </c>
      <c r="I15" s="364">
        <f>+(SUM($G$7:$G$1048576)/SUM($E$7:$E$1048576))*E15</f>
        <v>209.20821114369502</v>
      </c>
      <c r="J15" s="363">
        <f>+Tabla2[[#This Row],[PROM DE USUARIOS]]-Tabla2[[#This Row],[USUARIOS]]</f>
        <v>9.2082111436950242</v>
      </c>
      <c r="K15" s="151" t="s">
        <v>186</v>
      </c>
      <c r="L15" s="163">
        <f t="shared" si="1"/>
        <v>126497.21407624634</v>
      </c>
      <c r="M15" s="162" t="str">
        <f>+VLOOKUP(C15,Lista!B:D,3,0)</f>
        <v>MICRO</v>
      </c>
      <c r="N15" s="164">
        <f t="shared" si="2"/>
        <v>11388.888888888889</v>
      </c>
      <c r="O15" s="164">
        <f>Tabla2[[#This Row],[USUARIOS]]*150</f>
        <v>30000</v>
      </c>
      <c r="P15" s="50">
        <f>+(E15*1)-W15</f>
        <v>10</v>
      </c>
      <c r="Q15" s="47">
        <f>+I15-P15-X15</f>
        <v>199.20821114369502</v>
      </c>
      <c r="R15" s="49">
        <f>+G15-P15</f>
        <v>190</v>
      </c>
      <c r="S15" s="51">
        <f>+E15*$T$3</f>
        <v>199.20821114369502</v>
      </c>
      <c r="T15" s="46">
        <f t="shared" si="3"/>
        <v>109564.51612903226</v>
      </c>
      <c r="U15" t="str">
        <f>+IF(K15&lt;&gt;"",K15,"")</f>
        <v xml:space="preserve">3 Descuentos (Usuarios desubicados y conduct) </v>
      </c>
      <c r="V15">
        <f>+RANK(H15,$H$6:$H$1048576,1)</f>
        <v>15</v>
      </c>
      <c r="Z15" t="str">
        <f>TRIM(Tabla2[[#This Row],[CONDUCTOR]])</f>
        <v>PEREZ GARCIA JUAN ESTEBAN</v>
      </c>
    </row>
    <row r="16" spans="1:32" x14ac:dyDescent="0.2">
      <c r="B16" s="136" t="s">
        <v>121</v>
      </c>
      <c r="C16" s="166">
        <v>18</v>
      </c>
      <c r="D16" s="151" t="s">
        <v>150</v>
      </c>
      <c r="E16" s="150">
        <v>9</v>
      </c>
      <c r="F16" s="150">
        <v>0</v>
      </c>
      <c r="G16" s="165">
        <v>192</v>
      </c>
      <c r="H16" s="226">
        <f>+G16/E16</f>
        <v>21.333333333333332</v>
      </c>
      <c r="I16" s="227">
        <f>+(SUM($G$7:$G$1048576)/SUM($E$7:$E$1048576))*E16</f>
        <v>188.28739002932554</v>
      </c>
      <c r="J16" s="363">
        <f>+Tabla2[[#This Row],[PROM DE USUARIOS]]-Tabla2[[#This Row],[USUARIOS]]</f>
        <v>-3.712609970674464</v>
      </c>
      <c r="K16" s="151"/>
      <c r="L16" s="163">
        <f t="shared" si="1"/>
        <v>113847.49266862172</v>
      </c>
      <c r="M16" s="162" t="str">
        <f>+VLOOKUP(C16,Lista!B:D,3,0)</f>
        <v>MICRO</v>
      </c>
      <c r="N16" s="164">
        <f t="shared" si="2"/>
        <v>11388.888888888889</v>
      </c>
      <c r="O16" s="164">
        <f>Tabla2[[#This Row],[USUARIOS]]*150</f>
        <v>28800</v>
      </c>
      <c r="P16" s="50">
        <f>+(E16*1)-W16</f>
        <v>9</v>
      </c>
      <c r="Q16" s="47">
        <f>+I16-P16-X16</f>
        <v>179.28739002932554</v>
      </c>
      <c r="R16" s="49">
        <f>+G16-P16</f>
        <v>183</v>
      </c>
      <c r="S16" s="51">
        <f>+E16*$T$3</f>
        <v>179.28739002932554</v>
      </c>
      <c r="T16" s="46">
        <f t="shared" si="3"/>
        <v>98608.064516129045</v>
      </c>
      <c r="U16" t="str">
        <f>+IF(K16&lt;&gt;"",K16,"")</f>
        <v/>
      </c>
      <c r="V16">
        <f>+RANK(H16,$H$6:$H$1048576,1)</f>
        <v>26</v>
      </c>
      <c r="Z16" t="str">
        <f>TRIM(Tabla2[[#This Row],[CONDUCTOR]])</f>
        <v>ALBERTO ARISTIZABAL RAFAEL</v>
      </c>
    </row>
    <row r="17" spans="2:26" x14ac:dyDescent="0.2">
      <c r="B17" s="136" t="s">
        <v>122</v>
      </c>
      <c r="C17" s="137">
        <v>19</v>
      </c>
      <c r="D17" s="151" t="s">
        <v>175</v>
      </c>
      <c r="E17" s="150">
        <v>7</v>
      </c>
      <c r="F17" s="150">
        <v>0</v>
      </c>
      <c r="G17" s="165">
        <v>134</v>
      </c>
      <c r="H17" s="226">
        <f>+G17/E17</f>
        <v>19.142857142857142</v>
      </c>
      <c r="I17" s="227">
        <f>+(SUM($G$7:$G$1048576)/SUM($E$7:$E$1048576))*E17</f>
        <v>146.4457478005865</v>
      </c>
      <c r="J17" s="363">
        <f>+Tabla2[[#This Row],[PROM DE USUARIOS]]-Tabla2[[#This Row],[USUARIOS]]</f>
        <v>12.445747800586503</v>
      </c>
      <c r="K17" s="151"/>
      <c r="L17" s="163">
        <f t="shared" si="1"/>
        <v>88548.049853372431</v>
      </c>
      <c r="M17" s="162" t="str">
        <f>+VLOOKUP(C17,Lista!B:D,3,0)</f>
        <v>MICRO</v>
      </c>
      <c r="N17" s="164">
        <f t="shared" si="2"/>
        <v>11388.888888888889</v>
      </c>
      <c r="O17" s="164">
        <f>Tabla2[[#This Row],[USUARIOS]]*150</f>
        <v>20100</v>
      </c>
      <c r="P17" s="50">
        <f>+(E17*1)-W17</f>
        <v>7</v>
      </c>
      <c r="Q17" s="47">
        <f>+I17-P17-X17</f>
        <v>139.4457478005865</v>
      </c>
      <c r="R17" s="49">
        <f>+G17-P17</f>
        <v>127</v>
      </c>
      <c r="S17" s="51">
        <f>+E17*$T$3</f>
        <v>139.4457478005865</v>
      </c>
      <c r="T17" s="46">
        <f t="shared" si="3"/>
        <v>76695.161290322576</v>
      </c>
      <c r="U17" t="str">
        <f>+IF(K17&lt;&gt;"",K17,"")</f>
        <v/>
      </c>
      <c r="V17">
        <f>+RANK(H17,$H$6:$H$1048576,1)</f>
        <v>9</v>
      </c>
      <c r="Z17" t="str">
        <f>TRIM(Tabla2[[#This Row],[CONDUCTOR]])</f>
        <v>MACEA ARBELAEZ MATEO</v>
      </c>
    </row>
    <row r="18" spans="2:26" x14ac:dyDescent="0.2">
      <c r="B18" s="136" t="s">
        <v>121</v>
      </c>
      <c r="C18" s="166">
        <v>20</v>
      </c>
      <c r="D18" s="151" t="s">
        <v>156</v>
      </c>
      <c r="E18" s="150">
        <v>10</v>
      </c>
      <c r="F18" s="150"/>
      <c r="G18" s="146">
        <v>185</v>
      </c>
      <c r="H18" s="226">
        <f>+G18/E18</f>
        <v>18.5</v>
      </c>
      <c r="I18" s="364">
        <f>+(SUM($G$7:$G$1048576)/SUM($E$7:$E$1048576))*E18</f>
        <v>209.20821114369502</v>
      </c>
      <c r="J18" s="363">
        <f>+Tabla2[[#This Row],[PROM DE USUARIOS]]-Tabla2[[#This Row],[USUARIOS]]</f>
        <v>24.208211143695024</v>
      </c>
      <c r="K18" s="151"/>
      <c r="L18" s="163">
        <f t="shared" si="1"/>
        <v>126497.21407624634</v>
      </c>
      <c r="M18" s="162" t="str">
        <f>+VLOOKUP(C18,Lista!B:D,3,0)</f>
        <v>MICRO</v>
      </c>
      <c r="N18" s="164">
        <f t="shared" si="2"/>
        <v>11388.888888888889</v>
      </c>
      <c r="O18" s="164">
        <f>Tabla2[[#This Row],[USUARIOS]]*150</f>
        <v>27750</v>
      </c>
      <c r="P18" s="50">
        <f>+(E18*1)-W18</f>
        <v>10</v>
      </c>
      <c r="Q18" s="47">
        <f>+I18-P18-X18</f>
        <v>199.20821114369502</v>
      </c>
      <c r="R18" s="49">
        <f>+G18-P18</f>
        <v>175</v>
      </c>
      <c r="S18" s="51">
        <f>+E18*$T$3</f>
        <v>199.20821114369502</v>
      </c>
      <c r="T18" s="46">
        <f t="shared" si="3"/>
        <v>109564.51612903226</v>
      </c>
      <c r="U18" t="str">
        <f>+IF(K18&lt;&gt;"",K18,"")</f>
        <v/>
      </c>
      <c r="V18">
        <f>+RANK(H18,$H$6:$H$1048576,1)</f>
        <v>4</v>
      </c>
      <c r="Z18" t="str">
        <f>TRIM(Tabla2[[#This Row],[CONDUCTOR]])</f>
        <v>VALENCIA MENDOZA JHON</v>
      </c>
    </row>
    <row r="19" spans="2:26" x14ac:dyDescent="0.2">
      <c r="B19" s="136" t="s">
        <v>122</v>
      </c>
      <c r="C19" s="166">
        <v>21</v>
      </c>
      <c r="D19" s="151" t="s">
        <v>178</v>
      </c>
      <c r="E19" s="150">
        <v>9</v>
      </c>
      <c r="F19" s="150">
        <v>0</v>
      </c>
      <c r="G19" s="165">
        <v>150</v>
      </c>
      <c r="H19" s="226">
        <f>+G19/E19</f>
        <v>16.666666666666668</v>
      </c>
      <c r="I19" s="227">
        <f>+(SUM($G$7:$G$1048576)/SUM($E$7:$E$1048576))*E19</f>
        <v>188.28739002932554</v>
      </c>
      <c r="J19" s="363">
        <f>+Tabla2[[#This Row],[PROM DE USUARIOS]]-Tabla2[[#This Row],[USUARIOS]]</f>
        <v>38.287390029325536</v>
      </c>
      <c r="K19" s="151"/>
      <c r="L19" s="163">
        <f t="shared" si="1"/>
        <v>113847.49266862172</v>
      </c>
      <c r="M19" s="162" t="str">
        <f>+VLOOKUP(C19,Lista!B:D,3,0)</f>
        <v>MICRO</v>
      </c>
      <c r="N19" s="164">
        <f t="shared" si="2"/>
        <v>11388.888888888889</v>
      </c>
      <c r="O19" s="164">
        <f>Tabla2[[#This Row],[USUARIOS]]*150</f>
        <v>22500</v>
      </c>
      <c r="P19" s="50">
        <f>+(E19*1)-W19</f>
        <v>9</v>
      </c>
      <c r="Q19" s="47">
        <f>+I19-P19-X19</f>
        <v>179.28739002932554</v>
      </c>
      <c r="R19" s="49">
        <f>+G19-P19</f>
        <v>141</v>
      </c>
      <c r="S19" s="51">
        <f>+E19*$T$3</f>
        <v>179.28739002932554</v>
      </c>
      <c r="T19" s="46">
        <f t="shared" si="3"/>
        <v>98608.064516129045</v>
      </c>
      <c r="U19" t="str">
        <f>+IF(K19&lt;&gt;"",K19,"")</f>
        <v/>
      </c>
      <c r="V19">
        <f>+RANK(H19,$H$6:$H$1048576,1)</f>
        <v>1</v>
      </c>
      <c r="Z19" t="str">
        <f>TRIM(Tabla2[[#This Row],[CONDUCTOR]])</f>
        <v>DURANGO DAVID JOSE</v>
      </c>
    </row>
    <row r="20" spans="2:26" x14ac:dyDescent="0.2">
      <c r="B20" s="136" t="s">
        <v>121</v>
      </c>
      <c r="C20" s="166">
        <v>22</v>
      </c>
      <c r="D20" s="151" t="s">
        <v>151</v>
      </c>
      <c r="E20" s="150">
        <v>8</v>
      </c>
      <c r="F20" s="150">
        <v>0</v>
      </c>
      <c r="G20" s="165">
        <v>209</v>
      </c>
      <c r="H20" s="226">
        <f>+G20/E20</f>
        <v>26.125</v>
      </c>
      <c r="I20" s="227">
        <f>+(SUM($G$7:$G$1048576)/SUM($E$7:$E$1048576))*E20</f>
        <v>167.36656891495602</v>
      </c>
      <c r="J20" s="363">
        <f>+Tabla2[[#This Row],[PROM DE USUARIOS]]-Tabla2[[#This Row],[USUARIOS]]</f>
        <v>-41.633431085043981</v>
      </c>
      <c r="K20" s="151" t="s">
        <v>129</v>
      </c>
      <c r="L20" s="163">
        <f t="shared" si="1"/>
        <v>101197.77126099708</v>
      </c>
      <c r="M20" s="162">
        <f>+VLOOKUP(C20,Lista!B:D,3,0)</f>
        <v>0</v>
      </c>
      <c r="N20" s="164">
        <f t="shared" si="2"/>
        <v>11388.888888888889</v>
      </c>
      <c r="O20" s="164">
        <f>Tabla2[[#This Row],[USUARIOS]]*150</f>
        <v>31350</v>
      </c>
      <c r="P20" s="50">
        <f>+(E20*1)-W20</f>
        <v>8</v>
      </c>
      <c r="Q20" s="47">
        <f>+I20-P20-X20</f>
        <v>159.36656891495602</v>
      </c>
      <c r="R20" s="49">
        <f>+G20-P20</f>
        <v>201</v>
      </c>
      <c r="S20" s="51">
        <f>+E20*$T$3</f>
        <v>159.36656891495602</v>
      </c>
      <c r="T20" s="46">
        <f t="shared" si="3"/>
        <v>87651.612903225818</v>
      </c>
      <c r="U20" t="str">
        <f>+IF(K20&lt;&gt;"",K20,"")</f>
        <v xml:space="preserve">1 Descuento (Conduct) </v>
      </c>
      <c r="V20">
        <f>+RANK(H20,$H$6:$H$1048576,1)</f>
        <v>36</v>
      </c>
      <c r="Z20" t="str">
        <f>TRIM(Tabla2[[#This Row],[CONDUCTOR]])</f>
        <v>QUIRAMA CASTAÑEDA JHON JADER</v>
      </c>
    </row>
    <row r="21" spans="2:26" x14ac:dyDescent="0.2">
      <c r="B21" s="136" t="s">
        <v>122</v>
      </c>
      <c r="C21" s="166">
        <v>23</v>
      </c>
      <c r="D21" s="151" t="s">
        <v>179</v>
      </c>
      <c r="E21" s="150">
        <v>9</v>
      </c>
      <c r="F21" s="150">
        <v>0</v>
      </c>
      <c r="G21" s="146">
        <v>177</v>
      </c>
      <c r="H21" s="226">
        <f>+G21/E21</f>
        <v>19.666666666666668</v>
      </c>
      <c r="I21" s="364">
        <f>+(SUM($G$7:$G$1048576)/SUM($E$7:$E$1048576))*E21</f>
        <v>188.28739002932554</v>
      </c>
      <c r="J21" s="363">
        <f>+Tabla2[[#This Row],[PROM DE USUARIOS]]-Tabla2[[#This Row],[USUARIOS]]</f>
        <v>11.287390029325536</v>
      </c>
      <c r="K21" s="151"/>
      <c r="L21" s="163">
        <f t="shared" si="1"/>
        <v>113847.49266862172</v>
      </c>
      <c r="M21" s="162" t="str">
        <f>+VLOOKUP(C21,Lista!B:D,3,0)</f>
        <v xml:space="preserve">MICRO </v>
      </c>
      <c r="N21" s="164">
        <f t="shared" si="2"/>
        <v>11388.888888888889</v>
      </c>
      <c r="O21" s="164">
        <f>Tabla2[[#This Row],[USUARIOS]]*150</f>
        <v>26550</v>
      </c>
      <c r="P21" s="50">
        <f>+(E21*1)-W21</f>
        <v>9</v>
      </c>
      <c r="Q21" s="47">
        <f>+I21-P21-X21</f>
        <v>179.28739002932554</v>
      </c>
      <c r="R21" s="49">
        <f>+G21-P21</f>
        <v>168</v>
      </c>
      <c r="S21" s="51">
        <f>+E21*$T$3</f>
        <v>179.28739002932554</v>
      </c>
      <c r="T21" s="46">
        <f t="shared" si="3"/>
        <v>98608.064516129045</v>
      </c>
      <c r="U21" t="str">
        <f>+IF(K21&lt;&gt;"",K21,"")</f>
        <v/>
      </c>
      <c r="V21">
        <f>+RANK(H21,$H$6:$H$1048576,1)</f>
        <v>14</v>
      </c>
      <c r="Z21" t="str">
        <f>TRIM(Tabla2[[#This Row],[CONDUCTOR]])</f>
        <v>SALDARRIAGA PARRA LUIS ALBERTO</v>
      </c>
    </row>
    <row r="22" spans="2:26" x14ac:dyDescent="0.2">
      <c r="B22" s="136" t="s">
        <v>121</v>
      </c>
      <c r="C22" s="166">
        <v>24</v>
      </c>
      <c r="D22" s="151" t="s">
        <v>160</v>
      </c>
      <c r="E22" s="150">
        <v>6</v>
      </c>
      <c r="F22" s="150">
        <v>0</v>
      </c>
      <c r="G22" s="165">
        <v>109</v>
      </c>
      <c r="H22" s="226">
        <f>+G22/E22</f>
        <v>18.166666666666668</v>
      </c>
      <c r="I22" s="227">
        <f>+(SUM($G$7:$G$1048576)/SUM($E$7:$E$1048576))*E22</f>
        <v>125.52492668621701</v>
      </c>
      <c r="J22" s="363">
        <f>+Tabla2[[#This Row],[PROM DE USUARIOS]]-Tabla2[[#This Row],[USUARIOS]]</f>
        <v>16.524926686217015</v>
      </c>
      <c r="K22" s="151"/>
      <c r="L22" s="163">
        <f t="shared" si="1"/>
        <v>75898.3284457478</v>
      </c>
      <c r="M22" s="162" t="str">
        <f>+VLOOKUP(C22,Lista!B:D,3,0)</f>
        <v>MICRO</v>
      </c>
      <c r="N22" s="164">
        <f t="shared" si="2"/>
        <v>11388.888888888889</v>
      </c>
      <c r="O22" s="164">
        <f>Tabla2[[#This Row],[USUARIOS]]*150</f>
        <v>16350</v>
      </c>
      <c r="P22" s="50">
        <f>+(E22*1)-W22</f>
        <v>6</v>
      </c>
      <c r="Q22" s="47">
        <f>+I22-P22-X22</f>
        <v>119.52492668621701</v>
      </c>
      <c r="R22" s="49">
        <f>+G22-P22</f>
        <v>103</v>
      </c>
      <c r="S22" s="51">
        <f>+E22*$T$3</f>
        <v>119.52492668621701</v>
      </c>
      <c r="T22" s="46">
        <f t="shared" si="3"/>
        <v>65738.709677419363</v>
      </c>
      <c r="U22" t="str">
        <f>+IF(K22&lt;&gt;"",K22,"")</f>
        <v/>
      </c>
      <c r="V22">
        <f>+RANK(H22,$H$6:$H$1048576,1)</f>
        <v>3</v>
      </c>
      <c r="Z22" t="str">
        <f>TRIM(Tabla2[[#This Row],[CONDUCTOR]])</f>
        <v>JIMENEZ HERNANDEZ ESTEBAN CAMILO</v>
      </c>
    </row>
    <row r="23" spans="2:26" x14ac:dyDescent="0.2">
      <c r="B23" s="136" t="s">
        <v>122</v>
      </c>
      <c r="C23" s="166">
        <v>25</v>
      </c>
      <c r="D23" s="151" t="s">
        <v>157</v>
      </c>
      <c r="E23" s="150">
        <v>10</v>
      </c>
      <c r="F23" s="150">
        <v>0</v>
      </c>
      <c r="G23" s="146">
        <v>195</v>
      </c>
      <c r="H23" s="226">
        <f>+G23/E23</f>
        <v>19.5</v>
      </c>
      <c r="I23" s="227">
        <f>+(SUM($G$7:$G$1048576)/SUM($E$7:$E$1048576))*E23</f>
        <v>209.20821114369502</v>
      </c>
      <c r="J23" s="363">
        <f>+Tabla2[[#This Row],[PROM DE USUARIOS]]-Tabla2[[#This Row],[USUARIOS]]</f>
        <v>14.208211143695024</v>
      </c>
      <c r="K23" s="151"/>
      <c r="L23" s="163">
        <f t="shared" si="1"/>
        <v>126497.21407624634</v>
      </c>
      <c r="M23" s="162">
        <f>+VLOOKUP(C23,Lista!B:D,3,0)</f>
        <v>0</v>
      </c>
      <c r="N23" s="164">
        <f t="shared" si="2"/>
        <v>11388.888888888889</v>
      </c>
      <c r="O23" s="164">
        <f>Tabla2[[#This Row],[USUARIOS]]*150</f>
        <v>29250</v>
      </c>
      <c r="P23" s="50">
        <f>+(E23*1)-W23</f>
        <v>10</v>
      </c>
      <c r="Q23" s="47">
        <f>+I23-P23-X23</f>
        <v>199.20821114369502</v>
      </c>
      <c r="R23" s="49">
        <f>+G23-P23</f>
        <v>185</v>
      </c>
      <c r="S23" s="51">
        <f>+E23*$T$3</f>
        <v>199.20821114369502</v>
      </c>
      <c r="T23" s="46">
        <f t="shared" si="3"/>
        <v>109564.51612903226</v>
      </c>
      <c r="U23" t="str">
        <f>+IF(K23&lt;&gt;"",K23,"")</f>
        <v/>
      </c>
      <c r="V23">
        <f>+RANK(H23,$H$6:$H$1048576,1)</f>
        <v>11</v>
      </c>
      <c r="Z23" t="str">
        <f>TRIM(Tabla2[[#This Row],[CONDUCTOR]])</f>
        <v>OSORIO URREGO SANTIAGO</v>
      </c>
    </row>
    <row r="24" spans="2:26" x14ac:dyDescent="0.2">
      <c r="B24" s="136" t="s">
        <v>121</v>
      </c>
      <c r="C24" s="166">
        <v>26</v>
      </c>
      <c r="D24" s="151" t="s">
        <v>158</v>
      </c>
      <c r="E24" s="150">
        <v>9</v>
      </c>
      <c r="F24" s="150">
        <v>0</v>
      </c>
      <c r="G24" s="146">
        <v>171</v>
      </c>
      <c r="H24" s="226">
        <f>+G24/E24</f>
        <v>19</v>
      </c>
      <c r="I24" s="364">
        <f>+(SUM($G$7:$G$1048576)/SUM($E$7:$E$1048576))*E24</f>
        <v>188.28739002932554</v>
      </c>
      <c r="J24" s="363">
        <f>+Tabla2[[#This Row],[PROM DE USUARIOS]]-Tabla2[[#This Row],[USUARIOS]]</f>
        <v>17.287390029325536</v>
      </c>
      <c r="K24" s="151"/>
      <c r="L24" s="163">
        <f t="shared" si="1"/>
        <v>113847.49266862172</v>
      </c>
      <c r="M24" s="162" t="str">
        <f>+VLOOKUP(C24,Lista!B:D,3,0)</f>
        <v>MICRO</v>
      </c>
      <c r="N24" s="164">
        <f t="shared" si="2"/>
        <v>11388.888888888889</v>
      </c>
      <c r="O24" s="164">
        <f>Tabla2[[#This Row],[USUARIOS]]*150</f>
        <v>25650</v>
      </c>
      <c r="P24" s="50">
        <f>+(E24*1)-W24</f>
        <v>9</v>
      </c>
      <c r="Q24" s="47">
        <f>+I24-P24-X24</f>
        <v>179.28739002932554</v>
      </c>
      <c r="R24" s="49">
        <f>+G24-P24</f>
        <v>162</v>
      </c>
      <c r="S24" s="51">
        <f>+E24*$T$3</f>
        <v>179.28739002932554</v>
      </c>
      <c r="T24" s="46">
        <f t="shared" si="3"/>
        <v>98608.064516129045</v>
      </c>
      <c r="U24" t="str">
        <f>+IF(K24&lt;&gt;"",K24,"")</f>
        <v/>
      </c>
      <c r="V24">
        <f>+RANK(H24,$H$6:$H$1048576,1)</f>
        <v>8</v>
      </c>
      <c r="Z24" t="str">
        <f>TRIM(Tabla2[[#This Row],[CONDUCTOR]])</f>
        <v>CIRO MARIN RODRIGO ALBERTO</v>
      </c>
    </row>
    <row r="25" spans="2:26" x14ac:dyDescent="0.2">
      <c r="B25" s="136" t="s">
        <v>122</v>
      </c>
      <c r="C25" s="137">
        <v>27</v>
      </c>
      <c r="D25" s="151" t="s">
        <v>167</v>
      </c>
      <c r="E25" s="150">
        <v>11</v>
      </c>
      <c r="F25" s="150">
        <v>0</v>
      </c>
      <c r="G25" s="146">
        <v>275</v>
      </c>
      <c r="H25" s="226">
        <f>+G25/E25</f>
        <v>25</v>
      </c>
      <c r="I25" s="227">
        <f>+(SUM($G$7:$G$1048576)/SUM($E$7:$E$1048576))*E25</f>
        <v>230.12903225806451</v>
      </c>
      <c r="J25" s="363">
        <f>+Tabla2[[#This Row],[PROM DE USUARIOS]]-Tabla2[[#This Row],[USUARIOS]]</f>
        <v>-44.870967741935488</v>
      </c>
      <c r="K25" s="151"/>
      <c r="L25" s="163">
        <f t="shared" si="1"/>
        <v>139146.93548387097</v>
      </c>
      <c r="M25" s="162">
        <f>+VLOOKUP(C25,Lista!B:D,3,0)</f>
        <v>0</v>
      </c>
      <c r="N25" s="164">
        <f t="shared" si="2"/>
        <v>11388.888888888889</v>
      </c>
      <c r="O25" s="164">
        <f>Tabla2[[#This Row],[USUARIOS]]*150</f>
        <v>41250</v>
      </c>
      <c r="P25" s="50">
        <f>+(E25*1)-W25</f>
        <v>11</v>
      </c>
      <c r="Q25" s="47">
        <f>+I25-P25-X25</f>
        <v>219.12903225806451</v>
      </c>
      <c r="R25" s="49">
        <f>+G25-P25</f>
        <v>264</v>
      </c>
      <c r="S25" s="51">
        <f>+E25*$T$3</f>
        <v>219.12903225806451</v>
      </c>
      <c r="T25" s="46">
        <f t="shared" si="3"/>
        <v>120520.96774193548</v>
      </c>
      <c r="U25" t="str">
        <f>+IF(K25&lt;&gt;"",K25,"")</f>
        <v/>
      </c>
      <c r="V25">
        <f>+RANK(H25,$H$6:$H$1048576,1)</f>
        <v>35</v>
      </c>
      <c r="Z25" t="str">
        <f>TRIM(Tabla2[[#This Row],[CONDUCTOR]])</f>
        <v>FLORES RINCON JORGE ALBERTO</v>
      </c>
    </row>
    <row r="26" spans="2:26" x14ac:dyDescent="0.2">
      <c r="B26" s="136" t="s">
        <v>121</v>
      </c>
      <c r="C26" s="166">
        <v>28</v>
      </c>
      <c r="D26" s="151" t="s">
        <v>152</v>
      </c>
      <c r="E26" s="150">
        <v>11</v>
      </c>
      <c r="F26" s="150">
        <v>0</v>
      </c>
      <c r="G26" s="146">
        <v>214</v>
      </c>
      <c r="H26" s="226">
        <f>+G26/E26</f>
        <v>19.454545454545453</v>
      </c>
      <c r="I26" s="364">
        <f>+(SUM($G$7:$G$1048576)/SUM($E$7:$E$1048576))*E26</f>
        <v>230.12903225806451</v>
      </c>
      <c r="J26" s="363">
        <f>+Tabla2[[#This Row],[PROM DE USUARIOS]]-Tabla2[[#This Row],[USUARIOS]]</f>
        <v>16.129032258064512</v>
      </c>
      <c r="K26" s="151"/>
      <c r="L26" s="163">
        <f t="shared" si="1"/>
        <v>139146.93548387097</v>
      </c>
      <c r="M26" s="162" t="str">
        <f>+VLOOKUP(C26,Lista!B:D,3,0)</f>
        <v>MICRO</v>
      </c>
      <c r="N26" s="164">
        <f t="shared" si="2"/>
        <v>11388.888888888889</v>
      </c>
      <c r="O26" s="164">
        <f>Tabla2[[#This Row],[USUARIOS]]*150</f>
        <v>32100</v>
      </c>
      <c r="P26" s="50">
        <f>+(E26*1)-W26</f>
        <v>11</v>
      </c>
      <c r="Q26" s="47">
        <f>+I26-P26-X26</f>
        <v>219.12903225806451</v>
      </c>
      <c r="R26" s="49">
        <f>+G26-P26</f>
        <v>203</v>
      </c>
      <c r="S26" s="51">
        <f>+E26*$T$3</f>
        <v>219.12903225806451</v>
      </c>
      <c r="T26" s="46">
        <f t="shared" si="3"/>
        <v>120520.96774193548</v>
      </c>
      <c r="U26" t="str">
        <f>+IF(K26&lt;&gt;"",K26,"")</f>
        <v/>
      </c>
      <c r="V26">
        <f>+RANK(H26,$H$6:$H$1048576,1)</f>
        <v>10</v>
      </c>
      <c r="Z26" t="str">
        <f>TRIM(Tabla2[[#This Row],[CONDUCTOR]])</f>
        <v>SUAREZ ESCUDERO JONATAN</v>
      </c>
    </row>
    <row r="27" spans="2:26" x14ac:dyDescent="0.2">
      <c r="B27" s="136" t="s">
        <v>122</v>
      </c>
      <c r="C27" s="166">
        <v>29</v>
      </c>
      <c r="D27" s="151" t="s">
        <v>181</v>
      </c>
      <c r="E27" s="150">
        <v>8</v>
      </c>
      <c r="F27" s="150">
        <v>0</v>
      </c>
      <c r="G27" s="146">
        <v>181</v>
      </c>
      <c r="H27" s="226">
        <f>+G27/E27</f>
        <v>22.625</v>
      </c>
      <c r="I27" s="364">
        <f>+(SUM($G$7:$G$1048576)/SUM($E$7:$E$1048576))*E27</f>
        <v>167.36656891495602</v>
      </c>
      <c r="J27" s="363">
        <f>+Tabla2[[#This Row],[PROM DE USUARIOS]]-Tabla2[[#This Row],[USUARIOS]]</f>
        <v>-13.633431085043981</v>
      </c>
      <c r="K27" s="151"/>
      <c r="L27" s="163">
        <f t="shared" si="1"/>
        <v>101197.77126099708</v>
      </c>
      <c r="M27" s="162" t="str">
        <f>+VLOOKUP(C27,Lista!B:D,3,0)</f>
        <v>MICRO</v>
      </c>
      <c r="N27" s="164">
        <f t="shared" si="2"/>
        <v>11388.888888888889</v>
      </c>
      <c r="O27" s="164">
        <f>Tabla2[[#This Row],[USUARIOS]]*150</f>
        <v>27150</v>
      </c>
      <c r="P27" s="50">
        <f>+(E27*1)-W27</f>
        <v>8</v>
      </c>
      <c r="Q27" s="47">
        <f>+I27-P27-X27</f>
        <v>159.36656891495602</v>
      </c>
      <c r="R27" s="49">
        <f>+G27-P27</f>
        <v>173</v>
      </c>
      <c r="S27" s="51">
        <f>+E27*$T$3</f>
        <v>159.36656891495602</v>
      </c>
      <c r="T27" s="46">
        <f t="shared" si="3"/>
        <v>87651.612903225818</v>
      </c>
      <c r="U27" t="str">
        <f>+IF(K27&lt;&gt;"",K27,"")</f>
        <v/>
      </c>
      <c r="V27">
        <f>+RANK(H27,$H$6:$H$1048576,1)</f>
        <v>31</v>
      </c>
      <c r="Z27" t="str">
        <f>TRIM(Tabla2[[#This Row],[CONDUCTOR]])</f>
        <v>LEON PEREZ RAUL ENRIQUE</v>
      </c>
    </row>
    <row r="28" spans="2:26" x14ac:dyDescent="0.2">
      <c r="B28" s="136" t="s">
        <v>121</v>
      </c>
      <c r="C28" s="166">
        <v>30</v>
      </c>
      <c r="D28" s="151" t="s">
        <v>182</v>
      </c>
      <c r="E28" s="150">
        <v>9</v>
      </c>
      <c r="F28" s="150">
        <v>0</v>
      </c>
      <c r="G28" s="165">
        <v>169</v>
      </c>
      <c r="H28" s="226">
        <f>+G28/E28</f>
        <v>18.777777777777779</v>
      </c>
      <c r="I28" s="227">
        <f>+(SUM($G$7:$G$1048576)/SUM($E$7:$E$1048576))*E28</f>
        <v>188.28739002932554</v>
      </c>
      <c r="J28" s="363">
        <f>+Tabla2[[#This Row],[PROM DE USUARIOS]]-Tabla2[[#This Row],[USUARIOS]]</f>
        <v>19.287390029325536</v>
      </c>
      <c r="K28" s="151"/>
      <c r="L28" s="163">
        <f t="shared" si="1"/>
        <v>113847.49266862172</v>
      </c>
      <c r="M28" s="162">
        <f>+VLOOKUP(C28,Lista!B:D,3,0)</f>
        <v>0</v>
      </c>
      <c r="N28" s="164">
        <f t="shared" si="2"/>
        <v>11388.888888888889</v>
      </c>
      <c r="O28" s="164">
        <f>Tabla2[[#This Row],[USUARIOS]]*150</f>
        <v>25350</v>
      </c>
      <c r="P28" s="50">
        <f>+(E28*1)-W28</f>
        <v>9</v>
      </c>
      <c r="Q28" s="47">
        <f>+I28-P28-X28</f>
        <v>179.28739002932554</v>
      </c>
      <c r="R28" s="49">
        <f>+G28-P28</f>
        <v>160</v>
      </c>
      <c r="S28" s="51">
        <f>+E28*$T$3</f>
        <v>179.28739002932554</v>
      </c>
      <c r="T28" s="46">
        <f t="shared" si="3"/>
        <v>98608.064516129045</v>
      </c>
      <c r="U28" t="str">
        <f>+IF(K28&lt;&gt;"",K28,"")</f>
        <v/>
      </c>
      <c r="V28">
        <f>+RANK(H28,$H$6:$H$1048576,1)</f>
        <v>6</v>
      </c>
      <c r="Z28" t="str">
        <f>TRIM(Tabla2[[#This Row],[CONDUCTOR]])</f>
        <v>AGUDELO GARCIA LLORDIN ELIAS</v>
      </c>
    </row>
    <row r="29" spans="2:26" x14ac:dyDescent="0.2">
      <c r="B29" s="136" t="s">
        <v>122</v>
      </c>
      <c r="C29" s="137">
        <v>31</v>
      </c>
      <c r="D29" s="151" t="s">
        <v>177</v>
      </c>
      <c r="E29" s="150">
        <v>11</v>
      </c>
      <c r="F29" s="150">
        <v>0</v>
      </c>
      <c r="G29" s="146">
        <v>231</v>
      </c>
      <c r="H29" s="226">
        <f>+G29/E29</f>
        <v>21</v>
      </c>
      <c r="I29" s="227">
        <f>+(SUM($G$7:$G$1048576)/SUM($E$7:$E$1048576))*E29</f>
        <v>230.12903225806451</v>
      </c>
      <c r="J29" s="363">
        <f>+Tabla2[[#This Row],[PROM DE USUARIOS]]-Tabla2[[#This Row],[USUARIOS]]</f>
        <v>-0.87096774193548754</v>
      </c>
      <c r="K29" s="151" t="s">
        <v>129</v>
      </c>
      <c r="L29" s="163">
        <f t="shared" si="1"/>
        <v>139146.93548387097</v>
      </c>
      <c r="M29" s="162" t="str">
        <f>+VLOOKUP(C29,Lista!B:D,3,0)</f>
        <v>MICRO</v>
      </c>
      <c r="N29" s="164">
        <f t="shared" si="2"/>
        <v>11388.888888888889</v>
      </c>
      <c r="O29" s="164">
        <f>Tabla2[[#This Row],[USUARIOS]]*150</f>
        <v>34650</v>
      </c>
      <c r="P29" s="50">
        <f>+(E29*1)-W29</f>
        <v>11</v>
      </c>
      <c r="Q29" s="47">
        <f>+I29-P29-X29</f>
        <v>219.12903225806451</v>
      </c>
      <c r="R29" s="49">
        <f>+G29-P29</f>
        <v>220</v>
      </c>
      <c r="S29" s="51">
        <f>+E29*$T$3</f>
        <v>219.12903225806451</v>
      </c>
      <c r="T29" s="46">
        <f t="shared" si="3"/>
        <v>120520.96774193548</v>
      </c>
      <c r="U29" t="str">
        <f>+IF(K29&lt;&gt;"",K29,"")</f>
        <v xml:space="preserve">1 Descuento (Conduct) </v>
      </c>
      <c r="V29">
        <f>+RANK(H29,$H$6:$H$1048576,1)</f>
        <v>22</v>
      </c>
      <c r="Z29" t="str">
        <f>TRIM(Tabla2[[#This Row],[CONDUCTOR]])</f>
        <v>FRANCO CARVAJAL GERARDO ANTONIO</v>
      </c>
    </row>
    <row r="30" spans="2:26" s="2" customFormat="1" x14ac:dyDescent="0.2">
      <c r="B30" s="136" t="s">
        <v>121</v>
      </c>
      <c r="C30" s="166">
        <v>32</v>
      </c>
      <c r="D30" s="151" t="s">
        <v>168</v>
      </c>
      <c r="E30" s="150">
        <v>9</v>
      </c>
      <c r="F30" s="150">
        <v>0</v>
      </c>
      <c r="G30" s="146">
        <v>218</v>
      </c>
      <c r="H30" s="226">
        <f>+G30/E30</f>
        <v>24.222222222222221</v>
      </c>
      <c r="I30" s="364">
        <f>+(SUM($G$7:$G$1048576)/SUM($E$7:$E$1048576))*E30</f>
        <v>188.28739002932554</v>
      </c>
      <c r="J30" s="363">
        <f>+Tabla2[[#This Row],[PROM DE USUARIOS]]-Tabla2[[#This Row],[USUARIOS]]</f>
        <v>-29.712609970674464</v>
      </c>
      <c r="K30" s="151" t="s">
        <v>187</v>
      </c>
      <c r="L30" s="163">
        <f t="shared" si="1"/>
        <v>113847.49266862172</v>
      </c>
      <c r="M30" s="162" t="str">
        <f>+VLOOKUP(C30,Lista!B:D,3,0)</f>
        <v>MICRO</v>
      </c>
      <c r="N30" s="164">
        <f t="shared" si="2"/>
        <v>11388.888888888889</v>
      </c>
      <c r="O30" s="164">
        <f>Tabla2[[#This Row],[USUARIOS]]*150</f>
        <v>32700</v>
      </c>
      <c r="P30" s="50">
        <f>+(E30*1)-W30</f>
        <v>9</v>
      </c>
      <c r="Q30" s="47">
        <f>+I30-P30-X30</f>
        <v>179.28739002932554</v>
      </c>
      <c r="R30" s="49">
        <f>+G30-P30</f>
        <v>209</v>
      </c>
      <c r="S30" s="51">
        <f>+E30*$T$3</f>
        <v>179.28739002932554</v>
      </c>
      <c r="T30" s="46">
        <f t="shared" si="3"/>
        <v>98608.064516129045</v>
      </c>
      <c r="U30" t="str">
        <f>+IF(K30&lt;&gt;"",K30,"")</f>
        <v xml:space="preserve">1 Descuento (Despachador) </v>
      </c>
      <c r="V30">
        <f>+RANK(H30,$H$6:$H$1048576,1)</f>
        <v>34</v>
      </c>
      <c r="Z30" t="str">
        <f>TRIM(Tabla2[[#This Row],[CONDUCTOR]])</f>
        <v>JIMENEZ HURTADO CARLOS ESTIVEN</v>
      </c>
    </row>
    <row r="31" spans="2:26" x14ac:dyDescent="0.2">
      <c r="B31" s="136" t="s">
        <v>122</v>
      </c>
      <c r="C31" s="166">
        <v>33</v>
      </c>
      <c r="D31" s="151" t="s">
        <v>174</v>
      </c>
      <c r="E31" s="150">
        <v>10</v>
      </c>
      <c r="F31" s="150">
        <v>0</v>
      </c>
      <c r="G31" s="165">
        <v>205</v>
      </c>
      <c r="H31" s="226">
        <f>+G31/E31</f>
        <v>20.5</v>
      </c>
      <c r="I31" s="227">
        <f>+(SUM($G$7:$G$1048576)/SUM($E$7:$E$1048576))*E31</f>
        <v>209.20821114369502</v>
      </c>
      <c r="J31" s="363">
        <f>+Tabla2[[#This Row],[PROM DE USUARIOS]]-Tabla2[[#This Row],[USUARIOS]]</f>
        <v>4.2082111436950242</v>
      </c>
      <c r="K31" s="151" t="s">
        <v>183</v>
      </c>
      <c r="L31" s="163">
        <f t="shared" si="1"/>
        <v>126497.21407624634</v>
      </c>
      <c r="M31" s="162" t="str">
        <f>+VLOOKUP(C31,Lista!B:D,3,0)</f>
        <v>MICRO</v>
      </c>
      <c r="N31" s="164">
        <f t="shared" si="2"/>
        <v>11388.888888888889</v>
      </c>
      <c r="O31" s="164">
        <f>Tabla2[[#This Row],[USUARIOS]]*150</f>
        <v>30750</v>
      </c>
      <c r="P31" s="50">
        <f>+(E31*1)-W31</f>
        <v>10</v>
      </c>
      <c r="Q31" s="47">
        <f>+I31-P31-X31</f>
        <v>199.20821114369502</v>
      </c>
      <c r="R31" s="49">
        <f>+G31-P31</f>
        <v>195</v>
      </c>
      <c r="S31" s="51">
        <f>+E31*$T$3</f>
        <v>199.20821114369502</v>
      </c>
      <c r="T31" s="46">
        <f t="shared" si="3"/>
        <v>109564.51612903226</v>
      </c>
      <c r="U31" t="str">
        <f>+IF(K31&lt;&gt;"",K31,"")</f>
        <v xml:space="preserve">2 Descuentos (Conducts) </v>
      </c>
      <c r="V31">
        <f>+RANK(H31,$H$6:$H$1048576,1)</f>
        <v>18</v>
      </c>
      <c r="Z31" t="str">
        <f>TRIM(Tabla2[[#This Row],[CONDUCTOR]])</f>
        <v>IBARGUEN GARRIDO JUAN ESTEBAN</v>
      </c>
    </row>
    <row r="32" spans="2:26" x14ac:dyDescent="0.2">
      <c r="B32" s="136" t="s">
        <v>121</v>
      </c>
      <c r="C32" s="166">
        <v>34</v>
      </c>
      <c r="D32" s="151" t="s">
        <v>148</v>
      </c>
      <c r="E32" s="150">
        <v>11</v>
      </c>
      <c r="F32" s="150"/>
      <c r="G32" s="146">
        <v>241</v>
      </c>
      <c r="H32" s="226">
        <f>+G32/E32</f>
        <v>21.90909090909091</v>
      </c>
      <c r="I32" s="364">
        <f>+(SUM($G$7:$G$1048576)/SUM($E$7:$E$1048576))*E32</f>
        <v>230.12903225806451</v>
      </c>
      <c r="J32" s="363">
        <f>+Tabla2[[#This Row],[PROM DE USUARIOS]]-Tabla2[[#This Row],[USUARIOS]]</f>
        <v>-10.870967741935488</v>
      </c>
      <c r="K32" s="151"/>
      <c r="L32" s="163">
        <f t="shared" si="1"/>
        <v>139146.93548387097</v>
      </c>
      <c r="M32" s="162" t="str">
        <f>+VLOOKUP(C32,Lista!B:D,3,0)</f>
        <v>MICRO</v>
      </c>
      <c r="N32" s="164">
        <f t="shared" si="2"/>
        <v>11388.888888888889</v>
      </c>
      <c r="O32" s="164">
        <f>Tabla2[[#This Row],[USUARIOS]]*150</f>
        <v>36150</v>
      </c>
      <c r="P32" s="50">
        <f>+(E32*1)-W32</f>
        <v>11</v>
      </c>
      <c r="Q32" s="47">
        <f>+I32-P32-X32</f>
        <v>219.12903225806451</v>
      </c>
      <c r="R32" s="49">
        <f>+G32-P32</f>
        <v>230</v>
      </c>
      <c r="S32" s="51">
        <f>+E32*$T$3</f>
        <v>219.12903225806451</v>
      </c>
      <c r="T32" s="46">
        <f t="shared" si="3"/>
        <v>120520.96774193548</v>
      </c>
      <c r="U32" t="str">
        <f>+IF(K32&lt;&gt;"",K32,"")</f>
        <v/>
      </c>
      <c r="V32">
        <f>+RANK(H32,$H$6:$H$1048576,1)</f>
        <v>29</v>
      </c>
      <c r="Z32" t="str">
        <f>TRIM(Tabla2[[#This Row],[CONDUCTOR]])</f>
        <v>MONTOYA OSPINA GILBERTO ANTONIO</v>
      </c>
    </row>
    <row r="33" spans="2:26" x14ac:dyDescent="0.2">
      <c r="B33" s="136" t="s">
        <v>122</v>
      </c>
      <c r="C33" s="166">
        <v>35</v>
      </c>
      <c r="D33" s="151" t="s">
        <v>120</v>
      </c>
      <c r="E33" s="150">
        <v>11</v>
      </c>
      <c r="F33" s="150">
        <v>0</v>
      </c>
      <c r="G33" s="146">
        <v>235</v>
      </c>
      <c r="H33" s="226">
        <f>+G33/E33</f>
        <v>21.363636363636363</v>
      </c>
      <c r="I33" s="364">
        <f>+(SUM($G$7:$G$1048576)/SUM($E$7:$E$1048576))*E33</f>
        <v>230.12903225806451</v>
      </c>
      <c r="J33" s="363">
        <f>+Tabla2[[#This Row],[PROM DE USUARIOS]]-Tabla2[[#This Row],[USUARIOS]]</f>
        <v>-4.8709677419354875</v>
      </c>
      <c r="K33" s="151" t="s">
        <v>187</v>
      </c>
      <c r="L33" s="163">
        <f t="shared" si="1"/>
        <v>139146.93548387097</v>
      </c>
      <c r="M33" s="162">
        <f>+VLOOKUP(C33,Lista!B:D,3,0)</f>
        <v>0</v>
      </c>
      <c r="N33" s="164">
        <f t="shared" si="2"/>
        <v>11388.888888888889</v>
      </c>
      <c r="O33" s="164">
        <f>Tabla2[[#This Row],[USUARIOS]]*150</f>
        <v>35250</v>
      </c>
      <c r="P33" s="50">
        <f>+(E33*1)-W33</f>
        <v>11</v>
      </c>
      <c r="Q33" s="47">
        <f>+I33-P33-X33</f>
        <v>219.12903225806451</v>
      </c>
      <c r="R33" s="49">
        <f>+G33-P33</f>
        <v>224</v>
      </c>
      <c r="S33" s="51">
        <f>+E33*$T$3</f>
        <v>219.12903225806451</v>
      </c>
      <c r="T33" s="46">
        <f t="shared" si="3"/>
        <v>120520.96774193548</v>
      </c>
      <c r="U33" t="str">
        <f>+IF(K33&lt;&gt;"",K33,"")</f>
        <v xml:space="preserve">1 Descuento (Despachador) </v>
      </c>
      <c r="V33">
        <f>+RANK(H33,$H$6:$H$1048576,1)</f>
        <v>27</v>
      </c>
      <c r="Z33" t="str">
        <f>TRIM(Tabla2[[#This Row],[CONDUCTOR]])</f>
        <v>DURANGO PAEZ GILDARDO</v>
      </c>
    </row>
    <row r="34" spans="2:26" x14ac:dyDescent="0.2">
      <c r="B34" s="136" t="s">
        <v>121</v>
      </c>
      <c r="C34" s="166">
        <v>36</v>
      </c>
      <c r="D34" s="151" t="s">
        <v>176</v>
      </c>
      <c r="E34" s="150">
        <v>10</v>
      </c>
      <c r="F34" s="150">
        <v>0</v>
      </c>
      <c r="G34" s="165">
        <v>242</v>
      </c>
      <c r="H34" s="226">
        <f>+G34/E34</f>
        <v>24.2</v>
      </c>
      <c r="I34" s="227">
        <f>+(SUM($G$7:$G$1048576)/SUM($E$7:$E$1048576))*E34</f>
        <v>209.20821114369502</v>
      </c>
      <c r="J34" s="363">
        <f>+Tabla2[[#This Row],[PROM DE USUARIOS]]-Tabla2[[#This Row],[USUARIOS]]</f>
        <v>-32.791788856304976</v>
      </c>
      <c r="K34" s="151" t="s">
        <v>188</v>
      </c>
      <c r="L34" s="163">
        <f t="shared" si="1"/>
        <v>126497.21407624634</v>
      </c>
      <c r="M34" s="162" t="str">
        <f>+VLOOKUP(C34,Lista!B:D,3,0)</f>
        <v>MICRO</v>
      </c>
      <c r="N34" s="164">
        <f t="shared" si="2"/>
        <v>11388.888888888889</v>
      </c>
      <c r="O34" s="164">
        <f>Tabla2[[#This Row],[USUARIOS]]*150</f>
        <v>36300</v>
      </c>
      <c r="P34" s="50">
        <f>+(E34*1)-W34</f>
        <v>10</v>
      </c>
      <c r="Q34" s="47">
        <f>+I34-P34-X34</f>
        <v>199.20821114369502</v>
      </c>
      <c r="R34" s="49">
        <f>+G34-P34</f>
        <v>232</v>
      </c>
      <c r="S34" s="51">
        <f>+E34*$T$3</f>
        <v>199.20821114369502</v>
      </c>
      <c r="T34" s="46">
        <f t="shared" si="3"/>
        <v>109564.51612903226</v>
      </c>
      <c r="U34" t="str">
        <f>+IF(K34&lt;&gt;"",K34,"")</f>
        <v xml:space="preserve">1 Descuento (Asociado) </v>
      </c>
      <c r="V34">
        <f>+RANK(H34,$H$6:$H$1048576,1)</f>
        <v>33</v>
      </c>
      <c r="Z34" t="str">
        <f>TRIM(Tabla2[[#This Row],[CONDUCTOR]])</f>
        <v>MARTINEZ CHAVERRA LUIS NORBERTO</v>
      </c>
    </row>
    <row r="35" spans="2:26" x14ac:dyDescent="0.2">
      <c r="B35" s="136" t="s">
        <v>122</v>
      </c>
      <c r="C35" s="166">
        <v>37</v>
      </c>
      <c r="D35" s="151" t="s">
        <v>162</v>
      </c>
      <c r="E35" s="150">
        <v>7</v>
      </c>
      <c r="F35" s="150">
        <v>0</v>
      </c>
      <c r="G35" s="165">
        <v>157</v>
      </c>
      <c r="H35" s="226">
        <f>+G35/E35</f>
        <v>22.428571428571427</v>
      </c>
      <c r="I35" s="227">
        <f>+(SUM($G$7:$G$1048576)/SUM($E$7:$E$1048576))*E35</f>
        <v>146.4457478005865</v>
      </c>
      <c r="J35" s="363">
        <f>+Tabla2[[#This Row],[PROM DE USUARIOS]]-Tabla2[[#This Row],[USUARIOS]]</f>
        <v>-10.554252199413497</v>
      </c>
      <c r="K35" s="151"/>
      <c r="L35" s="163">
        <f t="shared" si="1"/>
        <v>88548.049853372431</v>
      </c>
      <c r="M35" s="162">
        <f>+VLOOKUP(C35,Lista!B:D,3,0)</f>
        <v>0</v>
      </c>
      <c r="N35" s="164">
        <f t="shared" si="2"/>
        <v>11388.888888888889</v>
      </c>
      <c r="O35" s="164">
        <f>Tabla2[[#This Row],[USUARIOS]]*150</f>
        <v>23550</v>
      </c>
      <c r="P35" s="50">
        <f>+(E35*1)-W35</f>
        <v>7</v>
      </c>
      <c r="Q35" s="47">
        <f>+I35-P35-X35</f>
        <v>139.4457478005865</v>
      </c>
      <c r="R35" s="49">
        <f>+G35-P35</f>
        <v>150</v>
      </c>
      <c r="S35" s="51">
        <f>+E35*$T$3</f>
        <v>139.4457478005865</v>
      </c>
      <c r="T35" s="46">
        <f t="shared" si="3"/>
        <v>76695.161290322576</v>
      </c>
      <c r="U35" t="str">
        <f>+IF(K35&lt;&gt;"",K35,"")</f>
        <v/>
      </c>
      <c r="V35">
        <f>+RANK(H35,$H$6:$H$1048576,1)</f>
        <v>30</v>
      </c>
      <c r="Z35" t="str">
        <f>TRIM(Tabla2[[#This Row],[CONDUCTOR]])</f>
        <v>TABORDA ROJAS DIEGO ALEJANDRO</v>
      </c>
    </row>
    <row r="36" spans="2:26" x14ac:dyDescent="0.2">
      <c r="B36" s="136" t="s">
        <v>121</v>
      </c>
      <c r="C36" s="166">
        <v>38</v>
      </c>
      <c r="D36" s="151" t="s">
        <v>149</v>
      </c>
      <c r="E36" s="150">
        <v>10</v>
      </c>
      <c r="F36" s="150">
        <v>0</v>
      </c>
      <c r="G36" s="165">
        <v>196</v>
      </c>
      <c r="H36" s="226">
        <f>+G36/E36</f>
        <v>19.600000000000001</v>
      </c>
      <c r="I36" s="227">
        <f>+(SUM($G$7:$G$1048576)/SUM($E$7:$E$1048576))*E36</f>
        <v>209.20821114369502</v>
      </c>
      <c r="J36" s="363">
        <f>+Tabla2[[#This Row],[PROM DE USUARIOS]]-Tabla2[[#This Row],[USUARIOS]]</f>
        <v>13.208211143695024</v>
      </c>
      <c r="K36" s="151" t="s">
        <v>189</v>
      </c>
      <c r="L36" s="163">
        <f t="shared" si="1"/>
        <v>126497.21407624634</v>
      </c>
      <c r="M36" s="162" t="str">
        <f>+VLOOKUP(C36,Lista!B:D,3,0)</f>
        <v>MICRO</v>
      </c>
      <c r="N36" s="164">
        <f t="shared" si="2"/>
        <v>11388.888888888889</v>
      </c>
      <c r="O36" s="164">
        <f>Tabla2[[#This Row],[USUARIOS]]*150</f>
        <v>29400</v>
      </c>
      <c r="P36" s="50">
        <f>+(E36*1)-W36</f>
        <v>10</v>
      </c>
      <c r="Q36" s="47">
        <f>+I36-P36-X36</f>
        <v>199.20821114369502</v>
      </c>
      <c r="R36" s="49">
        <f>+G36-P36</f>
        <v>186</v>
      </c>
      <c r="S36" s="51">
        <f>+E36*$T$3</f>
        <v>199.20821114369502</v>
      </c>
      <c r="T36" s="46">
        <f t="shared" si="3"/>
        <v>109564.51612903226</v>
      </c>
      <c r="U36" t="str">
        <f>+IF(K36&lt;&gt;"",K36,"")</f>
        <v xml:space="preserve">3 Descuentos (Asociados) </v>
      </c>
      <c r="V36">
        <f>+RANK(H36,$H$6:$H$1048576,1)</f>
        <v>12</v>
      </c>
      <c r="Z36" t="str">
        <f>TRIM(Tabla2[[#This Row],[CONDUCTOR]])</f>
        <v>GONZALEZ IPUANA RENE</v>
      </c>
    </row>
    <row r="37" spans="2:26" s="2" customFormat="1" ht="22.5" x14ac:dyDescent="0.2">
      <c r="B37" s="136" t="s">
        <v>122</v>
      </c>
      <c r="C37" s="166">
        <v>39</v>
      </c>
      <c r="D37" s="136" t="s">
        <v>155</v>
      </c>
      <c r="E37" s="150">
        <v>11</v>
      </c>
      <c r="F37" s="150">
        <v>0</v>
      </c>
      <c r="G37" s="374">
        <v>221</v>
      </c>
      <c r="H37" s="375">
        <f>+G37/E37</f>
        <v>20.09090909090909</v>
      </c>
      <c r="I37" s="376">
        <f>+(SUM($G$7:$G$1048576)/SUM($E$7:$E$1048576))*E37</f>
        <v>230.12903225806451</v>
      </c>
      <c r="J37" s="377">
        <f>+Tabla2[[#This Row],[PROM DE USUARIOS]]-Tabla2[[#This Row],[USUARIOS]]</f>
        <v>9.1290322580645125</v>
      </c>
      <c r="K37" s="378" t="s">
        <v>190</v>
      </c>
      <c r="L37" s="163">
        <f t="shared" si="1"/>
        <v>139146.93548387097</v>
      </c>
      <c r="M37" s="162" t="str">
        <f>+VLOOKUP(C37,Lista!B:D,3,0)</f>
        <v>MICRO</v>
      </c>
      <c r="N37" s="164">
        <f t="shared" si="2"/>
        <v>11388.888888888889</v>
      </c>
      <c r="O37" s="164">
        <f>Tabla2[[#This Row],[USUARIOS]]*150</f>
        <v>33150</v>
      </c>
      <c r="P37" s="50">
        <f>+(E37*1)-W37</f>
        <v>11</v>
      </c>
      <c r="Q37" s="47">
        <f>+I37-P37-X37</f>
        <v>219.12903225806451</v>
      </c>
      <c r="R37" s="49">
        <f>+G37-P37</f>
        <v>210</v>
      </c>
      <c r="S37" s="51">
        <f>+E37*$T$3</f>
        <v>219.12903225806451</v>
      </c>
      <c r="T37" s="46">
        <f t="shared" si="3"/>
        <v>120520.96774193548</v>
      </c>
      <c r="U37" t="str">
        <f>+IF(K37&lt;&gt;"",K37,"")</f>
        <v xml:space="preserve">FERNEY HENAO Realizó 7 viajes donde movilizó 70 Usuarios. 1 Descuento (Usuario desubicado) </v>
      </c>
      <c r="V37">
        <f>+RANK(H37,$H$6:$H$1048576,1)</f>
        <v>16</v>
      </c>
      <c r="Z37" s="2" t="str">
        <f>TRIM(Tabla2[[#This Row],[CONDUCTOR]])</f>
        <v>PALMAR PANA EDIXON JOSUE</v>
      </c>
    </row>
    <row r="38" spans="2:26" x14ac:dyDescent="0.2">
      <c r="B38" s="136" t="s">
        <v>121</v>
      </c>
      <c r="C38" s="166">
        <v>40</v>
      </c>
      <c r="D38" s="151" t="s">
        <v>165</v>
      </c>
      <c r="E38" s="150">
        <v>9</v>
      </c>
      <c r="F38" s="150">
        <v>0</v>
      </c>
      <c r="G38" s="146">
        <v>195</v>
      </c>
      <c r="H38" s="226">
        <f>+G38/E38</f>
        <v>21.666666666666668</v>
      </c>
      <c r="I38" s="364">
        <f>+(SUM($G$7:$G$1048576)/SUM($E$7:$E$1048576))*E38</f>
        <v>188.28739002932554</v>
      </c>
      <c r="J38" s="363">
        <f>+Tabla2[[#This Row],[PROM DE USUARIOS]]-Tabla2[[#This Row],[USUARIOS]]</f>
        <v>-6.712609970674464</v>
      </c>
      <c r="K38" s="151"/>
      <c r="L38" s="163">
        <f t="shared" si="1"/>
        <v>113847.49266862172</v>
      </c>
      <c r="M38" s="162" t="str">
        <f>+VLOOKUP(C38,Lista!B:D,3,0)</f>
        <v>MICRO</v>
      </c>
      <c r="N38" s="164">
        <f t="shared" si="2"/>
        <v>11388.888888888889</v>
      </c>
      <c r="O38" s="164">
        <f>Tabla2[[#This Row],[USUARIOS]]*150</f>
        <v>29250</v>
      </c>
      <c r="P38" s="50">
        <f>+(E38*1)-W38</f>
        <v>9</v>
      </c>
      <c r="Q38" s="47">
        <f>+I38-P38-X38</f>
        <v>179.28739002932554</v>
      </c>
      <c r="R38" s="49">
        <f>+G38-P38</f>
        <v>186</v>
      </c>
      <c r="S38" s="51">
        <f>+E38*$T$3</f>
        <v>179.28739002932554</v>
      </c>
      <c r="T38" s="46">
        <f t="shared" si="3"/>
        <v>98608.064516129045</v>
      </c>
      <c r="U38" t="str">
        <f>+IF(K38&lt;&gt;"",K38,"")</f>
        <v/>
      </c>
      <c r="V38">
        <f>+RANK(H38,$H$6:$H$1048576,1)</f>
        <v>28</v>
      </c>
      <c r="Z38" t="str">
        <f>TRIM(Tabla2[[#This Row],[CONDUCTOR]])</f>
        <v>LOPERA ALVAREZ ESTIVEN</v>
      </c>
    </row>
    <row r="39" spans="2:26" x14ac:dyDescent="0.2">
      <c r="B39" s="136" t="s">
        <v>122</v>
      </c>
      <c r="C39" s="166">
        <v>41</v>
      </c>
      <c r="D39" s="151" t="s">
        <v>164</v>
      </c>
      <c r="E39" s="150">
        <v>10</v>
      </c>
      <c r="F39" s="150">
        <v>0</v>
      </c>
      <c r="G39" s="146">
        <v>188</v>
      </c>
      <c r="H39" s="226">
        <f>+G39/E39</f>
        <v>18.8</v>
      </c>
      <c r="I39" s="364">
        <f>+(SUM($G$7:$G$1048576)/SUM($E$7:$E$1048576))*E39</f>
        <v>209.20821114369502</v>
      </c>
      <c r="J39" s="363">
        <f>+Tabla2[[#This Row],[PROM DE USUARIOS]]-Tabla2[[#This Row],[USUARIOS]]</f>
        <v>21.208211143695024</v>
      </c>
      <c r="K39" s="151" t="s">
        <v>183</v>
      </c>
      <c r="L39" s="163">
        <f t="shared" si="1"/>
        <v>126497.21407624634</v>
      </c>
      <c r="M39" s="162">
        <f>+VLOOKUP(C39,Lista!B:D,3,0)</f>
        <v>0</v>
      </c>
      <c r="N39" s="164">
        <f t="shared" si="2"/>
        <v>11388.888888888889</v>
      </c>
      <c r="O39" s="164">
        <f>Tabla2[[#This Row],[USUARIOS]]*150</f>
        <v>28200</v>
      </c>
      <c r="P39" s="50">
        <f>+(E39*1)-W39</f>
        <v>10</v>
      </c>
      <c r="Q39" s="47">
        <f>+I39-P39-X39</f>
        <v>199.20821114369502</v>
      </c>
      <c r="R39" s="49">
        <f>+G39-P39</f>
        <v>178</v>
      </c>
      <c r="S39" s="51">
        <f>+E39*$T$3</f>
        <v>199.20821114369502</v>
      </c>
      <c r="T39" s="46">
        <f t="shared" si="3"/>
        <v>109564.51612903226</v>
      </c>
      <c r="U39" t="str">
        <f>+IF(K39&lt;&gt;"",K39,"")</f>
        <v xml:space="preserve">2 Descuentos (Conducts) </v>
      </c>
      <c r="V39">
        <f>+RANK(H39,$H$6:$H$1048576,1)</f>
        <v>7</v>
      </c>
      <c r="Z39" t="str">
        <f>TRIM(Tabla2[[#This Row],[CONDUCTOR]])</f>
        <v>RUA CHAVARRIA YEFERSON ANDREY</v>
      </c>
    </row>
    <row r="40" spans="2:26" x14ac:dyDescent="0.2">
      <c r="B40" s="136" t="s">
        <v>121</v>
      </c>
      <c r="C40" s="166">
        <v>42</v>
      </c>
      <c r="D40" s="151" t="s">
        <v>170</v>
      </c>
      <c r="E40" s="150">
        <v>5</v>
      </c>
      <c r="F40" s="150">
        <v>0</v>
      </c>
      <c r="G40" s="146">
        <v>104</v>
      </c>
      <c r="H40" s="226">
        <f>+G40/E40</f>
        <v>20.8</v>
      </c>
      <c r="I40" s="364">
        <f>+(SUM($G$7:$G$1048576)/SUM($E$7:$E$1048576))*E40</f>
        <v>104.60410557184751</v>
      </c>
      <c r="J40" s="363">
        <f>+Tabla2[[#This Row],[PROM DE USUARIOS]]-Tabla2[[#This Row],[USUARIOS]]</f>
        <v>0.60410557184751212</v>
      </c>
      <c r="K40" s="151"/>
      <c r="L40" s="163">
        <f t="shared" si="1"/>
        <v>63248.607038123169</v>
      </c>
      <c r="M40" s="162">
        <f>+VLOOKUP(C40,Lista!B:D,3,0)</f>
        <v>0</v>
      </c>
      <c r="N40" s="164">
        <f t="shared" si="2"/>
        <v>11388.888888888889</v>
      </c>
      <c r="O40" s="164">
        <f>Tabla2[[#This Row],[USUARIOS]]*150</f>
        <v>15600</v>
      </c>
      <c r="P40" s="50">
        <f>+(E40*1)-W40</f>
        <v>5</v>
      </c>
      <c r="Q40" s="47">
        <f>+I40-P40-X40</f>
        <v>99.604105571847512</v>
      </c>
      <c r="R40" s="49">
        <f>+G40-P40</f>
        <v>99</v>
      </c>
      <c r="S40" s="51">
        <f>+E40*$T$3</f>
        <v>99.604105571847512</v>
      </c>
      <c r="T40" s="46">
        <f t="shared" si="3"/>
        <v>54782.258064516129</v>
      </c>
      <c r="U40" t="str">
        <f>+IF(K40&lt;&gt;"",K40,"")</f>
        <v/>
      </c>
      <c r="V40">
        <f>+RANK(H40,$H$6:$H$1048576,1)</f>
        <v>20</v>
      </c>
      <c r="Z40" t="str">
        <f>TRIM(Tabla2[[#This Row],[CONDUCTOR]])</f>
        <v>AGUDELO GARCIA DENIN ANGELO</v>
      </c>
    </row>
    <row r="41" spans="2:26" x14ac:dyDescent="0.2">
      <c r="B41" s="136" t="s">
        <v>122</v>
      </c>
      <c r="C41" s="166">
        <v>43</v>
      </c>
      <c r="D41" s="151" t="s">
        <v>159</v>
      </c>
      <c r="E41" s="150">
        <v>11</v>
      </c>
      <c r="F41" s="150">
        <v>0</v>
      </c>
      <c r="G41" s="146">
        <v>290</v>
      </c>
      <c r="H41" s="226">
        <f>+G41/E41</f>
        <v>26.363636363636363</v>
      </c>
      <c r="I41" s="364">
        <f>+(SUM($G$7:$G$1048576)/SUM($E$7:$E$1048576))*E41</f>
        <v>230.12903225806451</v>
      </c>
      <c r="J41" s="363">
        <f>+Tabla2[[#This Row],[PROM DE USUARIOS]]-Tabla2[[#This Row],[USUARIOS]]</f>
        <v>-59.870967741935488</v>
      </c>
      <c r="K41" s="151"/>
      <c r="L41" s="163">
        <f t="shared" si="1"/>
        <v>139146.93548387097</v>
      </c>
      <c r="M41" s="162">
        <f>+VLOOKUP(C41,Lista!B:D,3,0)</f>
        <v>0</v>
      </c>
      <c r="N41" s="164">
        <f t="shared" si="2"/>
        <v>11388.888888888889</v>
      </c>
      <c r="O41" s="164">
        <f>Tabla2[[#This Row],[USUARIOS]]*150</f>
        <v>43500</v>
      </c>
      <c r="P41" s="50">
        <f>+(E41*1)-W41</f>
        <v>11</v>
      </c>
      <c r="Q41" s="47">
        <f>+I41-P41-X41</f>
        <v>219.12903225806451</v>
      </c>
      <c r="R41" s="49">
        <f>+G41-P41</f>
        <v>279</v>
      </c>
      <c r="S41" s="51">
        <f>+E41*$T$3</f>
        <v>219.12903225806451</v>
      </c>
      <c r="T41" s="46">
        <f t="shared" si="3"/>
        <v>120520.96774193548</v>
      </c>
      <c r="U41" t="str">
        <f>+IF(K41&lt;&gt;"",K41,"")</f>
        <v/>
      </c>
      <c r="V41">
        <f>+RANK(H41,$H$6:$H$1048576,1)</f>
        <v>37</v>
      </c>
      <c r="Z41" t="str">
        <f>TRIM(Tabla2[[#This Row],[CONDUCTOR]])</f>
        <v>PARRA VILLA YUBER ALONSO</v>
      </c>
    </row>
    <row r="42" spans="2:26" x14ac:dyDescent="0.2">
      <c r="B42" s="136" t="s">
        <v>121</v>
      </c>
      <c r="C42" s="166">
        <v>44</v>
      </c>
      <c r="D42" s="151" t="s">
        <v>161</v>
      </c>
      <c r="E42" s="150">
        <v>12</v>
      </c>
      <c r="F42" s="150">
        <v>0</v>
      </c>
      <c r="G42" s="146">
        <v>254</v>
      </c>
      <c r="H42" s="226">
        <f>+G42/E42</f>
        <v>21.166666666666668</v>
      </c>
      <c r="I42" s="364">
        <f>+(SUM($G$7:$G$1048576)/SUM($E$7:$E$1048576))*E42</f>
        <v>251.04985337243403</v>
      </c>
      <c r="J42" s="363">
        <f>+Tabla2[[#This Row],[PROM DE USUARIOS]]-Tabla2[[#This Row],[USUARIOS]]</f>
        <v>-2.9501466275659709</v>
      </c>
      <c r="K42" s="151"/>
      <c r="L42" s="163">
        <f t="shared" si="1"/>
        <v>151796.6568914956</v>
      </c>
      <c r="M42" s="162">
        <f>+VLOOKUP(C42,Lista!B:D,3,0)</f>
        <v>0</v>
      </c>
      <c r="N42" s="164">
        <f t="shared" si="2"/>
        <v>11388.888888888889</v>
      </c>
      <c r="O42" s="164">
        <f>Tabla2[[#This Row],[USUARIOS]]*150</f>
        <v>38100</v>
      </c>
      <c r="P42" s="50">
        <f>+(E42*1)-W42</f>
        <v>12</v>
      </c>
      <c r="Q42" s="47">
        <f>+I42-P42-X42</f>
        <v>239.04985337243403</v>
      </c>
      <c r="R42" s="49">
        <f>+G42-P42</f>
        <v>242</v>
      </c>
      <c r="S42" s="51">
        <f>+E42*$T$3</f>
        <v>239.04985337243403</v>
      </c>
      <c r="T42" s="46">
        <f t="shared" si="3"/>
        <v>131477.41935483873</v>
      </c>
      <c r="U42" t="str">
        <f>+IF(K42&lt;&gt;"",K42,"")</f>
        <v/>
      </c>
      <c r="V42">
        <f>+RANK(H42,$H$6:$H$1048576,1)</f>
        <v>25</v>
      </c>
      <c r="Z42" t="str">
        <f>TRIM(Tabla2[[#This Row],[CONDUCTOR]])</f>
        <v>MARIN ALZATE KEVIN ANDRES</v>
      </c>
    </row>
    <row r="43" spans="2:26" x14ac:dyDescent="0.2">
      <c r="B43" s="232"/>
      <c r="C43" s="239">
        <f>SUBTOTAL(102,Tabla2[VEH])</f>
        <v>36</v>
      </c>
      <c r="D43" s="233" t="s">
        <v>127</v>
      </c>
      <c r="E43" s="234">
        <f>SUBTOTAL(109,Tabla2[VIAJES])</f>
        <v>341</v>
      </c>
      <c r="F43" s="234">
        <f>SUBTOTAL(109,Tabla2[VIAJES PERD.])</f>
        <v>0</v>
      </c>
      <c r="G43" s="240">
        <f>SUBTOTAL(109,Tabla2[USUARIOS])</f>
        <v>7134</v>
      </c>
      <c r="H43" s="373">
        <f>+Tabla2[[#Totals],[USUARIOS]]/Tabla2[[#Totals],[VIAJES]]</f>
        <v>20.920821114369502</v>
      </c>
      <c r="I43" s="240">
        <f>SUBTOTAL(109,Tabla2[PROM DE USUARIOS])</f>
        <v>7133.9999999999982</v>
      </c>
      <c r="J43" s="372">
        <f>SUBTOTAL(109,Tabla2[RECIBE / ENTREGA])</f>
        <v>2.9842794901924208E-13</v>
      </c>
      <c r="K43" s="235" t="s">
        <v>191</v>
      </c>
      <c r="L43" s="236"/>
      <c r="M43" s="237"/>
      <c r="N43" s="238">
        <f>SUBTOTAL(109,Tabla2[DIFER. MICRO - BUS ])</f>
        <v>409999.99999999971</v>
      </c>
      <c r="O43" s="238">
        <f>SUBTOTAL(109,Tabla2[FONDO (SIT)])</f>
        <v>1070100</v>
      </c>
      <c r="P43" s="50" t="e">
        <f>+(#REF!*1)-W43</f>
        <v>#REF!</v>
      </c>
      <c r="Q43" s="47" t="e">
        <f>+#REF!-P43-X43</f>
        <v>#REF!</v>
      </c>
      <c r="R43" s="49" t="e">
        <f>+#REF!-P43</f>
        <v>#REF!</v>
      </c>
      <c r="S43" s="51" t="e">
        <f>+#REF!*$T$3</f>
        <v>#REF!</v>
      </c>
      <c r="T43" s="46" t="e">
        <f t="shared" ref="S43:T44" si="4">+S43*550</f>
        <v>#REF!</v>
      </c>
      <c r="U43" t="e">
        <f>+IF(#REF!&lt;&gt;"",#REF!,"")</f>
        <v>#REF!</v>
      </c>
      <c r="V43" t="e">
        <f>+RANK(#REF!,$H$6:$H$1048576,1)</f>
        <v>#REF!</v>
      </c>
      <c r="Z43" t="e">
        <f>TRIM(Tabla2[[#This Row],[CONDUCTOR]])</f>
        <v>#VALUE!</v>
      </c>
    </row>
    <row r="44" spans="2:26" x14ac:dyDescent="0.2">
      <c r="B44" s="245"/>
      <c r="C44" s="246"/>
      <c r="D44" s="247"/>
      <c r="E44" s="248"/>
      <c r="F44" s="248"/>
      <c r="G44" s="249"/>
      <c r="H44" s="250"/>
      <c r="I44" s="251"/>
      <c r="J44" s="341"/>
      <c r="K44" s="247"/>
      <c r="L44" s="252"/>
      <c r="M44" s="253"/>
      <c r="N44" s="203"/>
      <c r="O44" s="50"/>
      <c r="P44" s="47" t="e">
        <f>+#REF!-O44-W44</f>
        <v>#REF!</v>
      </c>
      <c r="Q44" s="49" t="e">
        <f>+#REF!-O44</f>
        <v>#REF!</v>
      </c>
      <c r="R44" s="51" t="e">
        <f>+#REF!*$T$3</f>
        <v>#REF!</v>
      </c>
      <c r="S44" s="46" t="e">
        <f t="shared" si="4"/>
        <v>#REF!</v>
      </c>
      <c r="T44" t="e">
        <f>+IF(#REF!&lt;&gt;"",#REF!,"")</f>
        <v>#REF!</v>
      </c>
      <c r="U44" t="e">
        <f>+RANK(#REF!,$H$6:$H$1048576,1)</f>
        <v>#REF!</v>
      </c>
      <c r="Y44" t="e">
        <f>TRIM(Tabla2[[#This Row],[CONDUCTOR]])</f>
        <v>#VALUE!</v>
      </c>
    </row>
    <row r="45" spans="2:26" x14ac:dyDescent="0.2">
      <c r="B45" s="245"/>
      <c r="C45" s="246"/>
      <c r="D45" s="247"/>
      <c r="E45" s="248"/>
      <c r="F45" s="248"/>
      <c r="G45" s="249"/>
      <c r="H45" s="250"/>
      <c r="I45" s="251"/>
      <c r="J45" s="341"/>
      <c r="K45" s="247"/>
      <c r="L45" s="252"/>
      <c r="M45" s="253"/>
      <c r="N45" s="203"/>
      <c r="O45" s="50"/>
      <c r="P45" s="47" t="e">
        <f>+#REF!-O45-W45</f>
        <v>#REF!</v>
      </c>
      <c r="Q45" s="49" t="e">
        <f>+#REF!-O45</f>
        <v>#REF!</v>
      </c>
      <c r="R45" s="51" t="e">
        <f>+#REF!*$T$3</f>
        <v>#REF!</v>
      </c>
      <c r="S45" s="46" t="e">
        <f t="shared" ref="S45" si="5">+R45*550</f>
        <v>#REF!</v>
      </c>
      <c r="T45" t="e">
        <f>+IF(#REF!&lt;&gt;"",#REF!,"")</f>
        <v>#REF!</v>
      </c>
      <c r="U45" t="e">
        <f>+RANK(#REF!,$H$6:$H$1048576,1)</f>
        <v>#REF!</v>
      </c>
      <c r="Y45" t="e">
        <f>TRIM(Tabla2[[#This Row],[CONDUCTOR]])</f>
        <v>#VALUE!</v>
      </c>
    </row>
    <row r="46" spans="2:26" x14ac:dyDescent="0.2">
      <c r="B46" s="245"/>
      <c r="C46" s="246"/>
      <c r="D46" s="247"/>
      <c r="E46" s="248"/>
      <c r="F46" s="248"/>
      <c r="G46" s="249"/>
      <c r="H46" s="250"/>
      <c r="I46" s="251"/>
      <c r="J46" s="341"/>
      <c r="K46" s="247"/>
      <c r="L46" s="252"/>
      <c r="M46" s="253"/>
      <c r="N46" s="203"/>
      <c r="O46" s="50"/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6" si="6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6" x14ac:dyDescent="0.2">
      <c r="B47" s="245"/>
      <c r="C47" s="246"/>
      <c r="D47" s="247"/>
      <c r="E47" s="248"/>
      <c r="F47" s="248"/>
      <c r="G47" s="254"/>
      <c r="H47" s="250"/>
      <c r="I47" s="251"/>
      <c r="J47" s="341"/>
      <c r="K47" s="247"/>
      <c r="L47" s="252"/>
      <c r="M47" s="253"/>
      <c r="N47" s="203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7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6" x14ac:dyDescent="0.2">
      <c r="B48" s="245"/>
      <c r="C48" s="246"/>
      <c r="D48" s="247"/>
      <c r="E48" s="248"/>
      <c r="F48" s="248"/>
      <c r="G48" s="254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8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55"/>
      <c r="D49" s="247"/>
      <c r="E49" s="248"/>
      <c r="F49" s="248"/>
      <c r="G49" s="199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9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55"/>
      <c r="D50" s="247"/>
      <c r="E50" s="248"/>
      <c r="F50" s="248"/>
      <c r="G50" s="199"/>
      <c r="H50" s="250"/>
      <c r="I50" s="251"/>
      <c r="J50" s="341"/>
      <c r="K50" s="247"/>
      <c r="L50" s="252"/>
      <c r="M50" s="253"/>
      <c r="N50" s="203"/>
      <c r="O50">
        <f>+(E106*1)-V50</f>
        <v>0</v>
      </c>
      <c r="P50" s="134">
        <f>+I106-O50-W50</f>
        <v>0</v>
      </c>
      <c r="Q50" s="11">
        <f>+G106-O50</f>
        <v>0</v>
      </c>
      <c r="R50">
        <f>+E106*$T$3</f>
        <v>0</v>
      </c>
      <c r="S50">
        <f t="shared" ref="S50:S55" si="10">+R50*550</f>
        <v>0</v>
      </c>
      <c r="T50" t="str">
        <f>+IF(K106&lt;&gt;"",K106,"")</f>
        <v/>
      </c>
      <c r="U50" t="e">
        <f>+RANK(H106,$H$6:$H$1048576,1)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+(E107*1)-V51</f>
        <v>0</v>
      </c>
      <c r="P51" s="134">
        <f>+I107-O51-W51</f>
        <v>0</v>
      </c>
      <c r="Q51" s="11">
        <f>+G107-O51</f>
        <v>0</v>
      </c>
      <c r="R51">
        <f>+E107*$T$3</f>
        <v>0</v>
      </c>
      <c r="S51">
        <f t="shared" si="10"/>
        <v>0</v>
      </c>
      <c r="T51" t="str">
        <f>+IF(K107&lt;&gt;"",K107,"")</f>
        <v/>
      </c>
      <c r="U51" t="e">
        <f>+RANK(H107,$H$6:$H$1048576,1)</f>
        <v>#N/A</v>
      </c>
    </row>
    <row r="52" spans="2:21" x14ac:dyDescent="0.2">
      <c r="B52" s="245"/>
      <c r="C52" s="255"/>
      <c r="D52" s="247"/>
      <c r="E52" s="248"/>
      <c r="F52" s="248"/>
      <c r="G52" s="199"/>
      <c r="H52" s="250"/>
      <c r="I52" s="251"/>
      <c r="J52" s="341"/>
      <c r="K52" s="247"/>
      <c r="L52" s="252"/>
      <c r="M52" s="253"/>
      <c r="N52" s="203"/>
      <c r="O52">
        <f>+(E108*1)-V52</f>
        <v>0</v>
      </c>
      <c r="P52" s="134">
        <f>+I108-O52-W52</f>
        <v>0</v>
      </c>
      <c r="Q52" s="11">
        <f>+G108-O52</f>
        <v>0</v>
      </c>
      <c r="R52">
        <f>+E108*$T$3</f>
        <v>0</v>
      </c>
      <c r="S52">
        <f t="shared" si="10"/>
        <v>0</v>
      </c>
      <c r="T52" t="str">
        <f>+IF(K108&lt;&gt;"",K108,"")</f>
        <v/>
      </c>
      <c r="U52" t="e">
        <f>+RANK(H108,$H$6:$H$1048576,1)</f>
        <v>#N/A</v>
      </c>
    </row>
    <row r="53" spans="2:21" x14ac:dyDescent="0.2">
      <c r="B53" s="245"/>
      <c r="C53" s="246"/>
      <c r="D53" s="247"/>
      <c r="E53" s="248"/>
      <c r="F53" s="248"/>
      <c r="G53" s="254"/>
      <c r="H53" s="250"/>
      <c r="I53" s="251"/>
      <c r="J53" s="341"/>
      <c r="K53" s="247"/>
      <c r="L53" s="252"/>
      <c r="M53" s="253"/>
      <c r="N53" s="203"/>
      <c r="O53">
        <f>+(E109*1)-V53</f>
        <v>0</v>
      </c>
      <c r="P53" s="134">
        <f>+I109-O53-W53</f>
        <v>0</v>
      </c>
      <c r="Q53" s="11">
        <f>+G109-O53</f>
        <v>0</v>
      </c>
      <c r="R53">
        <f>+E109*$T$3</f>
        <v>0</v>
      </c>
      <c r="S53">
        <f t="shared" si="10"/>
        <v>0</v>
      </c>
      <c r="T53" t="str">
        <f>+IF(K109&lt;&gt;"",K109,"")</f>
        <v/>
      </c>
      <c r="U53" t="e">
        <f>+RANK(H109,$H$6:$H$1048576,1)</f>
        <v>#N/A</v>
      </c>
    </row>
    <row r="54" spans="2:21" x14ac:dyDescent="0.2">
      <c r="B54" s="245"/>
      <c r="C54" s="246"/>
      <c r="D54" s="247"/>
      <c r="E54" s="248"/>
      <c r="F54" s="248"/>
      <c r="G54" s="254"/>
      <c r="H54" s="250"/>
      <c r="I54" s="251"/>
      <c r="J54" s="341"/>
      <c r="K54" s="247"/>
      <c r="L54" s="252"/>
      <c r="M54" s="253"/>
      <c r="N54" s="203"/>
      <c r="O54">
        <f>+(E110*1)-V54</f>
        <v>0</v>
      </c>
      <c r="P54" s="134">
        <f>+I110-O54-W54</f>
        <v>0</v>
      </c>
      <c r="Q54" s="11">
        <f>+G110-O54</f>
        <v>0</v>
      </c>
      <c r="R54">
        <f>+E110*$T$3</f>
        <v>0</v>
      </c>
      <c r="S54">
        <f t="shared" si="10"/>
        <v>0</v>
      </c>
      <c r="T54" t="str">
        <f>+IF(K110&lt;&gt;"",K110,"")</f>
        <v/>
      </c>
      <c r="U54" t="e">
        <f>+RANK(H110,$H$6:$H$1048576,1)</f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51"/>
      <c r="J55" s="341"/>
      <c r="K55" s="247"/>
      <c r="L55" s="252"/>
      <c r="M55" s="253"/>
      <c r="N55" s="203"/>
      <c r="O55">
        <f>+(E111*1)-V55</f>
        <v>0</v>
      </c>
      <c r="P55" s="134">
        <f>+I111-O55-W55</f>
        <v>0</v>
      </c>
      <c r="Q55" s="11">
        <f>+G111-O55</f>
        <v>0</v>
      </c>
      <c r="R55">
        <f>+E111*$T$3</f>
        <v>0</v>
      </c>
      <c r="S55">
        <f t="shared" si="10"/>
        <v>0</v>
      </c>
      <c r="T55" t="str">
        <f>+IF(K111&lt;&gt;"",K111,"")</f>
        <v/>
      </c>
      <c r="U55" t="e">
        <f>+RANK(H111,$H$6:$H$1048576,1)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11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11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11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11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+(E75*1)-V65</f>
        <v>0</v>
      </c>
      <c r="P65" s="134">
        <f>+I75-O65-W65</f>
        <v>0</v>
      </c>
      <c r="Q65" s="11">
        <f>+G75-O65</f>
        <v>0</v>
      </c>
      <c r="R65">
        <f>+E75*$T$3</f>
        <v>0</v>
      </c>
      <c r="S65">
        <f t="shared" si="11"/>
        <v>0</v>
      </c>
      <c r="T65" t="str">
        <f>+IF(K75&lt;&gt;"",K75,"")</f>
        <v/>
      </c>
      <c r="U65" t="e">
        <f>+RANK(H75,$H$6:$H$1048576,1)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+(E76*1)-V66</f>
        <v>0</v>
      </c>
      <c r="P66" s="134">
        <f>+I76-O66-W66</f>
        <v>0</v>
      </c>
      <c r="Q66" s="11">
        <f>+G76-O66</f>
        <v>0</v>
      </c>
      <c r="R66">
        <f>+E76*$T$3</f>
        <v>0</v>
      </c>
      <c r="S66">
        <f t="shared" si="11"/>
        <v>0</v>
      </c>
      <c r="T66" t="str">
        <f>+IF(K76&lt;&gt;"",K76,"")</f>
        <v/>
      </c>
      <c r="U66" t="e">
        <f>+RANK(H76,$H$6:$H$1048576,1)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+(E77*1)-V67</f>
        <v>0</v>
      </c>
      <c r="P67" s="134">
        <f>+I77-O67-W67</f>
        <v>0</v>
      </c>
      <c r="Q67" s="11">
        <f>+G77-O67</f>
        <v>0</v>
      </c>
      <c r="R67">
        <f>+E77*$T$3</f>
        <v>0</v>
      </c>
      <c r="S67">
        <f t="shared" si="11"/>
        <v>0</v>
      </c>
      <c r="T67" t="str">
        <f>+IF(K77&lt;&gt;"",K77,"")</f>
        <v/>
      </c>
      <c r="U67" t="e">
        <f>+RANK(H77,$H$6:$H$1048576,1)</f>
        <v>#N/A</v>
      </c>
    </row>
    <row r="68" spans="2:21" x14ac:dyDescent="0.2">
      <c r="B68" s="245"/>
      <c r="C68" s="255"/>
      <c r="D68" s="247"/>
      <c r="E68" s="248"/>
      <c r="F68" s="248"/>
      <c r="G68" s="256"/>
      <c r="H68" s="250"/>
      <c r="I68" s="221"/>
      <c r="J68" s="342"/>
      <c r="K68" s="247"/>
      <c r="L68" s="252"/>
      <c r="M68" s="253"/>
      <c r="N68" s="203"/>
      <c r="O68">
        <f>+(E78*1)-V68</f>
        <v>0</v>
      </c>
      <c r="P68" s="134">
        <f>+I78-O68-W68</f>
        <v>0</v>
      </c>
      <c r="Q68" s="11">
        <f>+G78-O68</f>
        <v>0</v>
      </c>
      <c r="R68">
        <f>+E78*$T$3</f>
        <v>0</v>
      </c>
      <c r="S68">
        <f t="shared" si="11"/>
        <v>0</v>
      </c>
      <c r="T68" t="str">
        <f>+IF(K78&lt;&gt;"",K78,"")</f>
        <v/>
      </c>
      <c r="U68" t="e">
        <f>+RANK(H78,$H$6:$H$1048576,1)</f>
        <v>#N/A</v>
      </c>
    </row>
    <row r="69" spans="2:21" x14ac:dyDescent="0.2">
      <c r="B69" s="245"/>
      <c r="C69" s="246"/>
      <c r="D69" s="247"/>
      <c r="E69" s="248"/>
      <c r="F69" s="248"/>
      <c r="G69" s="256"/>
      <c r="H69" s="250"/>
      <c r="I69" s="221"/>
      <c r="J69" s="342"/>
      <c r="K69" s="247"/>
      <c r="L69" s="252"/>
      <c r="M69" s="253"/>
      <c r="N69" s="203"/>
      <c r="O69">
        <f>+(E79*1)-V69</f>
        <v>0</v>
      </c>
      <c r="P69" s="134">
        <f>+I79-O69-W69</f>
        <v>0</v>
      </c>
      <c r="Q69" s="11">
        <f>+G79-O69</f>
        <v>0</v>
      </c>
      <c r="R69">
        <f>+E79*$T$3</f>
        <v>0</v>
      </c>
      <c r="S69">
        <f t="shared" si="11"/>
        <v>0</v>
      </c>
      <c r="T69" t="str">
        <f>+IF(K79&lt;&gt;"",K79,"")</f>
        <v/>
      </c>
      <c r="U69" t="e">
        <f>+RANK(H79,$H$6:$H$1048576,1)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21"/>
      <c r="J70" s="342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4"/>
      <c r="H71" s="250"/>
      <c r="I71" s="221"/>
      <c r="J71" s="342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4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55"/>
      <c r="D73" s="247"/>
      <c r="E73" s="248"/>
      <c r="F73" s="248"/>
      <c r="G73" s="199"/>
      <c r="H73" s="257"/>
      <c r="I73" s="222"/>
      <c r="J73" s="343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55"/>
      <c r="D75" s="247"/>
      <c r="E75" s="248"/>
      <c r="F75" s="248"/>
      <c r="G75" s="199"/>
      <c r="H75" s="257"/>
      <c r="I75" s="222"/>
      <c r="J75" s="343"/>
      <c r="K75" s="247"/>
      <c r="L75" s="252"/>
      <c r="M75" s="253"/>
      <c r="N75" s="258"/>
    </row>
    <row r="76" spans="2:21" x14ac:dyDescent="0.2">
      <c r="B76" s="245"/>
      <c r="C76" s="255"/>
      <c r="D76" s="247"/>
      <c r="E76" s="248"/>
      <c r="F76" s="248"/>
      <c r="G76" s="254"/>
      <c r="H76" s="257"/>
      <c r="I76" s="222"/>
      <c r="J76" s="343"/>
      <c r="K76" s="247"/>
      <c r="L76" s="252"/>
      <c r="M76" s="253"/>
      <c r="N76" s="258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52"/>
      <c r="M77" s="253"/>
      <c r="N77" s="258"/>
    </row>
    <row r="78" spans="2:21" x14ac:dyDescent="0.2">
      <c r="B78" s="245"/>
      <c r="C78" s="246"/>
      <c r="D78" s="247"/>
      <c r="E78" s="248"/>
      <c r="F78" s="248"/>
      <c r="G78" s="254"/>
      <c r="H78" s="250"/>
      <c r="I78" s="221"/>
      <c r="J78" s="342"/>
      <c r="K78" s="247"/>
      <c r="L78" s="252"/>
      <c r="M78" s="253"/>
      <c r="N78" s="258"/>
    </row>
    <row r="79" spans="2:21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52"/>
      <c r="M79" s="253"/>
      <c r="N79" s="258"/>
    </row>
    <row r="80" spans="2:21" x14ac:dyDescent="0.2">
      <c r="B80" s="245"/>
      <c r="C80" s="255"/>
      <c r="D80" s="247"/>
      <c r="E80" s="248"/>
      <c r="F80" s="248"/>
      <c r="G80" s="199"/>
      <c r="H80" s="257"/>
      <c r="I80" s="222"/>
      <c r="J80" s="343"/>
      <c r="K80" s="247"/>
      <c r="L80" s="203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6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6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03"/>
      <c r="M88" s="253"/>
      <c r="N88" s="258"/>
    </row>
    <row r="89" spans="2:14" x14ac:dyDescent="0.2">
      <c r="B89" s="245"/>
      <c r="C89" s="255"/>
      <c r="D89" s="247"/>
      <c r="E89" s="248"/>
      <c r="F89" s="248"/>
      <c r="G89" s="199"/>
      <c r="H89" s="257"/>
      <c r="I89" s="222"/>
      <c r="J89" s="343"/>
      <c r="K89" s="247"/>
      <c r="L89" s="203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03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03"/>
      <c r="M93" s="253"/>
      <c r="N93" s="258"/>
    </row>
    <row r="94" spans="2:14" x14ac:dyDescent="0.2">
      <c r="B94" s="245"/>
      <c r="C94" s="255"/>
      <c r="D94" s="247"/>
      <c r="E94" s="248"/>
      <c r="F94" s="248"/>
      <c r="G94" s="254"/>
      <c r="H94" s="259"/>
      <c r="I94" s="260"/>
      <c r="J94" s="344"/>
      <c r="K94" s="247"/>
      <c r="L94" s="203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03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52"/>
      <c r="M96" s="253"/>
      <c r="N96" s="258"/>
    </row>
    <row r="97" spans="2:14" x14ac:dyDescent="0.2">
      <c r="B97" s="245"/>
      <c r="C97" s="246"/>
      <c r="D97" s="247"/>
      <c r="E97" s="248"/>
      <c r="F97" s="248"/>
      <c r="G97" s="256"/>
      <c r="H97" s="250"/>
      <c r="I97" s="221"/>
      <c r="J97" s="342"/>
      <c r="K97" s="247"/>
      <c r="L97" s="252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52"/>
      <c r="M98" s="253"/>
      <c r="N98" s="258"/>
    </row>
    <row r="99" spans="2:14" x14ac:dyDescent="0.2">
      <c r="B99" s="245"/>
      <c r="C99" s="255"/>
      <c r="D99" s="247"/>
      <c r="E99" s="248"/>
      <c r="F99" s="248"/>
      <c r="G99" s="199"/>
      <c r="H99" s="257"/>
      <c r="I99" s="222"/>
      <c r="J99" s="343"/>
      <c r="K99" s="247"/>
      <c r="L99" s="252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6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6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6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55"/>
      <c r="D113" s="247"/>
      <c r="E113" s="248"/>
      <c r="F113" s="248"/>
      <c r="G113" s="199"/>
      <c r="H113" s="257"/>
      <c r="I113" s="222"/>
      <c r="J113" s="343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03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6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03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52"/>
      <c r="M117" s="253"/>
      <c r="N117" s="203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52"/>
      <c r="M118" s="253"/>
      <c r="N118" s="203"/>
    </row>
    <row r="119" spans="2:14" x14ac:dyDescent="0.2">
      <c r="B119" s="245"/>
      <c r="C119" s="246"/>
      <c r="D119" s="245"/>
      <c r="E119" s="248"/>
      <c r="F119" s="248"/>
      <c r="G119" s="261"/>
      <c r="H119" s="250"/>
      <c r="I119" s="221"/>
      <c r="J119" s="342"/>
      <c r="K119" s="247"/>
      <c r="L119" s="252"/>
      <c r="M119" s="253"/>
      <c r="N119" s="203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55"/>
      <c r="D124" s="247"/>
      <c r="E124" s="248"/>
      <c r="F124" s="248"/>
      <c r="G124" s="199"/>
      <c r="H124" s="257"/>
      <c r="I124" s="222"/>
      <c r="J124" s="343"/>
      <c r="K124" s="262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55"/>
      <c r="D126" s="247"/>
      <c r="E126" s="248"/>
      <c r="F126" s="248"/>
      <c r="G126" s="199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0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0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55"/>
      <c r="D133" s="247"/>
      <c r="E133" s="248"/>
      <c r="F133" s="248"/>
      <c r="G133" s="199"/>
      <c r="H133" s="200"/>
      <c r="I133" s="221"/>
      <c r="J133" s="342"/>
      <c r="K133" s="247"/>
      <c r="L133" s="203"/>
      <c r="M133" s="253"/>
      <c r="N133" s="258"/>
    </row>
    <row r="134" spans="2:14" x14ac:dyDescent="0.2">
      <c r="B134" s="245"/>
      <c r="C134" s="246"/>
      <c r="D134" s="247"/>
      <c r="E134" s="248"/>
      <c r="F134" s="248"/>
      <c r="G134" s="254"/>
      <c r="H134" s="200"/>
      <c r="I134" s="221"/>
      <c r="J134" s="342"/>
      <c r="K134" s="247"/>
      <c r="L134" s="252"/>
      <c r="M134" s="253"/>
      <c r="N134" s="258"/>
    </row>
    <row r="135" spans="2:14" x14ac:dyDescent="0.2">
      <c r="B135" s="245"/>
      <c r="C135" s="255"/>
      <c r="D135" s="247"/>
      <c r="E135" s="248"/>
      <c r="F135" s="248"/>
      <c r="G135" s="199"/>
      <c r="H135" s="200"/>
      <c r="I135" s="221"/>
      <c r="J135" s="342"/>
      <c r="K135" s="247"/>
      <c r="L135" s="203"/>
      <c r="M135" s="253"/>
      <c r="N135" s="258"/>
    </row>
    <row r="136" spans="2:14" x14ac:dyDescent="0.2">
      <c r="B136" s="245"/>
      <c r="C136" s="246"/>
      <c r="D136" s="247"/>
      <c r="E136" s="248"/>
      <c r="F136" s="248"/>
      <c r="G136" s="254"/>
      <c r="H136" s="200"/>
      <c r="I136" s="221"/>
      <c r="J136" s="342"/>
      <c r="K136" s="247"/>
      <c r="L136" s="252"/>
      <c r="M136" s="253"/>
      <c r="N136" s="203"/>
    </row>
    <row r="137" spans="2:14" x14ac:dyDescent="0.2">
      <c r="B137" s="245"/>
      <c r="C137" s="255"/>
      <c r="D137" s="247"/>
      <c r="E137" s="248"/>
      <c r="F137" s="248"/>
      <c r="G137" s="199"/>
      <c r="H137" s="250"/>
      <c r="I137" s="221"/>
      <c r="J137" s="342"/>
      <c r="K137" s="247"/>
      <c r="L137" s="252"/>
      <c r="M137" s="253"/>
      <c r="N137" s="203"/>
    </row>
    <row r="138" spans="2:14" x14ac:dyDescent="0.2">
      <c r="B138" s="245"/>
      <c r="C138" s="255"/>
      <c r="D138" s="247"/>
      <c r="E138" s="248"/>
      <c r="F138" s="248"/>
      <c r="G138" s="199"/>
      <c r="H138" s="200"/>
      <c r="I138" s="221"/>
      <c r="J138" s="342"/>
      <c r="K138" s="247"/>
      <c r="L138" s="252"/>
      <c r="M138" s="253"/>
      <c r="N138" s="203"/>
    </row>
    <row r="139" spans="2:14" x14ac:dyDescent="0.2">
      <c r="B139" s="245"/>
      <c r="C139" s="255"/>
      <c r="D139" s="245"/>
      <c r="E139" s="248"/>
      <c r="F139" s="248"/>
      <c r="G139" s="201"/>
      <c r="H139" s="20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46"/>
      <c r="D140" s="247"/>
      <c r="E140" s="248"/>
      <c r="F140" s="248"/>
      <c r="G140" s="254"/>
      <c r="H140" s="25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46"/>
      <c r="D141" s="247"/>
      <c r="E141" s="248"/>
      <c r="F141" s="248"/>
      <c r="G141" s="254"/>
      <c r="H141" s="25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46"/>
      <c r="D142" s="247"/>
      <c r="E142" s="248"/>
      <c r="F142" s="248"/>
      <c r="G142" s="254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0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0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55"/>
      <c r="D147" s="247"/>
      <c r="E147" s="248"/>
      <c r="F147" s="248"/>
      <c r="G147" s="199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5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55"/>
      <c r="D149" s="247"/>
      <c r="E149" s="248"/>
      <c r="F149" s="248"/>
      <c r="G149" s="199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0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55"/>
      <c r="D151" s="247"/>
      <c r="E151" s="248"/>
      <c r="F151" s="248"/>
      <c r="G151" s="199"/>
      <c r="H151" s="25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55"/>
      <c r="D153" s="247"/>
      <c r="E153" s="248"/>
      <c r="F153" s="248"/>
      <c r="G153" s="199"/>
      <c r="H153" s="250"/>
      <c r="I153" s="251"/>
      <c r="J153" s="341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5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5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5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55"/>
      <c r="D158" s="245"/>
      <c r="E158" s="248"/>
      <c r="F158" s="248"/>
      <c r="G158" s="201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55"/>
      <c r="D159" s="247"/>
      <c r="E159" s="248"/>
      <c r="F159" s="248"/>
      <c r="G159" s="199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50"/>
      <c r="I160" s="221"/>
      <c r="J160" s="342"/>
      <c r="K160" s="247"/>
      <c r="L160" s="252"/>
      <c r="M160" s="253"/>
      <c r="N160" s="258"/>
    </row>
    <row r="161" spans="2:14" x14ac:dyDescent="0.2">
      <c r="B161" s="245"/>
      <c r="C161" s="246"/>
      <c r="D161" s="247"/>
      <c r="E161" s="248"/>
      <c r="F161" s="248"/>
      <c r="G161" s="254"/>
      <c r="H161" s="20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0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46"/>
      <c r="D163" s="247"/>
      <c r="E163" s="248"/>
      <c r="F163" s="248"/>
      <c r="G163" s="254"/>
      <c r="H163" s="20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55"/>
      <c r="D165" s="247"/>
      <c r="E165" s="248"/>
      <c r="F165" s="248"/>
      <c r="G165" s="199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55"/>
      <c r="D167" s="247"/>
      <c r="E167" s="248"/>
      <c r="F167" s="248"/>
      <c r="G167" s="199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55"/>
      <c r="D170" s="247"/>
      <c r="E170" s="248"/>
      <c r="F170" s="248"/>
      <c r="G170" s="199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55"/>
      <c r="D174" s="247"/>
      <c r="E174" s="248"/>
      <c r="F174" s="248"/>
      <c r="G174" s="199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55"/>
      <c r="D179" s="247"/>
      <c r="E179" s="248"/>
      <c r="F179" s="248"/>
      <c r="G179" s="199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55"/>
      <c r="D187" s="247"/>
      <c r="E187" s="248"/>
      <c r="F187" s="248"/>
      <c r="G187" s="199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55"/>
      <c r="D189" s="247"/>
      <c r="E189" s="248"/>
      <c r="F189" s="248"/>
      <c r="G189" s="199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03"/>
      <c r="M190" s="253"/>
      <c r="N190" s="258"/>
    </row>
    <row r="191" spans="2:14" x14ac:dyDescent="0.2">
      <c r="B191" s="245"/>
      <c r="C191" s="246"/>
      <c r="D191" s="247"/>
      <c r="E191" s="248"/>
      <c r="F191" s="248"/>
      <c r="G191" s="254"/>
      <c r="H191" s="250"/>
      <c r="I191" s="221"/>
      <c r="J191" s="342"/>
      <c r="K191" s="247"/>
      <c r="L191" s="252"/>
      <c r="M191" s="253"/>
      <c r="N191" s="258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55"/>
      <c r="D193" s="247"/>
      <c r="E193" s="248"/>
      <c r="F193" s="248"/>
      <c r="G193" s="199"/>
      <c r="H193" s="244"/>
      <c r="I193" s="222"/>
      <c r="J193" s="343"/>
      <c r="K193" s="247"/>
      <c r="L193" s="252"/>
      <c r="M193" s="253"/>
      <c r="N193" s="203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52"/>
      <c r="M194" s="253"/>
      <c r="N194" s="203"/>
    </row>
    <row r="195" spans="2:14" x14ac:dyDescent="0.2">
      <c r="B195" s="245"/>
      <c r="C195" s="255"/>
      <c r="D195" s="247"/>
      <c r="E195" s="248"/>
      <c r="F195" s="248"/>
      <c r="G195" s="199"/>
      <c r="H195" s="244"/>
      <c r="I195" s="222"/>
      <c r="J195" s="343"/>
      <c r="K195" s="247"/>
      <c r="L195" s="252"/>
      <c r="M195" s="253"/>
      <c r="N195" s="203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52"/>
      <c r="M196" s="253"/>
      <c r="N196" s="203"/>
    </row>
    <row r="197" spans="2:14" x14ac:dyDescent="0.2">
      <c r="B197" s="245"/>
      <c r="C197" s="255"/>
      <c r="D197" s="247"/>
      <c r="E197" s="248"/>
      <c r="F197" s="248"/>
      <c r="G197" s="199"/>
      <c r="H197" s="244"/>
      <c r="I197" s="222"/>
      <c r="J197" s="343"/>
      <c r="K197" s="247"/>
      <c r="L197" s="203"/>
      <c r="M197" s="253"/>
      <c r="N197" s="203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03"/>
      <c r="M198" s="253"/>
      <c r="N198" s="203"/>
    </row>
    <row r="199" spans="2:14" x14ac:dyDescent="0.2">
      <c r="B199" s="245"/>
      <c r="C199" s="255"/>
      <c r="D199" s="247"/>
      <c r="E199" s="248"/>
      <c r="F199" s="248"/>
      <c r="G199" s="199"/>
      <c r="H199" s="244"/>
      <c r="I199" s="222"/>
      <c r="J199" s="343"/>
      <c r="K199" s="247"/>
      <c r="L199" s="203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03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52"/>
      <c r="M201" s="253"/>
      <c r="N201" s="203"/>
    </row>
    <row r="202" spans="2:14" x14ac:dyDescent="0.2">
      <c r="B202" s="245"/>
      <c r="C202" s="255"/>
      <c r="D202" s="247"/>
      <c r="E202" s="248"/>
      <c r="F202" s="248"/>
      <c r="G202" s="199"/>
      <c r="H202" s="244"/>
      <c r="I202" s="222"/>
      <c r="J202" s="343"/>
      <c r="K202" s="247"/>
      <c r="L202" s="252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03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52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52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03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55"/>
      <c r="D208" s="247"/>
      <c r="E208" s="248"/>
      <c r="F208" s="248"/>
      <c r="G208" s="199"/>
      <c r="H208" s="244"/>
      <c r="I208" s="222"/>
      <c r="J208" s="343"/>
      <c r="K208" s="247"/>
      <c r="L208" s="203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03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03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2">
      <c r="B213" s="245"/>
      <c r="C213" s="255"/>
      <c r="D213" s="247"/>
      <c r="E213" s="248"/>
      <c r="F213" s="248"/>
      <c r="G213" s="199"/>
      <c r="H213" s="244"/>
      <c r="I213" s="222"/>
      <c r="J213" s="343"/>
      <c r="K213" s="247"/>
      <c r="L213" s="252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03"/>
      <c r="M214" s="253"/>
      <c r="N214" s="203"/>
    </row>
    <row r="215" spans="2:14" x14ac:dyDescent="0.2">
      <c r="B215" s="245"/>
      <c r="C215" s="246"/>
      <c r="D215" s="245"/>
      <c r="E215" s="248"/>
      <c r="F215" s="248"/>
      <c r="G215" s="261"/>
      <c r="H215" s="200"/>
      <c r="I215" s="221"/>
      <c r="J215" s="342"/>
      <c r="K215" s="247"/>
      <c r="L215" s="252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52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5"/>
      <c r="E219" s="248"/>
      <c r="F219" s="248"/>
      <c r="G219" s="261"/>
      <c r="H219" s="200"/>
      <c r="I219" s="221"/>
      <c r="J219" s="342"/>
      <c r="K219" s="247"/>
      <c r="L219" s="203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5"/>
      <c r="E221" s="248"/>
      <c r="F221" s="248"/>
      <c r="G221" s="261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55"/>
      <c r="D224" s="247"/>
      <c r="E224" s="248"/>
      <c r="F224" s="248"/>
      <c r="G224" s="261"/>
      <c r="H224" s="263"/>
      <c r="I224" s="260"/>
      <c r="J224" s="344"/>
      <c r="K224" s="247"/>
      <c r="L224" s="252"/>
      <c r="M224" s="253"/>
      <c r="N224" s="203"/>
    </row>
    <row r="225" spans="2:14" x14ac:dyDescent="0.2">
      <c r="B225" s="245"/>
      <c r="C225" s="246"/>
      <c r="D225" s="245"/>
      <c r="E225" s="248"/>
      <c r="F225" s="248"/>
      <c r="G225" s="261"/>
      <c r="H225" s="200"/>
      <c r="I225" s="221"/>
      <c r="J225" s="342"/>
      <c r="K225" s="245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55"/>
      <c r="D234" s="247"/>
      <c r="E234" s="248"/>
      <c r="F234" s="248"/>
      <c r="G234" s="199"/>
      <c r="H234" s="244"/>
      <c r="I234" s="222"/>
      <c r="J234" s="343"/>
      <c r="K234" s="247"/>
      <c r="L234" s="252"/>
      <c r="M234" s="253"/>
      <c r="N234" s="203"/>
    </row>
    <row r="235" spans="2:14" x14ac:dyDescent="0.2">
      <c r="B235" s="245"/>
      <c r="C235" s="255"/>
      <c r="D235" s="247"/>
      <c r="E235" s="248"/>
      <c r="F235" s="248"/>
      <c r="G235" s="199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03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55"/>
      <c r="D258" s="247"/>
      <c r="E258" s="248"/>
      <c r="F258" s="248"/>
      <c r="G258" s="261"/>
      <c r="H258" s="200"/>
      <c r="I258" s="221"/>
      <c r="J258" s="342"/>
      <c r="K258" s="245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62"/>
      <c r="L259" s="252"/>
      <c r="M259" s="253"/>
      <c r="N259" s="203"/>
    </row>
    <row r="260" spans="2:14" x14ac:dyDescent="0.2">
      <c r="B260" s="245"/>
      <c r="C260" s="255"/>
      <c r="D260" s="245"/>
      <c r="E260" s="248"/>
      <c r="F260" s="248"/>
      <c r="G260" s="201"/>
      <c r="H260" s="200"/>
      <c r="I260" s="221"/>
      <c r="J260" s="342"/>
      <c r="K260" s="262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45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47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47"/>
      <c r="L263" s="252"/>
      <c r="M263" s="253"/>
      <c r="N263" s="203"/>
    </row>
    <row r="264" spans="2:14" x14ac:dyDescent="0.2">
      <c r="B264" s="245"/>
      <c r="C264" s="246"/>
      <c r="D264" s="245"/>
      <c r="E264" s="248"/>
      <c r="F264" s="248"/>
      <c r="G264" s="261"/>
      <c r="H264" s="200"/>
      <c r="I264" s="221"/>
      <c r="J264" s="342"/>
      <c r="K264" s="247"/>
      <c r="L264" s="252"/>
      <c r="M264" s="253"/>
      <c r="N264" s="203"/>
    </row>
    <row r="265" spans="2:14" x14ac:dyDescent="0.2">
      <c r="B265" s="245"/>
      <c r="C265" s="255"/>
      <c r="D265" s="247"/>
      <c r="E265" s="248"/>
      <c r="F265" s="248"/>
      <c r="G265" s="199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7"/>
      <c r="E267" s="248"/>
      <c r="F267" s="248"/>
      <c r="G267" s="254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55"/>
      <c r="D270" s="245"/>
      <c r="E270" s="248"/>
      <c r="F270" s="248"/>
      <c r="G270" s="201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55"/>
      <c r="D271" s="245"/>
      <c r="E271" s="248"/>
      <c r="F271" s="248"/>
      <c r="G271" s="261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46"/>
      <c r="D273" s="247"/>
      <c r="E273" s="248"/>
      <c r="F273" s="248"/>
      <c r="G273" s="254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46"/>
      <c r="D274" s="247"/>
      <c r="E274" s="248"/>
      <c r="F274" s="248"/>
      <c r="G274" s="254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55"/>
      <c r="D275" s="247"/>
      <c r="E275" s="248"/>
      <c r="F275" s="248"/>
      <c r="G275" s="199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5"/>
      <c r="E276" s="248"/>
      <c r="F276" s="248"/>
      <c r="G276" s="261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55"/>
      <c r="D278" s="245"/>
      <c r="E278" s="248"/>
      <c r="F278" s="248"/>
      <c r="G278" s="201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55"/>
      <c r="D279" s="247"/>
      <c r="E279" s="248"/>
      <c r="F279" s="248"/>
      <c r="G279" s="199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46"/>
      <c r="D280" s="247"/>
      <c r="E280" s="248"/>
      <c r="F280" s="248"/>
      <c r="G280" s="254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46"/>
      <c r="D281" s="245"/>
      <c r="E281" s="248"/>
      <c r="F281" s="248"/>
      <c r="G281" s="261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55"/>
      <c r="D282" s="247"/>
      <c r="E282" s="248"/>
      <c r="F282" s="248"/>
      <c r="G282" s="199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46"/>
      <c r="D283" s="247"/>
      <c r="E283" s="248"/>
      <c r="F283" s="248"/>
      <c r="G283" s="254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46"/>
      <c r="D284" s="247"/>
      <c r="E284" s="248"/>
      <c r="F284" s="248"/>
      <c r="G284" s="254"/>
      <c r="H284" s="202"/>
      <c r="I284" s="223"/>
      <c r="J284" s="345"/>
      <c r="K284" s="264"/>
      <c r="L284" s="252"/>
      <c r="M284" s="253"/>
      <c r="N284" s="265"/>
    </row>
    <row r="285" spans="2:14" x14ac:dyDescent="0.2">
      <c r="B285" s="245"/>
      <c r="C285" s="246"/>
      <c r="D285" s="247"/>
      <c r="E285" s="248"/>
      <c r="F285" s="248"/>
      <c r="G285" s="254"/>
      <c r="H285" s="202"/>
      <c r="I285" s="223"/>
      <c r="J285" s="345"/>
      <c r="K285" s="264"/>
      <c r="L285" s="252"/>
      <c r="M285" s="253"/>
      <c r="N285" s="265"/>
    </row>
    <row r="286" spans="2:14" x14ac:dyDescent="0.2">
      <c r="B286" s="245"/>
      <c r="C286" s="246"/>
      <c r="D286" s="247"/>
      <c r="E286" s="248"/>
      <c r="F286" s="248"/>
      <c r="G286" s="254"/>
      <c r="H286" s="202"/>
      <c r="I286" s="223"/>
      <c r="J286" s="345"/>
      <c r="K286" s="264"/>
      <c r="L286" s="252"/>
      <c r="M286" s="253"/>
      <c r="N286" s="265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6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6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4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5"/>
      <c r="E299" s="248"/>
      <c r="F299" s="248"/>
      <c r="G299" s="261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4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4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4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4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6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6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7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7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7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7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6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6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6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55"/>
      <c r="D372" s="247"/>
      <c r="E372" s="248"/>
      <c r="F372" s="248"/>
      <c r="G372" s="199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55"/>
      <c r="D376" s="247"/>
      <c r="E376" s="248"/>
      <c r="F376" s="248"/>
      <c r="G376" s="199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55"/>
      <c r="D377" s="247"/>
      <c r="E377" s="248"/>
      <c r="F377" s="248"/>
      <c r="G377" s="199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55"/>
      <c r="D378" s="247"/>
      <c r="E378" s="248"/>
      <c r="F378" s="248"/>
      <c r="G378" s="199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46"/>
      <c r="D380" s="247"/>
      <c r="E380" s="248"/>
      <c r="F380" s="248"/>
      <c r="G380" s="254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55"/>
      <c r="D383" s="247"/>
      <c r="E383" s="248"/>
      <c r="F383" s="248"/>
      <c r="G383" s="199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55"/>
      <c r="D388" s="247"/>
      <c r="E388" s="248"/>
      <c r="F388" s="248"/>
      <c r="G388" s="199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55"/>
      <c r="D389" s="247"/>
      <c r="E389" s="248"/>
      <c r="F389" s="248"/>
      <c r="G389" s="199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55"/>
      <c r="D390" s="247"/>
      <c r="E390" s="248"/>
      <c r="F390" s="248"/>
      <c r="G390" s="199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46"/>
      <c r="D391" s="247"/>
      <c r="E391" s="248"/>
      <c r="F391" s="248"/>
      <c r="G391" s="254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46"/>
      <c r="D392" s="247"/>
      <c r="E392" s="248"/>
      <c r="F392" s="248"/>
      <c r="G392" s="254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46"/>
      <c r="D393" s="247"/>
      <c r="E393" s="248"/>
      <c r="F393" s="248"/>
      <c r="G393" s="254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5"/>
      <c r="E399" s="248"/>
      <c r="F399" s="248"/>
      <c r="G399" s="261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5"/>
      <c r="E400" s="248"/>
      <c r="F400" s="248"/>
      <c r="G400" s="261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5"/>
      <c r="E403" s="248"/>
      <c r="F403" s="248"/>
      <c r="G403" s="261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5"/>
      <c r="E404" s="248"/>
      <c r="F404" s="248"/>
      <c r="G404" s="261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55"/>
      <c r="D405" s="247"/>
      <c r="E405" s="248"/>
      <c r="F405" s="248"/>
      <c r="G405" s="199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55"/>
      <c r="D406" s="247"/>
      <c r="E406" s="248"/>
      <c r="F406" s="248"/>
      <c r="G406" s="199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55"/>
      <c r="D407" s="247"/>
      <c r="E407" s="248"/>
      <c r="F407" s="248"/>
      <c r="G407" s="199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7"/>
      <c r="E408" s="248"/>
      <c r="F408" s="248"/>
      <c r="G408" s="254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46"/>
      <c r="D409" s="247"/>
      <c r="E409" s="248"/>
      <c r="F409" s="248"/>
      <c r="G409" s="254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46"/>
      <c r="D410" s="247"/>
      <c r="E410" s="248"/>
      <c r="F410" s="248"/>
      <c r="G410" s="254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55"/>
      <c r="D412" s="247"/>
      <c r="E412" s="248"/>
      <c r="F412" s="248"/>
      <c r="G412" s="199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55"/>
      <c r="D414" s="247"/>
      <c r="E414" s="248"/>
      <c r="F414" s="248"/>
      <c r="G414" s="199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5"/>
      <c r="E419" s="248"/>
      <c r="F419" s="248"/>
      <c r="G419" s="261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4"/>
      <c r="L425" s="252"/>
      <c r="M425" s="253"/>
      <c r="N425" s="265"/>
    </row>
    <row r="426" spans="2:14" x14ac:dyDescent="0.2">
      <c r="B426" s="245"/>
      <c r="C426" s="246"/>
      <c r="D426" s="245"/>
      <c r="E426" s="248"/>
      <c r="F426" s="248"/>
      <c r="G426" s="261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4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5"/>
      <c r="E434" s="248"/>
      <c r="F434" s="248"/>
      <c r="G434" s="261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55"/>
      <c r="D440" s="247"/>
      <c r="E440" s="248"/>
      <c r="F440" s="248"/>
      <c r="G440" s="199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55"/>
      <c r="D443" s="247"/>
      <c r="E443" s="248"/>
      <c r="F443" s="248"/>
      <c r="G443" s="199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68"/>
      <c r="F447" s="268"/>
      <c r="G447" s="269"/>
      <c r="H447" s="270"/>
      <c r="I447" s="271"/>
      <c r="J447" s="346"/>
      <c r="K447" s="266"/>
      <c r="L447" s="252"/>
      <c r="M447" s="253"/>
      <c r="N447" s="265"/>
    </row>
    <row r="448" spans="2:14" x14ac:dyDescent="0.2">
      <c r="B448" s="245"/>
      <c r="C448" s="255"/>
      <c r="D448" s="247"/>
      <c r="E448" s="248"/>
      <c r="F448" s="248"/>
      <c r="G448" s="261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55"/>
      <c r="D450" s="247"/>
      <c r="E450" s="248"/>
      <c r="F450" s="248"/>
      <c r="G450" s="199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5"/>
      <c r="E451" s="248"/>
      <c r="F451" s="248"/>
      <c r="G451" s="261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48"/>
      <c r="F452" s="248"/>
      <c r="G452" s="254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7"/>
      <c r="E453" s="248"/>
      <c r="F453" s="248"/>
      <c r="G453" s="254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4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55"/>
      <c r="D463" s="247"/>
      <c r="E463" s="248"/>
      <c r="F463" s="248"/>
      <c r="G463" s="199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5"/>
      <c r="E486" s="248"/>
      <c r="F486" s="248"/>
      <c r="G486" s="261"/>
      <c r="H486" s="202"/>
      <c r="I486" s="223"/>
      <c r="J486" s="345"/>
      <c r="K486" s="264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4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4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4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4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4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6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6"/>
      <c r="L498" s="252"/>
      <c r="M498" s="253"/>
      <c r="N498" s="265"/>
    </row>
    <row r="499" spans="2:14" x14ac:dyDescent="0.2">
      <c r="B499" s="245"/>
      <c r="C499" s="255"/>
      <c r="D499" s="247"/>
      <c r="E499" s="248"/>
      <c r="F499" s="248"/>
      <c r="G499" s="199"/>
      <c r="H499" s="202"/>
      <c r="I499" s="223"/>
      <c r="J499" s="345"/>
      <c r="K499" s="266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4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7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5"/>
      <c r="E519" s="248"/>
      <c r="F519" s="272"/>
      <c r="G519" s="261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55"/>
      <c r="D523" s="247"/>
      <c r="E523" s="248"/>
      <c r="F523" s="248"/>
      <c r="G523" s="199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55"/>
      <c r="D525" s="247"/>
      <c r="E525" s="248"/>
      <c r="F525" s="248"/>
      <c r="G525" s="199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55"/>
      <c r="D526" s="247"/>
      <c r="E526" s="248"/>
      <c r="F526" s="248"/>
      <c r="G526" s="199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7"/>
      <c r="E527" s="248"/>
      <c r="F527" s="248"/>
      <c r="G527" s="254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46"/>
      <c r="D528" s="247"/>
      <c r="E528" s="248"/>
      <c r="F528" s="248"/>
      <c r="G528" s="254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5"/>
      <c r="E536" s="248"/>
      <c r="F536" s="248"/>
      <c r="G536" s="261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55"/>
      <c r="D539" s="247"/>
      <c r="E539" s="248"/>
      <c r="F539" s="248"/>
      <c r="G539" s="199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5"/>
      <c r="E542" s="248"/>
      <c r="F542" s="248"/>
      <c r="G542" s="261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55"/>
      <c r="D545" s="247"/>
      <c r="E545" s="248"/>
      <c r="F545" s="248"/>
      <c r="G545" s="199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5"/>
      <c r="E554" s="248"/>
      <c r="F554" s="248"/>
      <c r="G554" s="261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55"/>
      <c r="D562" s="245"/>
      <c r="E562" s="248"/>
      <c r="F562" s="248"/>
      <c r="G562" s="201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55"/>
      <c r="D568" s="245"/>
      <c r="E568" s="248"/>
      <c r="F568" s="248"/>
      <c r="G568" s="201"/>
      <c r="H568" s="202"/>
      <c r="I568" s="223"/>
      <c r="J568" s="345"/>
      <c r="K568" s="264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55"/>
      <c r="D570" s="247"/>
      <c r="E570" s="248"/>
      <c r="F570" s="248"/>
      <c r="G570" s="199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55"/>
      <c r="D573" s="247"/>
      <c r="E573" s="248"/>
      <c r="F573" s="248"/>
      <c r="G573" s="199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55"/>
      <c r="D574" s="247"/>
      <c r="E574" s="248"/>
      <c r="F574" s="248"/>
      <c r="G574" s="199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55"/>
      <c r="D575" s="247"/>
      <c r="E575" s="248"/>
      <c r="F575" s="248"/>
      <c r="G575" s="199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46"/>
      <c r="D577" s="247"/>
      <c r="E577" s="248"/>
      <c r="F577" s="248"/>
      <c r="G577" s="254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55"/>
      <c r="D581" s="247"/>
      <c r="E581" s="248"/>
      <c r="F581" s="248"/>
      <c r="G581" s="199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5"/>
      <c r="E590" s="248"/>
      <c r="F590" s="248"/>
      <c r="G590" s="261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55"/>
      <c r="D595" s="247"/>
      <c r="E595" s="248"/>
      <c r="F595" s="248"/>
      <c r="G595" s="199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55"/>
      <c r="D600" s="245"/>
      <c r="E600" s="248"/>
      <c r="F600" s="248"/>
      <c r="G600" s="201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55"/>
      <c r="D606" s="247"/>
      <c r="E606" s="248"/>
      <c r="F606" s="248"/>
      <c r="G606" s="199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55"/>
      <c r="D607" s="247"/>
      <c r="E607" s="248"/>
      <c r="F607" s="248"/>
      <c r="G607" s="199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55"/>
      <c r="D608" s="247"/>
      <c r="E608" s="248"/>
      <c r="F608" s="248"/>
      <c r="G608" s="199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46"/>
      <c r="D610" s="247"/>
      <c r="E610" s="248"/>
      <c r="F610" s="248"/>
      <c r="G610" s="254"/>
      <c r="H610" s="202"/>
      <c r="I610" s="223"/>
      <c r="J610" s="345"/>
      <c r="K610" s="264"/>
      <c r="L610" s="252"/>
      <c r="M610" s="253"/>
      <c r="N610" s="265"/>
    </row>
    <row r="611" spans="2:14" x14ac:dyDescent="0.2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5"/>
      <c r="E612" s="248"/>
      <c r="F612" s="248"/>
      <c r="G612" s="261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4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55"/>
      <c r="D619" s="245"/>
      <c r="E619" s="248"/>
      <c r="F619" s="248"/>
      <c r="G619" s="201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55"/>
      <c r="D630" s="247"/>
      <c r="E630" s="248"/>
      <c r="F630" s="248"/>
      <c r="G630" s="199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4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55"/>
      <c r="D637" s="247"/>
      <c r="E637" s="248"/>
      <c r="F637" s="248"/>
      <c r="G637" s="199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55"/>
      <c r="D638" s="247"/>
      <c r="E638" s="248"/>
      <c r="F638" s="248"/>
      <c r="G638" s="199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55"/>
      <c r="D653" s="247"/>
      <c r="E653" s="248"/>
      <c r="F653" s="248"/>
      <c r="G653" s="199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55"/>
      <c r="D669" s="247"/>
      <c r="E669" s="248"/>
      <c r="F669" s="248"/>
      <c r="G669" s="199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5"/>
      <c r="E673" s="248"/>
      <c r="F673" s="248"/>
      <c r="G673" s="261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55"/>
      <c r="D678" s="247"/>
      <c r="E678" s="248"/>
      <c r="F678" s="248"/>
      <c r="G678" s="199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5"/>
      <c r="E681" s="248"/>
      <c r="F681" s="248"/>
      <c r="G681" s="261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4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4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4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4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6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6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6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55"/>
      <c r="D697" s="245"/>
      <c r="E697" s="248"/>
      <c r="F697" s="248"/>
      <c r="G697" s="201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55"/>
      <c r="D701" s="247"/>
      <c r="E701" s="248"/>
      <c r="F701" s="248"/>
      <c r="G701" s="199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55"/>
      <c r="D702" s="247"/>
      <c r="E702" s="248"/>
      <c r="F702" s="248"/>
      <c r="G702" s="199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55"/>
      <c r="D704" s="247"/>
      <c r="E704" s="248"/>
      <c r="F704" s="248"/>
      <c r="G704" s="199"/>
      <c r="H704" s="202"/>
      <c r="I704" s="223"/>
      <c r="J704" s="345"/>
      <c r="K704" s="264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46"/>
      <c r="D706" s="247"/>
      <c r="E706" s="248"/>
      <c r="F706" s="248"/>
      <c r="G706" s="254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4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55"/>
      <c r="D722" s="247"/>
      <c r="E722" s="248"/>
      <c r="F722" s="248"/>
      <c r="G722" s="199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55"/>
      <c r="D724" s="247"/>
      <c r="E724" s="248"/>
      <c r="F724" s="248"/>
      <c r="G724" s="199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55"/>
      <c r="D736" s="247"/>
      <c r="E736" s="248"/>
      <c r="F736" s="248"/>
      <c r="G736" s="199"/>
      <c r="H736" s="202"/>
      <c r="I736" s="223"/>
      <c r="J736" s="345"/>
      <c r="K736" s="266"/>
      <c r="L736" s="252"/>
      <c r="M736" s="253"/>
      <c r="N736" s="273"/>
    </row>
    <row r="737" spans="2:14" x14ac:dyDescent="0.2">
      <c r="B737" s="245"/>
      <c r="C737" s="255"/>
      <c r="D737" s="245"/>
      <c r="E737" s="248"/>
      <c r="F737" s="248"/>
      <c r="G737" s="201"/>
      <c r="H737" s="202"/>
      <c r="I737" s="223"/>
      <c r="J737" s="345"/>
      <c r="K737" s="266"/>
      <c r="L737" s="252"/>
      <c r="M737" s="253"/>
      <c r="N737" s="203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03"/>
    </row>
    <row r="739" spans="2:14" x14ac:dyDescent="0.2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03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55"/>
      <c r="D741" s="247"/>
      <c r="E741" s="248"/>
      <c r="F741" s="248"/>
      <c r="G741" s="199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4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55"/>
      <c r="D751" s="247"/>
      <c r="E751" s="248"/>
      <c r="F751" s="248"/>
      <c r="G751" s="199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55"/>
      <c r="D752" s="247"/>
      <c r="E752" s="248"/>
      <c r="F752" s="248"/>
      <c r="G752" s="199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55"/>
      <c r="D753" s="247"/>
      <c r="E753" s="248"/>
      <c r="F753" s="248"/>
      <c r="G753" s="199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46"/>
      <c r="D755" s="247"/>
      <c r="E755" s="248"/>
      <c r="F755" s="248"/>
      <c r="G755" s="254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46"/>
      <c r="D756" s="245"/>
      <c r="E756" s="248"/>
      <c r="F756" s="248"/>
      <c r="G756" s="261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5"/>
      <c r="E761" s="248"/>
      <c r="F761" s="248"/>
      <c r="G761" s="261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55"/>
      <c r="D762" s="245"/>
      <c r="E762" s="248"/>
      <c r="F762" s="248"/>
      <c r="G762" s="201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55"/>
      <c r="D774" s="247"/>
      <c r="E774" s="248"/>
      <c r="F774" s="248"/>
      <c r="G774" s="254"/>
      <c r="H774" s="202"/>
      <c r="I774" s="223"/>
      <c r="J774" s="345"/>
      <c r="K774" s="264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55"/>
      <c r="D778" s="245"/>
      <c r="E778" s="248"/>
      <c r="F778" s="248"/>
      <c r="G778" s="261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55"/>
      <c r="D779" s="245"/>
      <c r="E779" s="248"/>
      <c r="F779" s="248"/>
      <c r="G779" s="261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55"/>
      <c r="D781" s="247"/>
      <c r="E781" s="248"/>
      <c r="F781" s="248"/>
      <c r="G781" s="199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55"/>
      <c r="D782" s="247"/>
      <c r="E782" s="248"/>
      <c r="F782" s="248"/>
      <c r="G782" s="199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46"/>
      <c r="D783" s="247"/>
      <c r="E783" s="248"/>
      <c r="F783" s="248"/>
      <c r="G783" s="254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46"/>
      <c r="D784" s="247"/>
      <c r="E784" s="248"/>
      <c r="F784" s="248"/>
      <c r="G784" s="254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55"/>
      <c r="D787" s="247"/>
      <c r="E787" s="248"/>
      <c r="F787" s="248"/>
      <c r="G787" s="199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55"/>
      <c r="D788" s="247"/>
      <c r="E788" s="248"/>
      <c r="F788" s="248"/>
      <c r="G788" s="199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4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5"/>
      <c r="E798" s="248"/>
      <c r="F798" s="248"/>
      <c r="G798" s="261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4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5"/>
      <c r="E801" s="248"/>
      <c r="F801" s="248"/>
      <c r="G801" s="261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55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5"/>
      <c r="E804" s="248"/>
      <c r="F804" s="248"/>
      <c r="G804" s="261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55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55"/>
      <c r="D822" s="247"/>
      <c r="E822" s="248"/>
      <c r="F822" s="248"/>
      <c r="G822" s="199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5"/>
      <c r="E833" s="248"/>
      <c r="F833" s="248"/>
      <c r="G833" s="261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4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5"/>
      <c r="E842" s="248"/>
      <c r="F842" s="248"/>
      <c r="G842" s="261"/>
      <c r="H842" s="202"/>
      <c r="I842" s="223"/>
      <c r="J842" s="345"/>
      <c r="K842" s="264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7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7"/>
      <c r="L851" s="252"/>
      <c r="M851" s="253"/>
      <c r="N851" s="203"/>
    </row>
    <row r="852" spans="2:14" x14ac:dyDescent="0.2">
      <c r="B852" s="245"/>
      <c r="C852" s="255"/>
      <c r="D852" s="247"/>
      <c r="E852" s="248"/>
      <c r="F852" s="248"/>
      <c r="G852" s="254"/>
      <c r="H852" s="202"/>
      <c r="I852" s="223"/>
      <c r="J852" s="345"/>
      <c r="K852" s="267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55"/>
      <c r="D854" s="247"/>
      <c r="E854" s="248"/>
      <c r="F854" s="248"/>
      <c r="G854" s="254"/>
      <c r="H854" s="202"/>
      <c r="I854" s="223"/>
      <c r="J854" s="345"/>
      <c r="K854" s="266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55"/>
      <c r="D864" s="247"/>
      <c r="E864" s="248"/>
      <c r="F864" s="248"/>
      <c r="G864" s="199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55"/>
      <c r="D865" s="247"/>
      <c r="E865" s="248"/>
      <c r="F865" s="248"/>
      <c r="G865" s="199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55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55"/>
      <c r="D874" s="247"/>
      <c r="E874" s="248"/>
      <c r="F874" s="248"/>
      <c r="G874" s="199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55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74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5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55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55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46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199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254"/>
      <c r="H898" s="202"/>
      <c r="I898" s="223"/>
      <c r="J898" s="345"/>
      <c r="K898" s="267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199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199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199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46"/>
      <c r="D903" s="247"/>
      <c r="E903" s="248"/>
      <c r="F903" s="248"/>
      <c r="G903" s="254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46"/>
      <c r="D904" s="247"/>
      <c r="E904" s="248"/>
      <c r="F904" s="248"/>
      <c r="G904" s="254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55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55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55"/>
      <c r="D909" s="247"/>
      <c r="E909" s="248"/>
      <c r="F909" s="248"/>
      <c r="G909" s="199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46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199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46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46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46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55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55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55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46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199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46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46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46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55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55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55"/>
      <c r="D944" s="247"/>
      <c r="E944" s="248"/>
      <c r="F944" s="248"/>
      <c r="G944" s="199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199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199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199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199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199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199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199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199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199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199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199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199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5"/>
      <c r="E1010" s="248"/>
      <c r="F1010" s="248"/>
      <c r="G1010" s="261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5"/>
      <c r="E1011" s="248"/>
      <c r="F1011" s="248"/>
      <c r="G1011" s="261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01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4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01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01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5"/>
      <c r="E1044" s="248"/>
      <c r="F1044" s="248"/>
      <c r="G1044" s="261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5"/>
      <c r="E1057" s="248"/>
      <c r="F1057" s="248"/>
      <c r="G1057" s="261"/>
      <c r="H1057" s="202"/>
      <c r="I1057" s="223"/>
      <c r="J1057" s="345"/>
      <c r="K1057" s="264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03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199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5"/>
      <c r="E1085" s="275"/>
      <c r="F1085" s="275"/>
      <c r="G1085" s="205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199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254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5"/>
      <c r="E1093" s="248"/>
      <c r="F1093" s="248"/>
      <c r="G1093" s="205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199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199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199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199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03"/>
      <c r="M1114" s="253"/>
      <c r="N1114" s="203"/>
    </row>
    <row r="1115" spans="2:14" x14ac:dyDescent="0.2">
      <c r="B1115" s="245"/>
      <c r="C1115" s="255"/>
      <c r="D1115" s="245"/>
      <c r="E1115" s="248"/>
      <c r="F1115" s="248"/>
      <c r="G1115" s="205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199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199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254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5"/>
      <c r="E1124" s="248"/>
      <c r="F1124" s="248"/>
      <c r="G1124" s="206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76"/>
      <c r="D1135" s="276"/>
      <c r="E1135" s="248"/>
      <c r="F1135" s="277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5"/>
      <c r="E1137" s="248"/>
      <c r="F1137" s="248"/>
      <c r="G1137" s="201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4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74"/>
      <c r="L1143" s="252"/>
      <c r="M1143" s="253"/>
      <c r="N1143" s="203"/>
    </row>
    <row r="1144" spans="2:14" x14ac:dyDescent="0.2">
      <c r="B1144" s="245"/>
      <c r="C1144" s="255"/>
      <c r="D1144" s="245"/>
      <c r="E1144" s="248"/>
      <c r="F1144" s="248"/>
      <c r="G1144" s="261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74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66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66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199"/>
      <c r="H1148" s="202"/>
      <c r="I1148" s="223"/>
      <c r="J1148" s="345"/>
      <c r="K1148" s="266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61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4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4"/>
    </row>
    <row r="1154" spans="2:14" x14ac:dyDescent="0.2">
      <c r="B1154" s="245"/>
      <c r="C1154" s="255"/>
      <c r="D1154" s="247"/>
      <c r="E1154" s="248"/>
      <c r="F1154" s="248"/>
      <c r="G1154" s="199"/>
      <c r="H1154" s="202"/>
      <c r="I1154" s="223"/>
      <c r="J1154" s="345"/>
      <c r="K1154" s="266"/>
      <c r="L1154" s="252"/>
      <c r="M1154" s="253"/>
      <c r="N1154" s="204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5"/>
      <c r="E1159" s="275"/>
      <c r="F1159" s="275"/>
      <c r="G1159" s="205"/>
      <c r="H1159" s="202"/>
      <c r="I1159" s="223"/>
      <c r="J1159" s="345"/>
      <c r="K1159" s="274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199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199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254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74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199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199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199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199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254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254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5"/>
      <c r="E1186" s="248"/>
      <c r="F1186" s="248"/>
      <c r="G1186" s="261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199"/>
      <c r="H1187" s="202"/>
      <c r="I1187" s="223"/>
      <c r="J1187" s="345"/>
      <c r="K1187" s="274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78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78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199"/>
      <c r="H1192" s="202"/>
      <c r="I1192" s="223"/>
      <c r="J1192" s="345"/>
      <c r="K1192" s="278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199"/>
      <c r="H1193" s="202"/>
      <c r="I1193" s="223"/>
      <c r="J1193" s="345"/>
      <c r="K1193" s="278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199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5"/>
      <c r="E1198" s="275"/>
      <c r="F1198" s="275"/>
      <c r="G1198" s="205"/>
      <c r="H1198" s="202"/>
      <c r="I1198" s="223"/>
      <c r="J1198" s="345"/>
      <c r="K1198" s="279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9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9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199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199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5"/>
      <c r="E1206" s="248"/>
      <c r="F1206" s="248"/>
      <c r="G1206" s="205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254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201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5"/>
      <c r="E1212" s="248"/>
      <c r="F1212" s="248"/>
      <c r="G1212" s="206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5"/>
      <c r="E1214" s="275"/>
      <c r="F1214" s="275"/>
      <c r="G1214" s="205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199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199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254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254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254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199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199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254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254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03"/>
      <c r="M1228" s="253"/>
      <c r="N1228" s="204"/>
    </row>
    <row r="1229" spans="2:14" x14ac:dyDescent="0.2">
      <c r="B1229" s="245"/>
      <c r="C1229" s="280"/>
      <c r="D1229" s="281"/>
      <c r="E1229" s="275"/>
      <c r="F1229" s="275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199"/>
      <c r="H1231" s="202"/>
      <c r="I1231" s="223"/>
      <c r="J1231" s="345"/>
      <c r="K1231" s="279"/>
      <c r="L1231" s="203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199"/>
      <c r="H1233" s="202"/>
      <c r="I1233" s="223"/>
      <c r="J1233" s="345"/>
      <c r="K1233" s="279"/>
      <c r="L1233" s="252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254"/>
      <c r="H1234" s="207"/>
      <c r="I1234" s="221"/>
      <c r="J1234" s="342"/>
      <c r="K1234" s="279"/>
      <c r="L1234" s="252"/>
      <c r="M1234" s="253"/>
      <c r="N1234" s="208"/>
    </row>
    <row r="1235" spans="2:14" x14ac:dyDescent="0.2">
      <c r="B1235" s="245"/>
      <c r="C1235" s="255"/>
      <c r="D1235" s="247"/>
      <c r="E1235" s="248"/>
      <c r="F1235" s="248"/>
      <c r="G1235" s="254"/>
      <c r="H1235" s="207"/>
      <c r="I1235" s="221"/>
      <c r="J1235" s="342"/>
      <c r="K1235" s="279"/>
      <c r="L1235" s="252"/>
      <c r="M1235" s="253"/>
      <c r="N1235" s="208"/>
    </row>
    <row r="1236" spans="2:14" x14ac:dyDescent="0.2">
      <c r="B1236" s="245"/>
      <c r="C1236" s="255"/>
      <c r="D1236" s="247"/>
      <c r="E1236" s="248"/>
      <c r="F1236" s="248"/>
      <c r="G1236" s="254"/>
      <c r="H1236" s="207"/>
      <c r="I1236" s="221"/>
      <c r="J1236" s="342"/>
      <c r="K1236" s="279"/>
      <c r="L1236" s="252"/>
      <c r="M1236" s="253"/>
      <c r="N1236" s="208"/>
    </row>
    <row r="1237" spans="2:14" x14ac:dyDescent="0.2">
      <c r="B1237" s="245"/>
      <c r="C1237" s="246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76"/>
      <c r="D1239" s="276"/>
      <c r="E1239" s="277"/>
      <c r="F1239" s="277"/>
      <c r="G1239" s="209"/>
      <c r="H1239" s="207"/>
      <c r="I1239" s="221"/>
      <c r="J1239" s="342"/>
      <c r="K1239" s="282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55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55"/>
      <c r="D1243" s="245"/>
      <c r="E1243" s="248"/>
      <c r="F1243" s="248"/>
      <c r="G1243" s="261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46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05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46"/>
      <c r="D1249" s="247"/>
      <c r="E1249" s="248"/>
      <c r="F1249" s="248"/>
      <c r="G1249" s="261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55"/>
      <c r="D1251" s="247"/>
      <c r="E1251" s="248"/>
      <c r="F1251" s="248"/>
      <c r="G1251" s="254"/>
      <c r="H1251" s="207"/>
      <c r="I1251" s="221"/>
      <c r="J1251" s="342"/>
      <c r="K1251" s="279"/>
      <c r="L1251" s="210"/>
      <c r="M1251" s="253"/>
      <c r="N1251" s="208"/>
    </row>
    <row r="1252" spans="2:14" x14ac:dyDescent="0.2">
      <c r="B1252" s="245"/>
      <c r="C1252" s="255"/>
      <c r="D1252" s="247"/>
      <c r="E1252" s="248"/>
      <c r="F1252" s="248"/>
      <c r="G1252" s="261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46"/>
      <c r="D1253" s="247"/>
      <c r="E1253" s="248"/>
      <c r="F1253" s="248"/>
      <c r="G1253" s="261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54"/>
      <c r="H1254" s="207"/>
      <c r="I1254" s="221"/>
      <c r="J1254" s="342"/>
      <c r="K1254" s="279"/>
      <c r="L1254" s="252"/>
      <c r="M1254" s="253"/>
      <c r="N1254" s="208"/>
    </row>
    <row r="1255" spans="2:14" ht="15" x14ac:dyDescent="0.25">
      <c r="B1255" s="30"/>
      <c r="C1255" s="283"/>
      <c r="D1255" s="109"/>
      <c r="E1255" s="68"/>
      <c r="F1255" s="68"/>
      <c r="G1255" s="284"/>
      <c r="H1255" s="211"/>
      <c r="I1255" s="224"/>
      <c r="J1255" s="347"/>
      <c r="K1255" s="69"/>
      <c r="L1255" s="285"/>
      <c r="M1255" s="116"/>
      <c r="N1255" s="212"/>
    </row>
    <row r="1256" spans="2:14" ht="15" x14ac:dyDescent="0.25">
      <c r="B1256" s="30"/>
      <c r="C1256" s="283"/>
      <c r="D1256" s="109"/>
      <c r="E1256" s="68"/>
      <c r="F1256" s="68"/>
      <c r="G1256" s="284"/>
      <c r="H1256" s="211"/>
      <c r="I1256" s="224"/>
      <c r="J1256" s="347"/>
      <c r="K1256" s="69"/>
      <c r="L1256" s="285"/>
      <c r="M1256" s="116"/>
      <c r="N1256" s="212"/>
    </row>
    <row r="1257" spans="2:14" ht="15" x14ac:dyDescent="0.25">
      <c r="B1257" s="30"/>
      <c r="C1257" s="283"/>
      <c r="D1257" s="109"/>
      <c r="E1257" s="68"/>
      <c r="F1257" s="68"/>
      <c r="G1257" s="284"/>
      <c r="H1257" s="211"/>
      <c r="I1257" s="224"/>
      <c r="J1257" s="347"/>
      <c r="K1257" s="69"/>
      <c r="L1257" s="285"/>
      <c r="M1257" s="116"/>
      <c r="N1257" s="212"/>
    </row>
    <row r="1258" spans="2:14" ht="15" x14ac:dyDescent="0.25">
      <c r="B1258" s="37"/>
      <c r="C1258" s="78"/>
      <c r="D1258" s="109"/>
      <c r="E1258" s="68"/>
      <c r="F1258" s="68"/>
      <c r="G1258" s="284"/>
      <c r="H1258" s="211"/>
      <c r="I1258" s="224"/>
      <c r="J1258" s="347"/>
      <c r="K1258" s="69"/>
      <c r="L1258" s="285"/>
      <c r="M1258" s="116"/>
      <c r="N1258" s="212"/>
    </row>
    <row r="1259" spans="2:14" ht="15" x14ac:dyDescent="0.25">
      <c r="B1259" s="37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7"/>
      <c r="C1260" s="78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7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x14ac:dyDescent="0.2">
      <c r="B1262" s="37"/>
      <c r="C1262" s="286"/>
      <c r="D1262" s="37"/>
      <c r="E1262" s="60"/>
      <c r="F1262" s="60"/>
      <c r="G1262" s="213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78"/>
      <c r="D1263" s="109"/>
      <c r="E1263" s="68"/>
      <c r="F1263" s="68"/>
      <c r="G1263" s="21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283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283"/>
      <c r="D1265" s="109"/>
      <c r="E1265" s="68"/>
      <c r="F1265" s="68"/>
      <c r="G1265" s="284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66"/>
      <c r="D1266" s="287"/>
      <c r="E1266" s="68"/>
      <c r="F1266" s="68"/>
      <c r="G1266" s="21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0"/>
      <c r="C1267" s="283"/>
      <c r="D1267" s="109"/>
      <c r="E1267" s="68"/>
      <c r="F1267" s="68"/>
      <c r="G1267" s="288"/>
      <c r="H1267" s="215"/>
      <c r="I1267" s="224"/>
      <c r="J1267" s="347"/>
      <c r="K1267" s="69"/>
      <c r="L1267" s="285"/>
      <c r="M1267" s="116"/>
      <c r="N1267" s="212"/>
    </row>
    <row r="1268" spans="2:14" ht="15" x14ac:dyDescent="0.25">
      <c r="B1268" s="30"/>
      <c r="C1268" s="283"/>
      <c r="D1268" s="109"/>
      <c r="E1268" s="68"/>
      <c r="F1268" s="68"/>
      <c r="G1268" s="284"/>
      <c r="H1268" s="215"/>
      <c r="I1268" s="224"/>
      <c r="J1268" s="347"/>
      <c r="K1268" s="69"/>
      <c r="L1268" s="285"/>
      <c r="M1268" s="116"/>
      <c r="N1268" s="212"/>
    </row>
    <row r="1269" spans="2:14" ht="15" x14ac:dyDescent="0.25">
      <c r="B1269" s="30"/>
      <c r="C1269" s="283"/>
      <c r="D1269" s="109"/>
      <c r="E1269" s="68"/>
      <c r="F1269" s="68"/>
      <c r="G1269" s="284"/>
      <c r="H1269" s="215"/>
      <c r="I1269" s="224"/>
      <c r="J1269" s="347"/>
      <c r="K1269" s="69"/>
      <c r="L1269" s="285"/>
      <c r="M1269" s="116"/>
      <c r="N1269" s="212"/>
    </row>
    <row r="1270" spans="2:14" ht="15" x14ac:dyDescent="0.25">
      <c r="B1270" s="65"/>
      <c r="C1270" s="283"/>
      <c r="D1270" s="109"/>
      <c r="E1270" s="68"/>
      <c r="F1270" s="68"/>
      <c r="G1270" s="284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65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30"/>
      <c r="C1272" s="78"/>
      <c r="D1272" s="109"/>
      <c r="E1272" s="68"/>
      <c r="F1272" s="68"/>
      <c r="G1272" s="21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78"/>
      <c r="D1278" s="109"/>
      <c r="E1278" s="68"/>
      <c r="F1278" s="68"/>
      <c r="G1278" s="21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78"/>
      <c r="D1279" s="109"/>
      <c r="E1279" s="68"/>
      <c r="F1279" s="68"/>
      <c r="G1279" s="21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283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30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16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78"/>
      <c r="D1285" s="109"/>
      <c r="E1285" s="68"/>
      <c r="F1285" s="68"/>
      <c r="G1285" s="21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16"/>
      <c r="M1286" s="116"/>
      <c r="N1286" s="212"/>
    </row>
    <row r="1287" spans="2:14" ht="15" x14ac:dyDescent="0.25">
      <c r="B1287" s="65"/>
      <c r="C1287" s="78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65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65"/>
      <c r="C1289" s="283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16"/>
      <c r="M1291" s="116"/>
      <c r="N1291" s="212"/>
    </row>
    <row r="1292" spans="2:14" ht="15" x14ac:dyDescent="0.25">
      <c r="B1292" s="65"/>
      <c r="C1292" s="78"/>
      <c r="D1292" s="109"/>
      <c r="E1292" s="68"/>
      <c r="F1292" s="68"/>
      <c r="G1292" s="21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78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30"/>
      <c r="C1294" s="78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30"/>
      <c r="C1295" s="78"/>
      <c r="D1295" s="109"/>
      <c r="E1295" s="68"/>
      <c r="F1295" s="68"/>
      <c r="G1295" s="284"/>
      <c r="H1295" s="215"/>
      <c r="I1295" s="224"/>
      <c r="J1295" s="347"/>
      <c r="K1295" s="69"/>
      <c r="L1295" s="216"/>
      <c r="M1295" s="116"/>
      <c r="N1295" s="212"/>
    </row>
    <row r="1296" spans="2:14" ht="15" x14ac:dyDescent="0.25">
      <c r="B1296" s="30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30"/>
      <c r="C1297" s="283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289"/>
      <c r="D1300" s="290"/>
      <c r="E1300" s="291"/>
      <c r="F1300" s="291"/>
      <c r="G1300" s="284"/>
      <c r="H1300" s="215"/>
      <c r="I1300" s="224"/>
      <c r="J1300" s="347"/>
      <c r="K1300" s="69"/>
      <c r="L1300" s="216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283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x14ac:dyDescent="0.2">
      <c r="B1304" s="30"/>
      <c r="C1304" s="78"/>
      <c r="D1304" s="109"/>
      <c r="E1304" s="68"/>
      <c r="F1304" s="68"/>
      <c r="G1304" s="288"/>
      <c r="H1304" s="211"/>
      <c r="I1304" s="224"/>
      <c r="J1304" s="347"/>
      <c r="K1304" s="80"/>
      <c r="L1304" s="285"/>
      <c r="M1304" s="116"/>
      <c r="N1304" s="212"/>
    </row>
    <row r="1305" spans="2:14" ht="15" x14ac:dyDescent="0.25">
      <c r="B1305" s="30"/>
      <c r="C1305" s="283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30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30"/>
      <c r="C1307" s="78"/>
      <c r="D1307" s="109"/>
      <c r="E1307" s="68"/>
      <c r="F1307" s="68"/>
      <c r="G1307" s="284"/>
      <c r="H1307" s="215"/>
      <c r="I1307" s="224"/>
      <c r="J1307" s="347"/>
      <c r="K1307" s="69"/>
      <c r="L1307" s="216"/>
      <c r="M1307" s="116"/>
      <c r="N1307" s="212"/>
    </row>
    <row r="1308" spans="2:14" ht="15" x14ac:dyDescent="0.25">
      <c r="B1308" s="30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65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65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65"/>
      <c r="C1311" s="78"/>
      <c r="D1311" s="109"/>
      <c r="E1311" s="68"/>
      <c r="F1311" s="68"/>
      <c r="G1311" s="214"/>
      <c r="H1311" s="215"/>
      <c r="I1311" s="224"/>
      <c r="J1311" s="347"/>
      <c r="K1311" s="69"/>
      <c r="L1311" s="216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16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1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30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30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30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292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65"/>
      <c r="C1333" s="78"/>
      <c r="D1333" s="109"/>
      <c r="E1333" s="68"/>
      <c r="F1333" s="68"/>
      <c r="G1333" s="21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65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65"/>
      <c r="C1335" s="78"/>
      <c r="D1335" s="109"/>
      <c r="E1335" s="68"/>
      <c r="F1335" s="68"/>
      <c r="G1335" s="21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8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8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14"/>
      <c r="H1342" s="215"/>
      <c r="I1342" s="293"/>
      <c r="J1342" s="348"/>
      <c r="K1342" s="69"/>
      <c r="L1342" s="285"/>
      <c r="M1342" s="116"/>
      <c r="N1342" s="212"/>
    </row>
    <row r="1343" spans="2:14" ht="15" x14ac:dyDescent="0.25">
      <c r="B1343" s="292"/>
      <c r="C1343" s="78"/>
      <c r="D1343" s="109"/>
      <c r="E1343" s="68"/>
      <c r="F1343" s="68"/>
      <c r="G1343" s="214"/>
      <c r="H1343" s="215"/>
      <c r="I1343" s="293"/>
      <c r="J1343" s="348"/>
      <c r="K1343" s="69"/>
      <c r="L1343" s="285"/>
      <c r="M1343" s="116"/>
      <c r="N1343" s="212"/>
    </row>
    <row r="1344" spans="2:14" ht="15" x14ac:dyDescent="0.25">
      <c r="B1344" s="292"/>
      <c r="C1344" s="78"/>
      <c r="D1344" s="109"/>
      <c r="E1344" s="68"/>
      <c r="F1344" s="68"/>
      <c r="G1344" s="284"/>
      <c r="H1344" s="215"/>
      <c r="I1344" s="293"/>
      <c r="J1344" s="348"/>
      <c r="K1344" s="69"/>
      <c r="L1344" s="285"/>
      <c r="M1344" s="116"/>
      <c r="N1344" s="212"/>
    </row>
    <row r="1345" spans="2:14" ht="15" x14ac:dyDescent="0.25">
      <c r="B1345" s="292"/>
      <c r="C1345" s="78"/>
      <c r="D1345" s="109"/>
      <c r="E1345" s="68"/>
      <c r="F1345" s="68"/>
      <c r="G1345" s="21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292"/>
      <c r="C1346" s="78"/>
      <c r="D1346" s="109"/>
      <c r="E1346" s="68"/>
      <c r="F1346" s="68"/>
      <c r="G1346" s="288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8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8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13"/>
      <c r="H1349" s="215"/>
      <c r="I1349" s="293"/>
      <c r="J1349" s="348"/>
      <c r="K1349" s="69"/>
      <c r="L1349" s="285"/>
      <c r="M1349" s="116"/>
      <c r="N1349" s="212"/>
    </row>
    <row r="1350" spans="2:14" x14ac:dyDescent="0.2">
      <c r="B1350" s="292"/>
      <c r="C1350" s="78"/>
      <c r="D1350" s="109"/>
      <c r="E1350" s="68"/>
      <c r="F1350" s="68"/>
      <c r="G1350" s="288"/>
      <c r="H1350" s="211"/>
      <c r="I1350" s="224"/>
      <c r="J1350" s="347"/>
      <c r="K1350" s="80"/>
      <c r="L1350" s="216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88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65"/>
      <c r="C1352" s="289"/>
      <c r="D1352" s="290"/>
      <c r="E1352" s="294"/>
      <c r="F1352" s="295"/>
      <c r="G1352" s="296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65"/>
      <c r="C1353" s="78"/>
      <c r="D1353" s="109"/>
      <c r="E1353" s="68"/>
      <c r="F1353" s="77"/>
      <c r="G1353" s="284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65"/>
      <c r="C1354" s="78"/>
      <c r="D1354" s="109"/>
      <c r="E1354" s="68"/>
      <c r="F1354" s="77"/>
      <c r="G1354" s="284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292"/>
      <c r="C1355" s="78"/>
      <c r="D1355" s="109"/>
      <c r="E1355" s="297"/>
      <c r="F1355" s="298"/>
      <c r="G1355" s="299"/>
      <c r="H1355" s="300"/>
      <c r="I1355" s="301"/>
      <c r="J1355" s="349"/>
      <c r="K1355" s="69"/>
      <c r="L1355" s="285"/>
      <c r="M1355" s="116"/>
      <c r="N1355" s="212"/>
    </row>
    <row r="1356" spans="2:14" ht="15" x14ac:dyDescent="0.25">
      <c r="B1356" s="292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292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68"/>
      <c r="F1358" s="77"/>
      <c r="G1358" s="214"/>
      <c r="H1358" s="215"/>
      <c r="I1358" s="293"/>
      <c r="J1358" s="348"/>
      <c r="K1358" s="69"/>
      <c r="L1358" s="216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65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65"/>
      <c r="C1361" s="289"/>
      <c r="D1361" s="290"/>
      <c r="E1361" s="291"/>
      <c r="F1361" s="284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65"/>
      <c r="C1362" s="66"/>
      <c r="D1362" s="109"/>
      <c r="E1362" s="68"/>
      <c r="F1362" s="77"/>
      <c r="G1362" s="296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78"/>
      <c r="D1364" s="109"/>
      <c r="E1364" s="68"/>
      <c r="F1364" s="77"/>
      <c r="G1364" s="288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78"/>
      <c r="D1365" s="109"/>
      <c r="E1365" s="68"/>
      <c r="F1365" s="77"/>
      <c r="G1365" s="288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292"/>
      <c r="C1366" s="78"/>
      <c r="D1366" s="109"/>
      <c r="E1366" s="68"/>
      <c r="F1366" s="77"/>
      <c r="G1366" s="284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292"/>
      <c r="C1367" s="78"/>
      <c r="D1367" s="109"/>
      <c r="E1367" s="68"/>
      <c r="F1367" s="77"/>
      <c r="G1367" s="284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292"/>
      <c r="C1368" s="78"/>
      <c r="D1368" s="109"/>
      <c r="E1368" s="68"/>
      <c r="F1368" s="77"/>
      <c r="G1368" s="284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292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66"/>
      <c r="D1370" s="109"/>
      <c r="E1370" s="68"/>
      <c r="F1370" s="77"/>
      <c r="G1370" s="296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1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1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8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8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88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91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91"/>
      <c r="C1378" s="78"/>
      <c r="D1378" s="109"/>
      <c r="E1378" s="68"/>
      <c r="F1378" s="77"/>
      <c r="G1378" s="28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65"/>
      <c r="C1379" s="78"/>
      <c r="D1379" s="109"/>
      <c r="E1379" s="68"/>
      <c r="F1379" s="77"/>
      <c r="G1379" s="21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65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65"/>
      <c r="C1381" s="66"/>
      <c r="D1381" s="109"/>
      <c r="E1381" s="68"/>
      <c r="F1381" s="77"/>
      <c r="G1381" s="296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65"/>
      <c r="C1382" s="66"/>
      <c r="D1382" s="109"/>
      <c r="E1382" s="68"/>
      <c r="F1382" s="68"/>
      <c r="G1382" s="296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78"/>
      <c r="D1383" s="109"/>
      <c r="E1383" s="68"/>
      <c r="F1383" s="77"/>
      <c r="G1383" s="214"/>
      <c r="H1383" s="215"/>
      <c r="I1383" s="293"/>
      <c r="J1383" s="348"/>
      <c r="K1383" s="69"/>
      <c r="L1383" s="285"/>
      <c r="M1383" s="116"/>
      <c r="N1383" s="212"/>
    </row>
    <row r="1384" spans="2:14" x14ac:dyDescent="0.2">
      <c r="B1384" s="65"/>
      <c r="C1384" s="78"/>
      <c r="D1384" s="109"/>
      <c r="E1384" s="68"/>
      <c r="F1384" s="77"/>
      <c r="G1384" s="302"/>
      <c r="H1384" s="211"/>
      <c r="I1384" s="224"/>
      <c r="J1384" s="347"/>
      <c r="K1384" s="80"/>
      <c r="L1384" s="285"/>
      <c r="M1384" s="116"/>
      <c r="N1384" s="212"/>
    </row>
    <row r="1385" spans="2:14" ht="15" x14ac:dyDescent="0.25">
      <c r="B1385" s="65"/>
      <c r="C1385" s="78"/>
      <c r="D1385" s="109"/>
      <c r="E1385" s="68"/>
      <c r="F1385" s="77"/>
      <c r="G1385" s="284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66"/>
      <c r="D1386" s="109"/>
      <c r="E1386" s="68"/>
      <c r="F1386" s="77"/>
      <c r="G1386" s="296"/>
      <c r="H1386" s="215"/>
      <c r="I1386" s="293"/>
      <c r="J1386" s="348"/>
      <c r="K1386" s="69"/>
      <c r="L1386" s="285"/>
      <c r="M1386" s="116"/>
      <c r="N1386" s="212"/>
    </row>
    <row r="1387" spans="2:14" ht="15" x14ac:dyDescent="0.25">
      <c r="B1387" s="65"/>
      <c r="C1387" s="78"/>
      <c r="D1387" s="109"/>
      <c r="E1387" s="68"/>
      <c r="F1387" s="77"/>
      <c r="G1387" s="284"/>
      <c r="H1387" s="215"/>
      <c r="I1387" s="293"/>
      <c r="J1387" s="348"/>
      <c r="K1387" s="69"/>
      <c r="L1387" s="285"/>
      <c r="M1387" s="116"/>
      <c r="N1387" s="212"/>
    </row>
    <row r="1388" spans="2:14" ht="15" x14ac:dyDescent="0.25">
      <c r="B1388" s="65"/>
      <c r="C1388" s="78"/>
      <c r="D1388" s="109"/>
      <c r="E1388" s="68"/>
      <c r="F1388" s="77"/>
      <c r="G1388" s="284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66"/>
      <c r="D1389" s="109"/>
      <c r="E1389" s="68"/>
      <c r="F1389" s="77"/>
      <c r="G1389" s="296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66"/>
      <c r="D1390" s="109"/>
      <c r="E1390" s="68"/>
      <c r="F1390" s="77"/>
      <c r="G1390" s="296"/>
      <c r="H1390" s="303"/>
      <c r="I1390" s="225"/>
      <c r="J1390" s="350"/>
      <c r="K1390" s="69"/>
      <c r="L1390" s="285"/>
      <c r="M1390" s="116"/>
      <c r="N1390" s="212"/>
    </row>
    <row r="1391" spans="2:14" ht="15" x14ac:dyDescent="0.25">
      <c r="B1391" s="65"/>
      <c r="C1391" s="289"/>
      <c r="D1391" s="290"/>
      <c r="E1391" s="291"/>
      <c r="F1391" s="304"/>
      <c r="G1391" s="284"/>
      <c r="H1391" s="303"/>
      <c r="I1391" s="225"/>
      <c r="J1391" s="350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303"/>
      <c r="I1392" s="225"/>
      <c r="J1392" s="350"/>
      <c r="K1392" s="69"/>
      <c r="L1392" s="285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6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91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91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91"/>
      <c r="C1397" s="78"/>
      <c r="D1397" s="109"/>
      <c r="E1397" s="68"/>
      <c r="F1397" s="68"/>
      <c r="G1397" s="214"/>
      <c r="H1397" s="215"/>
      <c r="I1397" s="293"/>
      <c r="J1397" s="348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65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65"/>
      <c r="C1408" s="289"/>
      <c r="D1408" s="290"/>
      <c r="E1408" s="291"/>
      <c r="F1408" s="304"/>
      <c r="G1408" s="284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65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78"/>
      <c r="D1410" s="109"/>
      <c r="E1410" s="68"/>
      <c r="F1410" s="77"/>
      <c r="G1410" s="214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78"/>
      <c r="D1411" s="109"/>
      <c r="E1411" s="68"/>
      <c r="F1411" s="77"/>
      <c r="G1411" s="214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91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91"/>
      <c r="C1413" s="66"/>
      <c r="D1413" s="109"/>
      <c r="E1413" s="68"/>
      <c r="F1413" s="77"/>
      <c r="G1413" s="296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91"/>
      <c r="C1414" s="66"/>
      <c r="D1414" s="109"/>
      <c r="E1414" s="68"/>
      <c r="F1414" s="77"/>
      <c r="G1414" s="29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68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68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68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65"/>
      <c r="C1423" s="66"/>
      <c r="D1423" s="109"/>
      <c r="E1423" s="68"/>
      <c r="F1423" s="77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65"/>
      <c r="C1424" s="66"/>
      <c r="D1424" s="109"/>
      <c r="E1424" s="68"/>
      <c r="F1424" s="77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65"/>
      <c r="C1425" s="78"/>
      <c r="D1425" s="109"/>
      <c r="E1425" s="68"/>
      <c r="F1425" s="77"/>
      <c r="G1425" s="214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78"/>
      <c r="D1426" s="109"/>
      <c r="E1426" s="68"/>
      <c r="F1426" s="77"/>
      <c r="G1426" s="214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23"/>
      <c r="D1429" s="37"/>
      <c r="E1429" s="60"/>
      <c r="F1429" s="26"/>
      <c r="G1429" s="2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78"/>
      <c r="D1431" s="109"/>
      <c r="E1431" s="68"/>
      <c r="F1431" s="77"/>
      <c r="G1431" s="305"/>
      <c r="H1431" s="215"/>
      <c r="I1431" s="293"/>
      <c r="J1431" s="348"/>
      <c r="K1431" s="69"/>
      <c r="L1431" s="216"/>
      <c r="M1431" s="116"/>
      <c r="N1431" s="212"/>
    </row>
    <row r="1432" spans="2:14" ht="15" x14ac:dyDescent="0.25">
      <c r="B1432" s="91"/>
      <c r="C1432" s="78"/>
      <c r="D1432" s="109"/>
      <c r="E1432" s="68"/>
      <c r="F1432" s="77"/>
      <c r="G1432" s="302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91"/>
      <c r="C1433" s="66"/>
      <c r="D1433" s="109"/>
      <c r="E1433" s="68"/>
      <c r="F1433" s="77"/>
      <c r="G1433" s="29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91"/>
      <c r="C1434" s="66"/>
      <c r="D1434" s="109"/>
      <c r="E1434" s="68"/>
      <c r="F1434" s="77"/>
      <c r="G1434" s="296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91"/>
      <c r="C1435" s="78"/>
      <c r="D1435" s="109"/>
      <c r="E1435" s="68"/>
      <c r="F1435" s="77"/>
      <c r="G1435" s="214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78"/>
      <c r="D1436" s="109"/>
      <c r="E1436" s="68"/>
      <c r="F1436" s="77"/>
      <c r="G1436" s="214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6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23"/>
      <c r="D1439" s="37"/>
      <c r="E1439" s="60"/>
      <c r="F1439" s="26"/>
      <c r="G1439" s="104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65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65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65"/>
      <c r="C1442" s="23"/>
      <c r="D1442" s="290"/>
      <c r="E1442" s="291"/>
      <c r="F1442" s="304"/>
      <c r="G1442" s="284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91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91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91"/>
      <c r="C1445" s="66"/>
      <c r="D1445" s="109"/>
      <c r="E1445" s="68"/>
      <c r="F1445" s="77"/>
      <c r="G1445" s="296"/>
      <c r="H1445" s="303"/>
      <c r="I1445" s="225"/>
      <c r="J1445" s="350"/>
      <c r="K1445" s="80"/>
      <c r="L1445" s="285"/>
      <c r="M1445" s="116"/>
      <c r="N1445" s="212"/>
    </row>
    <row r="1446" spans="2:14" ht="15" x14ac:dyDescent="0.25">
      <c r="B1446" s="91"/>
      <c r="C1446" s="23"/>
      <c r="D1446" s="37"/>
      <c r="E1446" s="60"/>
      <c r="F1446" s="26"/>
      <c r="G1446" s="104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27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78"/>
      <c r="D1449" s="109"/>
      <c r="E1449" s="68"/>
      <c r="F1449" s="77"/>
      <c r="G1449" s="214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6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78"/>
      <c r="D1452" s="109"/>
      <c r="E1452" s="68"/>
      <c r="F1452" s="77"/>
      <c r="G1452" s="214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9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96"/>
      <c r="H1454" s="303"/>
      <c r="I1454" s="225"/>
      <c r="J1454" s="350"/>
      <c r="K1454" s="290"/>
      <c r="L1454" s="285"/>
      <c r="M1454" s="116"/>
      <c r="N1454" s="212"/>
    </row>
    <row r="1455" spans="2:14" ht="15" x14ac:dyDescent="0.25">
      <c r="B1455" s="65"/>
      <c r="C1455" s="66"/>
      <c r="D1455" s="109"/>
      <c r="E1455" s="68"/>
      <c r="F1455" s="77"/>
      <c r="G1455" s="104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65"/>
      <c r="C1456" s="66"/>
      <c r="D1456" s="109"/>
      <c r="E1456" s="68"/>
      <c r="F1456" s="77"/>
      <c r="G1456" s="296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65"/>
      <c r="C1457" s="286"/>
      <c r="D1457" s="286"/>
      <c r="E1457" s="306"/>
      <c r="F1457" s="307"/>
      <c r="G1457" s="307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65"/>
      <c r="C1458" s="78"/>
      <c r="D1458" s="109"/>
      <c r="E1458" s="68"/>
      <c r="F1458" s="77"/>
      <c r="G1458" s="214"/>
      <c r="H1458" s="215"/>
      <c r="I1458" s="293"/>
      <c r="J1458" s="348"/>
      <c r="K1458" s="69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296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296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296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78"/>
      <c r="D1467" s="109"/>
      <c r="E1467" s="68"/>
      <c r="F1467" s="77"/>
      <c r="G1467" s="308"/>
      <c r="H1467" s="215"/>
      <c r="I1467" s="293"/>
      <c r="J1467" s="348"/>
      <c r="K1467" s="69"/>
      <c r="L1467" s="216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309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309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104"/>
      <c r="H1470" s="121"/>
      <c r="I1470" s="107"/>
      <c r="J1470" s="351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104"/>
      <c r="H1471" s="121"/>
      <c r="I1471" s="107"/>
      <c r="J1471" s="351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310"/>
      <c r="H1472" s="121"/>
      <c r="I1472" s="107"/>
      <c r="J1472" s="351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296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296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91"/>
      <c r="C1476" s="78"/>
      <c r="D1476" s="109"/>
      <c r="E1476" s="68"/>
      <c r="F1476" s="77"/>
      <c r="G1476" s="311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91"/>
      <c r="C1477" s="66"/>
      <c r="D1477" s="109"/>
      <c r="E1477" s="68"/>
      <c r="F1477" s="77"/>
      <c r="G1477" s="104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91"/>
      <c r="C1478" s="66"/>
      <c r="D1478" s="109"/>
      <c r="E1478" s="68"/>
      <c r="F1478" s="68"/>
      <c r="G1478" s="104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66"/>
      <c r="D1479" s="109"/>
      <c r="E1479" s="68"/>
      <c r="F1479" s="77"/>
      <c r="G1479" s="296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77"/>
      <c r="G1480" s="104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104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65"/>
      <c r="C1483" s="78"/>
      <c r="D1483" s="109"/>
      <c r="E1483" s="68"/>
      <c r="F1483" s="77"/>
      <c r="G1483" s="311"/>
      <c r="H1483" s="312"/>
      <c r="I1483" s="313"/>
      <c r="J1483" s="352"/>
      <c r="K1483" s="69"/>
      <c r="L1483" s="285"/>
      <c r="M1483" s="116"/>
      <c r="N1483" s="212"/>
    </row>
    <row r="1484" spans="2:14" ht="15" x14ac:dyDescent="0.25">
      <c r="B1484" s="65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65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65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91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91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91"/>
      <c r="C1489" s="78"/>
      <c r="D1489" s="109"/>
      <c r="E1489" s="68"/>
      <c r="F1489" s="77"/>
      <c r="G1489" s="311"/>
      <c r="H1489" s="312"/>
      <c r="I1489" s="313"/>
      <c r="J1489" s="352"/>
      <c r="K1489" s="69"/>
      <c r="L1489" s="285"/>
      <c r="M1489" s="116"/>
      <c r="N1489" s="212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78"/>
      <c r="D1492" s="109"/>
      <c r="E1492" s="68"/>
      <c r="F1492" s="77"/>
      <c r="G1492" s="311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78"/>
      <c r="D1494" s="109"/>
      <c r="E1494" s="68"/>
      <c r="F1494" s="77"/>
      <c r="G1494" s="311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65"/>
      <c r="C1495" s="78"/>
      <c r="D1495" s="109"/>
      <c r="E1495" s="68"/>
      <c r="F1495" s="77"/>
      <c r="G1495" s="311"/>
      <c r="H1495" s="312"/>
      <c r="I1495" s="313"/>
      <c r="J1495" s="352"/>
      <c r="K1495" s="69"/>
      <c r="L1495" s="216"/>
      <c r="M1495" s="116"/>
      <c r="N1495" s="212"/>
    </row>
    <row r="1496" spans="2:14" ht="15.75" x14ac:dyDescent="0.25">
      <c r="B1496" s="314"/>
      <c r="C1496" s="78"/>
      <c r="D1496" s="109"/>
      <c r="E1496" s="68"/>
      <c r="F1496" s="77"/>
      <c r="G1496" s="311"/>
      <c r="H1496" s="312"/>
      <c r="I1496" s="313"/>
      <c r="J1496" s="352"/>
      <c r="K1496" s="69"/>
      <c r="L1496" s="216"/>
      <c r="M1496" s="116"/>
      <c r="N1496" s="212"/>
    </row>
    <row r="1497" spans="2:14" ht="15.75" x14ac:dyDescent="0.25">
      <c r="B1497" s="315"/>
      <c r="C1497" s="66"/>
      <c r="D1497" s="109"/>
      <c r="E1497" s="68"/>
      <c r="F1497" s="77"/>
      <c r="G1497" s="104"/>
      <c r="H1497" s="121"/>
      <c r="I1497" s="107"/>
      <c r="J1497" s="351"/>
      <c r="K1497" s="69"/>
      <c r="L1497" s="126"/>
      <c r="M1497" s="116"/>
      <c r="N1497" s="217"/>
    </row>
    <row r="1498" spans="2:14" ht="15.75" x14ac:dyDescent="0.25">
      <c r="B1498" s="315"/>
      <c r="C1498" s="78"/>
      <c r="D1498" s="109"/>
      <c r="E1498" s="68"/>
      <c r="F1498" s="77"/>
      <c r="G1498" s="311"/>
      <c r="H1498" s="312"/>
      <c r="I1498" s="313"/>
      <c r="J1498" s="352"/>
      <c r="K1498" s="69"/>
      <c r="L1498" s="126"/>
      <c r="M1498" s="116"/>
      <c r="N1498" s="217"/>
    </row>
    <row r="1499" spans="2:14" ht="15.75" x14ac:dyDescent="0.25">
      <c r="B1499" s="314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216"/>
      <c r="M1499" s="116"/>
      <c r="N1499" s="212"/>
    </row>
    <row r="1500" spans="2:14" ht="15" x14ac:dyDescent="0.25">
      <c r="B1500" s="91"/>
      <c r="C1500" s="66"/>
      <c r="D1500" s="109"/>
      <c r="E1500" s="68"/>
      <c r="F1500" s="77"/>
      <c r="G1500" s="104"/>
      <c r="H1500" s="121"/>
      <c r="I1500" s="107"/>
      <c r="J1500" s="351"/>
      <c r="K1500" s="69"/>
      <c r="L1500" s="126"/>
      <c r="M1500" s="116"/>
      <c r="N1500" s="217"/>
    </row>
    <row r="1501" spans="2:14" ht="15" x14ac:dyDescent="0.25">
      <c r="B1501" s="91"/>
      <c r="C1501" s="316"/>
      <c r="D1501" s="65"/>
      <c r="E1501" s="68"/>
      <c r="F1501" s="117"/>
      <c r="G1501" s="117"/>
      <c r="H1501" s="121"/>
      <c r="I1501" s="107"/>
      <c r="J1501" s="351"/>
      <c r="K1501" s="69"/>
      <c r="L1501" s="126"/>
      <c r="M1501" s="116"/>
      <c r="N1501" s="217"/>
    </row>
    <row r="1502" spans="2:14" ht="15" x14ac:dyDescent="0.25">
      <c r="B1502" s="91"/>
      <c r="C1502" s="66"/>
      <c r="D1502" s="109"/>
      <c r="E1502" s="68"/>
      <c r="F1502" s="77"/>
      <c r="G1502" s="104"/>
      <c r="H1502" s="121"/>
      <c r="I1502" s="107"/>
      <c r="J1502" s="351"/>
      <c r="K1502" s="69"/>
      <c r="L1502" s="126"/>
      <c r="M1502" s="116"/>
      <c r="N1502" s="212"/>
    </row>
    <row r="1503" spans="2:14" ht="15" x14ac:dyDescent="0.25">
      <c r="B1503" s="91"/>
      <c r="C1503" s="66"/>
      <c r="D1503" s="109"/>
      <c r="E1503" s="68"/>
      <c r="F1503" s="77"/>
      <c r="G1503" s="104"/>
      <c r="H1503" s="121"/>
      <c r="I1503" s="107"/>
      <c r="J1503" s="351"/>
      <c r="K1503" s="69"/>
      <c r="L1503" s="126"/>
      <c r="M1503" s="116"/>
      <c r="N1503" s="212"/>
    </row>
    <row r="1504" spans="2:14" ht="15" x14ac:dyDescent="0.25">
      <c r="B1504" s="65"/>
      <c r="C1504" s="66"/>
      <c r="D1504" s="109"/>
      <c r="E1504" s="68"/>
      <c r="F1504" s="77"/>
      <c r="G1504" s="104"/>
      <c r="H1504" s="121"/>
      <c r="I1504" s="107"/>
      <c r="J1504" s="351"/>
      <c r="K1504" s="69"/>
      <c r="L1504" s="126"/>
      <c r="M1504" s="116"/>
      <c r="N1504" s="212"/>
    </row>
    <row r="1505" spans="2:14" ht="15" x14ac:dyDescent="0.25">
      <c r="B1505" s="65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2"/>
    </row>
    <row r="1506" spans="2:14" ht="15" x14ac:dyDescent="0.25">
      <c r="B1506" s="65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65"/>
      <c r="C1507" s="78"/>
      <c r="D1507" s="109"/>
      <c r="E1507" s="68"/>
      <c r="F1507" s="77"/>
      <c r="G1507" s="311"/>
      <c r="H1507" s="312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78"/>
      <c r="D1508" s="109"/>
      <c r="E1508" s="68"/>
      <c r="F1508" s="77"/>
      <c r="G1508" s="311"/>
      <c r="H1508" s="312"/>
      <c r="I1508" s="313"/>
      <c r="J1508" s="352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1"/>
      <c r="K1511" s="69"/>
      <c r="L1511" s="216"/>
      <c r="M1511" s="116"/>
      <c r="N1511" s="212"/>
    </row>
    <row r="1512" spans="2:14" ht="15" x14ac:dyDescent="0.25">
      <c r="B1512" s="65"/>
      <c r="C1512" s="78"/>
      <c r="D1512" s="109"/>
      <c r="E1512" s="68"/>
      <c r="F1512" s="77"/>
      <c r="G1512" s="311"/>
      <c r="H1512" s="312"/>
      <c r="I1512" s="313"/>
      <c r="J1512" s="352"/>
      <c r="K1512" s="69"/>
      <c r="L1512" s="21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216"/>
      <c r="M1513" s="116"/>
      <c r="N1513" s="212"/>
    </row>
    <row r="1514" spans="2:14" ht="15" x14ac:dyDescent="0.25">
      <c r="B1514" s="65"/>
      <c r="C1514" s="78"/>
      <c r="D1514" s="109"/>
      <c r="E1514" s="68"/>
      <c r="F1514" s="77"/>
      <c r="G1514" s="311"/>
      <c r="H1514" s="312"/>
      <c r="I1514" s="107"/>
      <c r="J1514" s="351"/>
      <c r="K1514" s="69"/>
      <c r="L1514" s="285"/>
      <c r="M1514" s="116"/>
      <c r="N1514" s="212"/>
    </row>
    <row r="1515" spans="2:14" ht="15" x14ac:dyDescent="0.25">
      <c r="B1515" s="65"/>
      <c r="C1515" s="78"/>
      <c r="D1515" s="109"/>
      <c r="E1515" s="68"/>
      <c r="F1515" s="77"/>
      <c r="G1515" s="311"/>
      <c r="H1515" s="312"/>
      <c r="I1515" s="313"/>
      <c r="J1515" s="352"/>
      <c r="K1515" s="69"/>
      <c r="L1515" s="216"/>
      <c r="M1515" s="116"/>
      <c r="N1515" s="212"/>
    </row>
    <row r="1516" spans="2:14" ht="15" x14ac:dyDescent="0.25">
      <c r="B1516" s="65"/>
      <c r="C1516" s="78"/>
      <c r="D1516" s="109"/>
      <c r="E1516" s="68"/>
      <c r="F1516" s="77"/>
      <c r="G1516" s="311"/>
      <c r="H1516" s="312"/>
      <c r="I1516" s="313"/>
      <c r="J1516" s="352"/>
      <c r="K1516" s="69"/>
      <c r="L1516" s="216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313"/>
      <c r="J1517" s="352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91"/>
      <c r="C1521" s="66"/>
      <c r="D1521" s="109"/>
      <c r="E1521" s="68"/>
      <c r="F1521" s="77"/>
      <c r="G1521" s="104"/>
      <c r="H1521" s="121"/>
      <c r="I1521" s="107"/>
      <c r="J1521" s="351"/>
      <c r="K1521" s="69"/>
      <c r="L1521" s="126"/>
      <c r="M1521" s="116"/>
      <c r="N1521" s="217"/>
    </row>
    <row r="1522" spans="2:14" ht="15" x14ac:dyDescent="0.25">
      <c r="B1522" s="91"/>
      <c r="C1522" s="66"/>
      <c r="D1522" s="109"/>
      <c r="E1522" s="68"/>
      <c r="F1522" s="77"/>
      <c r="G1522" s="104"/>
      <c r="H1522" s="123"/>
      <c r="I1522" s="107"/>
      <c r="J1522" s="351"/>
      <c r="K1522" s="69"/>
      <c r="L1522" s="126"/>
      <c r="M1522" s="116"/>
      <c r="N1522" s="217"/>
    </row>
    <row r="1523" spans="2:14" ht="15" x14ac:dyDescent="0.25">
      <c r="B1523" s="91"/>
      <c r="C1523" s="66"/>
      <c r="D1523" s="109"/>
      <c r="E1523" s="68"/>
      <c r="F1523" s="77"/>
      <c r="G1523" s="104"/>
      <c r="H1523" s="121"/>
      <c r="I1523" s="107"/>
      <c r="J1523" s="351"/>
      <c r="K1523" s="80"/>
      <c r="L1523" s="126"/>
      <c r="M1523" s="117"/>
      <c r="N1523" s="217"/>
    </row>
    <row r="1524" spans="2:14" ht="15" x14ac:dyDescent="0.25">
      <c r="B1524" s="37"/>
      <c r="C1524" s="66"/>
      <c r="D1524" s="109"/>
      <c r="E1524" s="68"/>
      <c r="F1524" s="77"/>
      <c r="G1524" s="104"/>
      <c r="H1524" s="123"/>
      <c r="I1524" s="107"/>
      <c r="J1524" s="351"/>
      <c r="K1524" s="80"/>
      <c r="L1524" s="126"/>
      <c r="M1524" s="116"/>
      <c r="N1524" s="217"/>
    </row>
    <row r="1525" spans="2:14" ht="15" x14ac:dyDescent="0.25">
      <c r="B1525" s="37"/>
      <c r="C1525" s="66"/>
      <c r="D1525" s="109"/>
      <c r="E1525" s="68"/>
      <c r="F1525" s="68"/>
      <c r="G1525" s="104"/>
      <c r="H1525" s="121"/>
      <c r="I1525" s="107"/>
      <c r="J1525" s="351"/>
      <c r="K1525" s="69"/>
      <c r="L1525" s="126"/>
      <c r="M1525" s="116"/>
      <c r="N1525" s="217"/>
    </row>
    <row r="1526" spans="2:14" ht="15" x14ac:dyDescent="0.25">
      <c r="B1526" s="37"/>
      <c r="C1526" s="316"/>
      <c r="D1526" s="65"/>
      <c r="E1526" s="68"/>
      <c r="F1526" s="117"/>
      <c r="G1526" s="117"/>
      <c r="H1526" s="121"/>
      <c r="I1526" s="107"/>
      <c r="J1526" s="351"/>
      <c r="K1526" s="69"/>
      <c r="L1526" s="126"/>
      <c r="M1526" s="116"/>
      <c r="N1526" s="217"/>
    </row>
    <row r="1527" spans="2:14" ht="15" x14ac:dyDescent="0.25">
      <c r="B1527" s="37"/>
      <c r="C1527" s="66"/>
      <c r="D1527" s="109"/>
      <c r="E1527" s="68"/>
      <c r="F1527" s="77"/>
      <c r="G1527" s="104"/>
      <c r="H1527" s="121"/>
      <c r="I1527" s="107"/>
      <c r="J1527" s="351"/>
      <c r="K1527" s="69"/>
      <c r="L1527" s="126"/>
      <c r="M1527" s="116"/>
      <c r="N1527" s="217"/>
    </row>
    <row r="1528" spans="2:14" ht="15" x14ac:dyDescent="0.25">
      <c r="B1528" s="37"/>
      <c r="C1528" s="66"/>
      <c r="D1528" s="109"/>
      <c r="E1528" s="68"/>
      <c r="F1528" s="77"/>
      <c r="G1528" s="104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37"/>
      <c r="C1529" s="66"/>
      <c r="D1529" s="109"/>
      <c r="E1529" s="68"/>
      <c r="F1529" s="77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65"/>
      <c r="C1533" s="78"/>
      <c r="D1533" s="109"/>
      <c r="E1533" s="68"/>
      <c r="F1533" s="77"/>
      <c r="G1533" s="311"/>
      <c r="H1533" s="312"/>
      <c r="I1533" s="313"/>
      <c r="J1533" s="352"/>
      <c r="K1533" s="69"/>
      <c r="L1533" s="216"/>
      <c r="M1533" s="116"/>
      <c r="N1533" s="212"/>
    </row>
    <row r="1534" spans="2:14" ht="15" x14ac:dyDescent="0.25">
      <c r="B1534" s="91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65"/>
      <c r="C1535" s="78"/>
      <c r="D1535" s="109"/>
      <c r="E1535" s="68"/>
      <c r="F1535" s="77"/>
      <c r="G1535" s="311"/>
      <c r="H1535" s="312"/>
      <c r="I1535" s="313"/>
      <c r="J1535" s="352"/>
      <c r="K1535" s="69"/>
      <c r="L1535" s="216"/>
      <c r="M1535" s="116"/>
      <c r="N1535" s="212"/>
    </row>
    <row r="1536" spans="2:14" ht="15" x14ac:dyDescent="0.25">
      <c r="B1536" s="91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91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91"/>
      <c r="C1538" s="78"/>
      <c r="D1538" s="109"/>
      <c r="E1538" s="68"/>
      <c r="F1538" s="77"/>
      <c r="G1538" s="311"/>
      <c r="H1538" s="312"/>
      <c r="I1538" s="107"/>
      <c r="J1538" s="351"/>
      <c r="K1538" s="69"/>
      <c r="L1538" s="126"/>
      <c r="M1538" s="116"/>
      <c r="N1538" s="217"/>
    </row>
    <row r="1539" spans="2:14" ht="15" x14ac:dyDescent="0.25">
      <c r="B1539" s="65"/>
      <c r="C1539" s="78"/>
      <c r="D1539" s="109"/>
      <c r="E1539" s="68"/>
      <c r="F1539" s="77"/>
      <c r="G1539" s="311"/>
      <c r="H1539" s="312"/>
      <c r="I1539" s="313"/>
      <c r="J1539" s="352"/>
      <c r="K1539" s="69"/>
      <c r="L1539" s="216"/>
      <c r="M1539" s="116"/>
      <c r="N1539" s="212"/>
    </row>
    <row r="1540" spans="2:14" ht="15" x14ac:dyDescent="0.25">
      <c r="B1540" s="65"/>
      <c r="C1540" s="78"/>
      <c r="D1540" s="109"/>
      <c r="E1540" s="68"/>
      <c r="F1540" s="77"/>
      <c r="G1540" s="311"/>
      <c r="H1540" s="312"/>
      <c r="I1540" s="313"/>
      <c r="J1540" s="352"/>
      <c r="K1540" s="69"/>
      <c r="L1540" s="216"/>
      <c r="M1540" s="116"/>
      <c r="N1540" s="212"/>
    </row>
    <row r="1541" spans="2:14" ht="15" x14ac:dyDescent="0.25">
      <c r="B1541" s="65"/>
      <c r="C1541" s="78"/>
      <c r="D1541" s="109"/>
      <c r="E1541" s="68"/>
      <c r="F1541" s="77"/>
      <c r="G1541" s="311"/>
      <c r="H1541" s="312"/>
      <c r="I1541" s="313"/>
      <c r="J1541" s="352"/>
      <c r="K1541" s="69"/>
      <c r="L1541" s="216"/>
      <c r="M1541" s="116"/>
      <c r="N1541" s="212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91"/>
      <c r="C1544" s="66"/>
      <c r="D1544" s="109"/>
      <c r="E1544" s="68"/>
      <c r="F1544" s="77"/>
      <c r="G1544" s="104"/>
      <c r="H1544" s="121"/>
      <c r="I1544" s="107"/>
      <c r="J1544" s="351"/>
      <c r="K1544" s="69"/>
      <c r="L1544" s="126"/>
      <c r="M1544" s="116"/>
      <c r="N1544" s="217"/>
    </row>
    <row r="1545" spans="2:14" ht="15" x14ac:dyDescent="0.25">
      <c r="B1545" s="91"/>
      <c r="C1545" s="66"/>
      <c r="D1545" s="109"/>
      <c r="E1545" s="68"/>
      <c r="F1545" s="77"/>
      <c r="G1545" s="104"/>
      <c r="H1545" s="121"/>
      <c r="I1545" s="107"/>
      <c r="J1545" s="351"/>
      <c r="K1545" s="69"/>
      <c r="L1545" s="126"/>
      <c r="M1545" s="116"/>
      <c r="N1545" s="217"/>
    </row>
    <row r="1546" spans="2:14" ht="15" x14ac:dyDescent="0.25">
      <c r="B1546" s="91"/>
      <c r="C1546" s="66"/>
      <c r="D1546" s="109"/>
      <c r="E1546" s="68"/>
      <c r="F1546" s="77"/>
      <c r="G1546" s="104"/>
      <c r="H1546" s="121"/>
      <c r="I1546" s="107"/>
      <c r="J1546" s="351"/>
      <c r="K1546" s="69"/>
      <c r="L1546" s="126"/>
      <c r="M1546" s="116"/>
      <c r="N1546" s="217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7"/>
    </row>
    <row r="1548" spans="2:14" ht="15" x14ac:dyDescent="0.25">
      <c r="B1548" s="65"/>
      <c r="C1548" s="78"/>
      <c r="D1548" s="109"/>
      <c r="E1548" s="68"/>
      <c r="F1548" s="77"/>
      <c r="G1548" s="311"/>
      <c r="H1548" s="312"/>
      <c r="I1548" s="107"/>
      <c r="J1548" s="351"/>
      <c r="K1548" s="69"/>
      <c r="L1548" s="126"/>
      <c r="M1548" s="116"/>
      <c r="N1548" s="217"/>
    </row>
    <row r="1549" spans="2:14" ht="15" x14ac:dyDescent="0.25">
      <c r="B1549" s="65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65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65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68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78"/>
      <c r="D1556" s="109"/>
      <c r="E1556" s="68"/>
      <c r="F1556" s="77"/>
      <c r="G1556" s="311"/>
      <c r="H1556" s="123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78"/>
      <c r="D1557" s="109"/>
      <c r="E1557" s="68"/>
      <c r="F1557" s="77"/>
      <c r="G1557" s="311"/>
      <c r="H1557" s="312"/>
      <c r="I1557" s="313"/>
      <c r="J1557" s="352"/>
      <c r="K1557" s="69"/>
      <c r="L1557" s="216"/>
      <c r="M1557" s="116"/>
      <c r="N1557" s="212"/>
    </row>
    <row r="1558" spans="2:14" x14ac:dyDescent="0.2">
      <c r="B1558" s="91"/>
      <c r="C1558" s="66"/>
      <c r="D1558" s="109"/>
      <c r="E1558" s="68"/>
      <c r="F1558" s="77"/>
      <c r="G1558" s="104"/>
      <c r="H1558" s="121"/>
      <c r="I1558" s="129"/>
      <c r="J1558" s="353"/>
      <c r="K1558" s="80"/>
      <c r="L1558" s="126"/>
      <c r="M1558" s="116"/>
      <c r="N1558" s="217"/>
    </row>
    <row r="1559" spans="2:14" ht="15" x14ac:dyDescent="0.25">
      <c r="B1559" s="65"/>
      <c r="C1559" s="78"/>
      <c r="D1559" s="109"/>
      <c r="E1559" s="68"/>
      <c r="F1559" s="77"/>
      <c r="G1559" s="311"/>
      <c r="H1559" s="312"/>
      <c r="I1559" s="313"/>
      <c r="J1559" s="352"/>
      <c r="K1559" s="69"/>
      <c r="L1559" s="216"/>
      <c r="M1559" s="116"/>
      <c r="N1559" s="212"/>
    </row>
    <row r="1560" spans="2:14" ht="15" x14ac:dyDescent="0.25">
      <c r="B1560" s="65"/>
      <c r="C1560" s="66"/>
      <c r="D1560" s="109"/>
      <c r="E1560" s="68"/>
      <c r="F1560" s="77"/>
      <c r="G1560" s="104"/>
      <c r="H1560" s="121"/>
      <c r="I1560" s="107"/>
      <c r="J1560" s="351"/>
      <c r="K1560" s="69"/>
      <c r="L1560" s="126"/>
      <c r="M1560" s="116"/>
      <c r="N1560" s="317"/>
    </row>
    <row r="1561" spans="2:14" ht="15" x14ac:dyDescent="0.25">
      <c r="B1561" s="65"/>
      <c r="C1561" s="78"/>
      <c r="D1561" s="109"/>
      <c r="E1561" s="68"/>
      <c r="F1561" s="77"/>
      <c r="G1561" s="311"/>
      <c r="H1561" s="312"/>
      <c r="I1561" s="313"/>
      <c r="J1561" s="352"/>
      <c r="K1561" s="69"/>
      <c r="L1561" s="216"/>
      <c r="M1561" s="116"/>
      <c r="N1561" s="317"/>
    </row>
    <row r="1562" spans="2:14" ht="15" x14ac:dyDescent="0.25">
      <c r="B1562" s="65"/>
      <c r="C1562" s="66"/>
      <c r="D1562" s="109"/>
      <c r="E1562" s="68"/>
      <c r="F1562" s="77"/>
      <c r="G1562" s="104"/>
      <c r="H1562" s="121"/>
      <c r="I1562" s="107"/>
      <c r="J1562" s="351"/>
      <c r="K1562" s="69"/>
      <c r="L1562" s="126"/>
      <c r="M1562" s="116"/>
      <c r="N1562" s="212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1"/>
      <c r="K1563" s="69"/>
      <c r="L1563" s="126"/>
      <c r="M1563" s="116"/>
      <c r="N1563" s="212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212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2"/>
    </row>
    <row r="1566" spans="2:14" ht="15" x14ac:dyDescent="0.25">
      <c r="B1566" s="65"/>
      <c r="C1566" s="78"/>
      <c r="D1566" s="109"/>
      <c r="E1566" s="68"/>
      <c r="F1566" s="77"/>
      <c r="G1566" s="311"/>
      <c r="H1566" s="312"/>
      <c r="I1566" s="313"/>
      <c r="J1566" s="352"/>
      <c r="K1566" s="69"/>
      <c r="L1566" s="216"/>
      <c r="M1566" s="116"/>
      <c r="N1566" s="212"/>
    </row>
    <row r="1567" spans="2:14" ht="15" x14ac:dyDescent="0.25">
      <c r="B1567" s="65"/>
      <c r="C1567" s="78"/>
      <c r="D1567" s="109"/>
      <c r="E1567" s="68"/>
      <c r="F1567" s="77"/>
      <c r="G1567" s="311"/>
      <c r="H1567" s="312"/>
      <c r="I1567" s="313"/>
      <c r="J1567" s="352"/>
      <c r="K1567" s="69"/>
      <c r="L1567" s="216"/>
      <c r="M1567" s="116"/>
      <c r="N1567" s="212"/>
    </row>
    <row r="1568" spans="2:14" ht="15" x14ac:dyDescent="0.25">
      <c r="B1568" s="65"/>
      <c r="C1568" s="78"/>
      <c r="D1568" s="109"/>
      <c r="E1568" s="68"/>
      <c r="F1568" s="77"/>
      <c r="G1568" s="311"/>
      <c r="H1568" s="312"/>
      <c r="I1568" s="313"/>
      <c r="J1568" s="352"/>
      <c r="K1568" s="69"/>
      <c r="L1568" s="21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313"/>
      <c r="J1569" s="352"/>
      <c r="K1569" s="69"/>
      <c r="L1569" s="216"/>
      <c r="M1569" s="116"/>
      <c r="N1569" s="212"/>
    </row>
    <row r="1570" spans="2:14" ht="15" x14ac:dyDescent="0.25">
      <c r="B1570" s="91"/>
      <c r="C1570" s="66"/>
      <c r="D1570" s="109"/>
      <c r="E1570" s="68"/>
      <c r="F1570" s="77"/>
      <c r="G1570" s="104"/>
      <c r="H1570" s="121"/>
      <c r="I1570" s="107"/>
      <c r="J1570" s="351"/>
      <c r="K1570" s="69"/>
      <c r="L1570" s="126"/>
      <c r="M1570" s="116"/>
      <c r="N1570" s="217"/>
    </row>
    <row r="1571" spans="2:14" ht="15" x14ac:dyDescent="0.25">
      <c r="B1571" s="91"/>
      <c r="C1571" s="66"/>
      <c r="D1571" s="109"/>
      <c r="E1571" s="68"/>
      <c r="F1571" s="77"/>
      <c r="G1571" s="104"/>
      <c r="H1571" s="121"/>
      <c r="I1571" s="107"/>
      <c r="J1571" s="351"/>
      <c r="K1571" s="79"/>
      <c r="L1571" s="126"/>
      <c r="M1571" s="115"/>
      <c r="N1571" s="217"/>
    </row>
    <row r="1572" spans="2:14" ht="15" x14ac:dyDescent="0.25">
      <c r="B1572" s="91"/>
      <c r="C1572" s="66"/>
      <c r="D1572" s="109"/>
      <c r="E1572" s="68"/>
      <c r="F1572" s="77"/>
      <c r="G1572" s="104"/>
      <c r="H1572" s="121"/>
      <c r="I1572" s="107"/>
      <c r="J1572" s="351"/>
      <c r="K1572" s="69"/>
      <c r="L1572" s="126"/>
      <c r="M1572" s="116"/>
      <c r="N1572" s="217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69"/>
      <c r="L1573" s="126"/>
      <c r="M1573" s="116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79"/>
      <c r="L1574" s="126"/>
      <c r="M1574" s="115"/>
      <c r="N1574" s="217"/>
    </row>
    <row r="1575" spans="2:14" ht="15" x14ac:dyDescent="0.25">
      <c r="B1575" s="65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65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6"/>
      <c r="M1576" s="116"/>
      <c r="N1576" s="217"/>
    </row>
    <row r="1577" spans="2:14" ht="15" x14ac:dyDescent="0.25">
      <c r="B1577" s="65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78"/>
      <c r="D1580" s="109"/>
      <c r="E1580" s="68"/>
      <c r="F1580" s="77"/>
      <c r="G1580" s="311"/>
      <c r="H1580" s="312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3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78"/>
      <c r="D1585" s="109"/>
      <c r="E1585" s="68"/>
      <c r="F1585" s="77"/>
      <c r="G1585" s="311"/>
      <c r="H1585" s="312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78"/>
      <c r="D1586" s="109"/>
      <c r="E1586" s="68"/>
      <c r="F1586" s="77"/>
      <c r="G1586" s="311"/>
      <c r="H1586" s="312"/>
      <c r="I1586" s="313"/>
      <c r="J1586" s="352"/>
      <c r="K1586" s="69"/>
      <c r="L1586" s="216"/>
      <c r="M1586" s="116"/>
      <c r="N1586" s="212"/>
    </row>
    <row r="1587" spans="2:14" ht="15" x14ac:dyDescent="0.25">
      <c r="B1587" s="91"/>
      <c r="C1587" s="66"/>
      <c r="D1587" s="109"/>
      <c r="E1587" s="68"/>
      <c r="F1587" s="77"/>
      <c r="G1587" s="104"/>
      <c r="H1587" s="121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313"/>
      <c r="J1588" s="352"/>
      <c r="K1588" s="69"/>
      <c r="L1588" s="216"/>
      <c r="M1588" s="116"/>
      <c r="N1588" s="212"/>
    </row>
    <row r="1589" spans="2:14" ht="15" x14ac:dyDescent="0.25">
      <c r="B1589" s="91"/>
      <c r="C1589" s="66"/>
      <c r="D1589" s="109"/>
      <c r="E1589" s="68"/>
      <c r="F1589" s="77"/>
      <c r="G1589" s="104"/>
      <c r="H1589" s="121"/>
      <c r="I1589" s="107"/>
      <c r="J1589" s="351"/>
      <c r="K1589" s="69"/>
      <c r="L1589" s="120"/>
      <c r="M1589" s="116"/>
      <c r="N1589" s="218"/>
    </row>
    <row r="1590" spans="2:14" ht="15" x14ac:dyDescent="0.25">
      <c r="B1590" s="91"/>
      <c r="C1590" s="66"/>
      <c r="D1590" s="109"/>
      <c r="E1590" s="68"/>
      <c r="F1590" s="77"/>
      <c r="G1590" s="104"/>
      <c r="H1590" s="121"/>
      <c r="I1590" s="107"/>
      <c r="J1590" s="351"/>
      <c r="K1590" s="69"/>
      <c r="L1590" s="120"/>
      <c r="M1590" s="116"/>
      <c r="N1590" s="218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0"/>
      <c r="M1591" s="116"/>
      <c r="N1591" s="218"/>
    </row>
    <row r="1592" spans="2:14" ht="15" x14ac:dyDescent="0.25">
      <c r="B1592" s="91"/>
      <c r="C1592" s="66"/>
      <c r="D1592" s="109"/>
      <c r="E1592" s="68"/>
      <c r="F1592" s="68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3"/>
      <c r="I1593" s="107"/>
      <c r="J1593" s="351"/>
      <c r="K1593" s="69"/>
      <c r="L1593" s="120"/>
      <c r="M1593" s="116"/>
      <c r="N1593" s="218"/>
    </row>
    <row r="1594" spans="2:14" ht="15" x14ac:dyDescent="0.25">
      <c r="B1594" s="65"/>
      <c r="C1594" s="78"/>
      <c r="D1594" s="109"/>
      <c r="E1594" s="68"/>
      <c r="F1594" s="77"/>
      <c r="G1594" s="311"/>
      <c r="H1594" s="312"/>
      <c r="I1594" s="313"/>
      <c r="J1594" s="352"/>
      <c r="K1594" s="69"/>
      <c r="L1594" s="318"/>
      <c r="M1594" s="116"/>
      <c r="N1594" s="318"/>
    </row>
    <row r="1595" spans="2:14" ht="15" x14ac:dyDescent="0.25">
      <c r="B1595" s="91"/>
      <c r="C1595" s="66"/>
      <c r="D1595" s="109"/>
      <c r="E1595" s="68"/>
      <c r="F1595" s="77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65"/>
      <c r="C1596" s="78"/>
      <c r="D1596" s="109"/>
      <c r="E1596" s="68"/>
      <c r="F1596" s="77"/>
      <c r="G1596" s="311"/>
      <c r="H1596" s="312"/>
      <c r="I1596" s="313"/>
      <c r="J1596" s="352"/>
      <c r="K1596" s="69"/>
      <c r="L1596" s="318"/>
      <c r="M1596" s="116"/>
      <c r="N1596" s="318"/>
    </row>
    <row r="1597" spans="2:14" ht="15" x14ac:dyDescent="0.25">
      <c r="B1597" s="65"/>
      <c r="C1597" s="78"/>
      <c r="D1597" s="109"/>
      <c r="E1597" s="68"/>
      <c r="F1597" s="77"/>
      <c r="G1597" s="311"/>
      <c r="H1597" s="312"/>
      <c r="I1597" s="313"/>
      <c r="J1597" s="352"/>
      <c r="K1597" s="69"/>
      <c r="L1597" s="118"/>
      <c r="M1597" s="116"/>
      <c r="N1597" s="318"/>
    </row>
    <row r="1598" spans="2:14" ht="15" x14ac:dyDescent="0.25">
      <c r="B1598" s="65"/>
      <c r="C1598" s="66"/>
      <c r="D1598" s="109"/>
      <c r="E1598" s="68"/>
      <c r="F1598" s="77"/>
      <c r="G1598" s="104"/>
      <c r="H1598" s="121"/>
      <c r="I1598" s="107"/>
      <c r="J1598" s="351"/>
      <c r="K1598" s="69"/>
      <c r="L1598" s="118"/>
      <c r="M1598" s="116"/>
      <c r="N1598" s="3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318"/>
      <c r="M1599" s="116"/>
      <c r="N1599" s="318"/>
    </row>
    <row r="1600" spans="2:14" ht="15" x14ac:dyDescent="0.25">
      <c r="B1600" s="65"/>
      <c r="C1600" s="78"/>
      <c r="D1600" s="109"/>
      <c r="E1600" s="68"/>
      <c r="F1600" s="77"/>
      <c r="G1600" s="311"/>
      <c r="H1600" s="312"/>
      <c r="I1600" s="313"/>
      <c r="J1600" s="352"/>
      <c r="K1600" s="69"/>
      <c r="L1600" s="318"/>
      <c r="M1600" s="116"/>
      <c r="N1600" s="3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318"/>
      <c r="M1601" s="116"/>
      <c r="N1601" s="318"/>
    </row>
    <row r="1602" spans="2:14" ht="15" x14ac:dyDescent="0.25">
      <c r="B1602" s="65"/>
      <c r="C1602" s="66"/>
      <c r="D1602" s="109"/>
      <c r="E1602" s="68"/>
      <c r="F1602" s="68"/>
      <c r="G1602" s="104"/>
      <c r="H1602" s="121"/>
      <c r="I1602" s="107"/>
      <c r="J1602" s="351"/>
      <c r="K1602" s="69"/>
      <c r="L1602" s="120"/>
      <c r="M1602" s="116"/>
      <c r="N1602" s="2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120"/>
      <c r="M1603" s="116"/>
      <c r="N1603" s="218"/>
    </row>
    <row r="1604" spans="2:14" ht="15" x14ac:dyDescent="0.25">
      <c r="B1604" s="65"/>
      <c r="C1604" s="66"/>
      <c r="D1604" s="109"/>
      <c r="E1604" s="68"/>
      <c r="F1604" s="77"/>
      <c r="G1604" s="104"/>
      <c r="H1604" s="123"/>
      <c r="I1604" s="107"/>
      <c r="J1604" s="351"/>
      <c r="K1604" s="69"/>
      <c r="L1604" s="120"/>
      <c r="M1604" s="116"/>
      <c r="N1604" s="218"/>
    </row>
    <row r="1605" spans="2:14" ht="15" x14ac:dyDescent="0.25">
      <c r="B1605" s="65"/>
      <c r="C1605" s="66"/>
      <c r="D1605" s="109"/>
      <c r="E1605" s="68"/>
      <c r="F1605" s="77"/>
      <c r="G1605" s="104"/>
      <c r="H1605" s="121"/>
      <c r="I1605" s="107"/>
      <c r="J1605" s="351"/>
      <c r="K1605" s="69"/>
      <c r="L1605" s="120"/>
      <c r="M1605" s="116"/>
      <c r="N1605" s="218"/>
    </row>
    <row r="1606" spans="2:14" ht="15" x14ac:dyDescent="0.25">
      <c r="B1606" s="65"/>
      <c r="C1606" s="66"/>
      <c r="D1606" s="109"/>
      <c r="E1606" s="68"/>
      <c r="F1606" s="77"/>
      <c r="G1606" s="104"/>
      <c r="H1606" s="121"/>
      <c r="I1606" s="107"/>
      <c r="J1606" s="351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3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311"/>
      <c r="H1608" s="123"/>
      <c r="I1608" s="107"/>
      <c r="J1608" s="351"/>
      <c r="K1608" s="69"/>
      <c r="L1608" s="120"/>
      <c r="M1608" s="116"/>
      <c r="N1608" s="218"/>
    </row>
    <row r="1609" spans="2:14" ht="15" x14ac:dyDescent="0.25">
      <c r="B1609" s="91"/>
      <c r="C1609" s="66"/>
      <c r="D1609" s="109"/>
      <c r="E1609" s="68"/>
      <c r="F1609" s="77"/>
      <c r="G1609" s="104"/>
      <c r="H1609" s="123"/>
      <c r="I1609" s="107"/>
      <c r="J1609" s="351"/>
      <c r="K1609" s="69"/>
      <c r="L1609" s="120"/>
      <c r="M1609" s="116"/>
      <c r="N1609" s="218"/>
    </row>
    <row r="1610" spans="2:14" ht="15" x14ac:dyDescent="0.25">
      <c r="B1610" s="91"/>
      <c r="C1610" s="66"/>
      <c r="D1610" s="109"/>
      <c r="E1610" s="68"/>
      <c r="F1610" s="77"/>
      <c r="G1610" s="104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91"/>
      <c r="C1611" s="78"/>
      <c r="D1611" s="109"/>
      <c r="E1611" s="68"/>
      <c r="F1611" s="77"/>
      <c r="G1611" s="311"/>
      <c r="H1611" s="312"/>
      <c r="I1611" s="313"/>
      <c r="J1611" s="352"/>
      <c r="K1611" s="69"/>
      <c r="L1611" s="120"/>
      <c r="M1611" s="116"/>
      <c r="N1611" s="218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1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1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1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51"/>
      <c r="K1618" s="69"/>
      <c r="L1618" s="318"/>
      <c r="M1618" s="116"/>
      <c r="N1618" s="318"/>
    </row>
    <row r="1619" spans="2:14" ht="15" x14ac:dyDescent="0.25">
      <c r="B1619" s="91"/>
      <c r="C1619" s="66"/>
      <c r="D1619" s="109"/>
      <c r="E1619" s="68"/>
      <c r="F1619" s="68"/>
      <c r="G1619" s="104"/>
      <c r="H1619" s="121"/>
      <c r="I1619" s="107"/>
      <c r="J1619" s="351"/>
      <c r="K1619" s="69"/>
      <c r="L1619" s="118"/>
      <c r="M1619" s="116"/>
      <c r="N1619" s="318"/>
    </row>
    <row r="1620" spans="2:14" ht="15" x14ac:dyDescent="0.25">
      <c r="B1620" s="65"/>
      <c r="C1620" s="78"/>
      <c r="D1620" s="109"/>
      <c r="E1620" s="68"/>
      <c r="F1620" s="77"/>
      <c r="G1620" s="311"/>
      <c r="H1620" s="312"/>
      <c r="I1620" s="313"/>
      <c r="J1620" s="352"/>
      <c r="K1620" s="69"/>
      <c r="L1620" s="318"/>
      <c r="M1620" s="116"/>
      <c r="N1620" s="318"/>
    </row>
    <row r="1621" spans="2:14" ht="15" x14ac:dyDescent="0.25">
      <c r="B1621" s="65"/>
      <c r="C1621" s="78"/>
      <c r="D1621" s="109"/>
      <c r="E1621" s="68"/>
      <c r="F1621" s="77"/>
      <c r="G1621" s="311"/>
      <c r="H1621" s="312"/>
      <c r="I1621" s="313"/>
      <c r="J1621" s="352"/>
      <c r="K1621" s="69"/>
      <c r="L1621" s="318"/>
      <c r="M1621" s="116"/>
      <c r="N1621" s="318"/>
    </row>
    <row r="1622" spans="2:14" ht="15" x14ac:dyDescent="0.25">
      <c r="B1622" s="65"/>
      <c r="C1622" s="66"/>
      <c r="D1622" s="109"/>
      <c r="E1622" s="68"/>
      <c r="F1622" s="77"/>
      <c r="G1622" s="104"/>
      <c r="H1622" s="121"/>
      <c r="I1622" s="107"/>
      <c r="J1622" s="351"/>
      <c r="K1622" s="69"/>
      <c r="L1622" s="318"/>
      <c r="M1622" s="116"/>
      <c r="N1622" s="318"/>
    </row>
    <row r="1623" spans="2:14" ht="15" x14ac:dyDescent="0.25">
      <c r="B1623" s="65"/>
      <c r="C1623" s="66"/>
      <c r="D1623" s="109"/>
      <c r="E1623" s="68"/>
      <c r="F1623" s="77"/>
      <c r="G1623" s="104"/>
      <c r="H1623" s="123"/>
      <c r="I1623" s="107"/>
      <c r="J1623" s="351"/>
      <c r="K1623" s="69"/>
      <c r="L1623" s="118"/>
      <c r="M1623" s="116"/>
      <c r="N1623" s="318"/>
    </row>
    <row r="1624" spans="2:14" ht="15" x14ac:dyDescent="0.25">
      <c r="B1624" s="65"/>
      <c r="C1624" s="66"/>
      <c r="D1624" s="109"/>
      <c r="E1624" s="68"/>
      <c r="F1624" s="77"/>
      <c r="G1624" s="104"/>
      <c r="H1624" s="123"/>
      <c r="I1624" s="107"/>
      <c r="J1624" s="351"/>
      <c r="K1624" s="69"/>
      <c r="L1624" s="118"/>
      <c r="M1624" s="116"/>
      <c r="N1624" s="318"/>
    </row>
    <row r="1625" spans="2:14" ht="15" x14ac:dyDescent="0.25">
      <c r="B1625" s="65"/>
      <c r="C1625" s="78"/>
      <c r="D1625" s="109"/>
      <c r="E1625" s="68"/>
      <c r="F1625" s="77"/>
      <c r="G1625" s="311"/>
      <c r="H1625" s="312"/>
      <c r="I1625" s="313"/>
      <c r="J1625" s="352"/>
      <c r="K1625" s="69"/>
      <c r="L1625" s="318"/>
      <c r="M1625" s="116"/>
      <c r="N1625" s="318"/>
    </row>
    <row r="1626" spans="2:14" ht="15" x14ac:dyDescent="0.25">
      <c r="B1626" s="65"/>
      <c r="C1626" s="78"/>
      <c r="D1626" s="109"/>
      <c r="E1626" s="68"/>
      <c r="F1626" s="77"/>
      <c r="G1626" s="311"/>
      <c r="H1626" s="312"/>
      <c r="I1626" s="313"/>
      <c r="J1626" s="352"/>
      <c r="K1626" s="69"/>
      <c r="L1626" s="318"/>
      <c r="M1626" s="116"/>
      <c r="N1626" s="319"/>
    </row>
    <row r="1627" spans="2:14" ht="15" x14ac:dyDescent="0.25">
      <c r="B1627" s="91"/>
      <c r="C1627" s="66"/>
      <c r="D1627" s="109"/>
      <c r="E1627" s="68"/>
      <c r="F1627" s="68"/>
      <c r="G1627" s="104"/>
      <c r="H1627" s="123"/>
      <c r="I1627" s="107"/>
      <c r="J1627" s="351"/>
      <c r="K1627" s="69"/>
      <c r="L1627" s="120"/>
      <c r="M1627" s="116"/>
      <c r="N1627" s="319"/>
    </row>
    <row r="1628" spans="2:14" ht="15" x14ac:dyDescent="0.25">
      <c r="B1628" s="91"/>
      <c r="C1628" s="66"/>
      <c r="D1628" s="109"/>
      <c r="E1628" s="68"/>
      <c r="F1628" s="77"/>
      <c r="G1628" s="104"/>
      <c r="H1628" s="123"/>
      <c r="I1628" s="107"/>
      <c r="J1628" s="351"/>
      <c r="K1628" s="69"/>
      <c r="L1628" s="120"/>
      <c r="M1628" s="116"/>
      <c r="N1628" s="319"/>
    </row>
    <row r="1629" spans="2:14" ht="15" x14ac:dyDescent="0.25">
      <c r="B1629" s="91"/>
      <c r="C1629" s="78"/>
      <c r="D1629" s="109"/>
      <c r="E1629" s="68"/>
      <c r="F1629" s="77"/>
      <c r="G1629" s="311"/>
      <c r="H1629" s="123"/>
      <c r="I1629" s="107"/>
      <c r="J1629" s="351"/>
      <c r="K1629" s="69"/>
      <c r="L1629" s="120"/>
      <c r="M1629" s="116"/>
      <c r="N1629" s="319"/>
    </row>
    <row r="1630" spans="2:14" ht="15" x14ac:dyDescent="0.25">
      <c r="B1630" s="65"/>
      <c r="C1630" s="78"/>
      <c r="D1630" s="109"/>
      <c r="E1630" s="68"/>
      <c r="F1630" s="77"/>
      <c r="G1630" s="311"/>
      <c r="H1630" s="312"/>
      <c r="I1630" s="313"/>
      <c r="J1630" s="352"/>
      <c r="K1630" s="69"/>
      <c r="L1630" s="318"/>
      <c r="M1630" s="116"/>
      <c r="N1630" s="319"/>
    </row>
    <row r="1631" spans="2:14" ht="15" x14ac:dyDescent="0.25">
      <c r="B1631" s="65"/>
      <c r="C1631" s="78"/>
      <c r="D1631" s="109"/>
      <c r="E1631" s="68"/>
      <c r="F1631" s="77"/>
      <c r="G1631" s="311"/>
      <c r="H1631" s="312"/>
      <c r="I1631" s="313"/>
      <c r="J1631" s="352"/>
      <c r="K1631" s="69"/>
      <c r="L1631" s="318"/>
      <c r="M1631" s="116"/>
      <c r="N1631" s="319"/>
    </row>
    <row r="1632" spans="2:14" ht="15" x14ac:dyDescent="0.25">
      <c r="B1632" s="65"/>
      <c r="C1632" s="78"/>
      <c r="D1632" s="109"/>
      <c r="E1632" s="68"/>
      <c r="F1632" s="77"/>
      <c r="G1632" s="311"/>
      <c r="H1632" s="312"/>
      <c r="I1632" s="313"/>
      <c r="J1632" s="352"/>
      <c r="K1632" s="69"/>
      <c r="L1632" s="318"/>
      <c r="M1632" s="116"/>
      <c r="N1632" s="319"/>
    </row>
    <row r="1633" spans="2:14" ht="15" x14ac:dyDescent="0.25">
      <c r="B1633" s="91"/>
      <c r="C1633" s="66"/>
      <c r="D1633" s="109"/>
      <c r="E1633" s="68"/>
      <c r="F1633" s="77"/>
      <c r="G1633" s="104"/>
      <c r="H1633" s="123"/>
      <c r="I1633" s="107"/>
      <c r="J1633" s="351"/>
      <c r="K1633" s="69"/>
      <c r="L1633" s="120"/>
      <c r="M1633" s="116"/>
      <c r="N1633" s="219"/>
    </row>
    <row r="1634" spans="2:14" ht="15" x14ac:dyDescent="0.25">
      <c r="B1634" s="91"/>
      <c r="C1634" s="66"/>
      <c r="D1634" s="109"/>
      <c r="E1634" s="68"/>
      <c r="F1634" s="77"/>
      <c r="G1634" s="311"/>
      <c r="H1634" s="123"/>
      <c r="I1634" s="107"/>
      <c r="J1634" s="351"/>
      <c r="K1634" s="69"/>
      <c r="L1634" s="120"/>
      <c r="M1634" s="116"/>
      <c r="N1634" s="219"/>
    </row>
    <row r="1635" spans="2:14" ht="15" x14ac:dyDescent="0.25">
      <c r="B1635" s="91"/>
      <c r="C1635" s="66"/>
      <c r="D1635" s="109"/>
      <c r="E1635" s="68"/>
      <c r="F1635" s="77"/>
      <c r="G1635" s="104"/>
      <c r="H1635" s="123"/>
      <c r="I1635" s="107"/>
      <c r="J1635" s="351"/>
      <c r="K1635" s="69"/>
      <c r="L1635" s="120"/>
      <c r="M1635" s="116"/>
      <c r="N1635" s="219"/>
    </row>
    <row r="1636" spans="2:14" ht="15" x14ac:dyDescent="0.25">
      <c r="B1636" s="91"/>
      <c r="C1636" s="66"/>
      <c r="D1636" s="109"/>
      <c r="E1636" s="68"/>
      <c r="F1636" s="77"/>
      <c r="G1636" s="104"/>
      <c r="H1636" s="123"/>
      <c r="I1636" s="107"/>
      <c r="J1636" s="351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1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37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37"/>
      <c r="C1643" s="66"/>
      <c r="D1643" s="109"/>
      <c r="E1643" s="68"/>
      <c r="F1643" s="77"/>
      <c r="G1643" s="311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37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78"/>
      <c r="D1645" s="109"/>
      <c r="E1645" s="68"/>
      <c r="F1645" s="77"/>
      <c r="G1645" s="311"/>
      <c r="H1645" s="312"/>
      <c r="I1645" s="313"/>
      <c r="J1645" s="352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68"/>
      <c r="G1647" s="311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51"/>
      <c r="K1649" s="69"/>
      <c r="L1649" s="318"/>
      <c r="M1649" s="116"/>
      <c r="N1649" s="319"/>
    </row>
    <row r="1650" spans="2:14" ht="15" x14ac:dyDescent="0.25">
      <c r="B1650" s="37"/>
      <c r="C1650" s="78"/>
      <c r="D1650" s="109"/>
      <c r="E1650" s="68"/>
      <c r="F1650" s="77"/>
      <c r="G1650" s="311"/>
      <c r="H1650" s="123"/>
      <c r="I1650" s="107"/>
      <c r="J1650" s="351"/>
      <c r="K1650" s="69"/>
      <c r="L1650" s="118"/>
      <c r="M1650" s="116"/>
      <c r="N1650" s="319"/>
    </row>
    <row r="1651" spans="2:14" ht="15" x14ac:dyDescent="0.25">
      <c r="B1651" s="37"/>
      <c r="C1651" s="78"/>
      <c r="D1651" s="109"/>
      <c r="E1651" s="68"/>
      <c r="F1651" s="77"/>
      <c r="G1651" s="311"/>
      <c r="H1651" s="312"/>
      <c r="I1651" s="313"/>
      <c r="J1651" s="352"/>
      <c r="K1651" s="69"/>
      <c r="L1651" s="318"/>
      <c r="M1651" s="116"/>
      <c r="N1651" s="319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1"/>
      <c r="K1652" s="69"/>
      <c r="L1652" s="118"/>
      <c r="M1652" s="116"/>
      <c r="N1652" s="319"/>
    </row>
    <row r="1653" spans="2:14" ht="15" x14ac:dyDescent="0.25">
      <c r="B1653" s="65"/>
      <c r="C1653" s="78"/>
      <c r="D1653" s="109"/>
      <c r="E1653" s="68"/>
      <c r="F1653" s="77"/>
      <c r="G1653" s="311"/>
      <c r="H1653" s="312"/>
      <c r="I1653" s="313"/>
      <c r="J1653" s="352"/>
      <c r="K1653" s="69"/>
      <c r="L1653" s="318"/>
      <c r="M1653" s="116"/>
      <c r="N1653" s="319"/>
    </row>
    <row r="1654" spans="2:14" ht="15" x14ac:dyDescent="0.25">
      <c r="B1654" s="65"/>
      <c r="C1654" s="78"/>
      <c r="D1654" s="109"/>
      <c r="E1654" s="68"/>
      <c r="F1654" s="77"/>
      <c r="G1654" s="311"/>
      <c r="H1654" s="312"/>
      <c r="I1654" s="313"/>
      <c r="J1654" s="352"/>
      <c r="K1654" s="69"/>
      <c r="L1654" s="318"/>
      <c r="M1654" s="116"/>
      <c r="N1654" s="319"/>
    </row>
    <row r="1655" spans="2:14" ht="15" x14ac:dyDescent="0.25">
      <c r="B1655" s="65"/>
      <c r="C1655" s="78"/>
      <c r="D1655" s="109"/>
      <c r="E1655" s="68"/>
      <c r="F1655" s="77"/>
      <c r="G1655" s="311"/>
      <c r="H1655" s="312"/>
      <c r="I1655" s="313"/>
      <c r="J1655" s="352"/>
      <c r="K1655" s="69"/>
      <c r="L1655" s="318"/>
      <c r="M1655" s="116"/>
      <c r="N1655" s="319"/>
    </row>
    <row r="1656" spans="2:14" ht="15" x14ac:dyDescent="0.25">
      <c r="B1656" s="91"/>
      <c r="C1656" s="66"/>
      <c r="D1656" s="109"/>
      <c r="E1656" s="68"/>
      <c r="F1656" s="77"/>
      <c r="G1656" s="104"/>
      <c r="H1656" s="123"/>
      <c r="I1656" s="107"/>
      <c r="J1656" s="351"/>
      <c r="K1656" s="69"/>
      <c r="L1656" s="120"/>
      <c r="M1656" s="116"/>
      <c r="N1656" s="2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91"/>
      <c r="C1658" s="66"/>
      <c r="D1658" s="109"/>
      <c r="E1658" s="68"/>
      <c r="F1658" s="77"/>
      <c r="G1658" s="104"/>
      <c r="H1658" s="121"/>
      <c r="I1658" s="107"/>
      <c r="J1658" s="351"/>
      <c r="K1658" s="69"/>
      <c r="L1658" s="120"/>
      <c r="M1658" s="116"/>
      <c r="N1658" s="219"/>
    </row>
    <row r="1659" spans="2:14" ht="15" x14ac:dyDescent="0.25">
      <c r="B1659" s="37"/>
      <c r="C1659" s="66"/>
      <c r="D1659" s="109"/>
      <c r="E1659" s="68"/>
      <c r="F1659" s="77"/>
      <c r="G1659" s="104"/>
      <c r="H1659" s="121"/>
      <c r="I1659" s="107"/>
      <c r="J1659" s="351"/>
      <c r="K1659" s="69"/>
      <c r="L1659" s="120"/>
      <c r="M1659" s="116"/>
      <c r="N1659" s="219"/>
    </row>
    <row r="1660" spans="2:14" ht="15" x14ac:dyDescent="0.25">
      <c r="B1660" s="37"/>
      <c r="C1660" s="66"/>
      <c r="D1660" s="109"/>
      <c r="E1660" s="68"/>
      <c r="F1660" s="68"/>
      <c r="G1660" s="104"/>
      <c r="H1660" s="121"/>
      <c r="I1660" s="107"/>
      <c r="J1660" s="351"/>
      <c r="K1660" s="69"/>
      <c r="L1660" s="318"/>
      <c r="M1660" s="116"/>
      <c r="N1660" s="319"/>
    </row>
    <row r="1661" spans="2:14" ht="15" x14ac:dyDescent="0.25">
      <c r="B1661" s="65"/>
      <c r="C1661" s="78"/>
      <c r="D1661" s="109"/>
      <c r="E1661" s="68"/>
      <c r="F1661" s="77"/>
      <c r="G1661" s="311"/>
      <c r="H1661" s="312"/>
      <c r="I1661" s="313"/>
      <c r="J1661" s="352"/>
      <c r="K1661" s="69"/>
      <c r="L1661" s="318"/>
      <c r="M1661" s="116"/>
      <c r="N1661" s="319"/>
    </row>
    <row r="1662" spans="2:14" ht="15" x14ac:dyDescent="0.25">
      <c r="B1662" s="65"/>
      <c r="C1662" s="78"/>
      <c r="D1662" s="109"/>
      <c r="E1662" s="68"/>
      <c r="F1662" s="77"/>
      <c r="G1662" s="311"/>
      <c r="H1662" s="312"/>
      <c r="I1662" s="313"/>
      <c r="J1662" s="352"/>
      <c r="K1662" s="69"/>
      <c r="L1662" s="318"/>
      <c r="M1662" s="116"/>
      <c r="N1662" s="319"/>
    </row>
    <row r="1663" spans="2:14" ht="15" x14ac:dyDescent="0.25">
      <c r="B1663" s="65"/>
      <c r="C1663" s="78"/>
      <c r="D1663" s="109"/>
      <c r="E1663" s="68"/>
      <c r="F1663" s="77"/>
      <c r="G1663" s="311"/>
      <c r="H1663" s="312"/>
      <c r="I1663" s="313"/>
      <c r="J1663" s="352"/>
      <c r="K1663" s="69"/>
      <c r="L1663" s="318"/>
      <c r="M1663" s="116"/>
      <c r="N1663" s="319"/>
    </row>
    <row r="1664" spans="2:14" ht="15" x14ac:dyDescent="0.25">
      <c r="B1664" s="65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37"/>
      <c r="C1667" s="66"/>
      <c r="D1667" s="109"/>
      <c r="E1667" s="68"/>
      <c r="F1667" s="77"/>
      <c r="G1667" s="104"/>
      <c r="H1667" s="121"/>
      <c r="I1667" s="107"/>
      <c r="J1667" s="351"/>
      <c r="K1667" s="79"/>
      <c r="L1667" s="120"/>
      <c r="M1667" s="115"/>
      <c r="N1667" s="219"/>
    </row>
    <row r="1668" spans="2:14" ht="15" x14ac:dyDescent="0.25">
      <c r="B1668" s="37"/>
      <c r="C1668" s="66"/>
      <c r="D1668" s="109"/>
      <c r="E1668" s="68"/>
      <c r="F1668" s="77"/>
      <c r="G1668" s="104"/>
      <c r="H1668" s="121"/>
      <c r="I1668" s="107"/>
      <c r="J1668" s="351"/>
      <c r="K1668" s="69"/>
      <c r="L1668" s="118"/>
      <c r="M1668" s="116"/>
      <c r="N1668" s="320"/>
    </row>
    <row r="1669" spans="2:14" ht="15" x14ac:dyDescent="0.25">
      <c r="B1669" s="37"/>
      <c r="C1669" s="66"/>
      <c r="D1669" s="109"/>
      <c r="E1669" s="68"/>
      <c r="F1669" s="77"/>
      <c r="G1669" s="104"/>
      <c r="H1669" s="121"/>
      <c r="I1669" s="107"/>
      <c r="J1669" s="351"/>
      <c r="K1669" s="69"/>
      <c r="L1669" s="118"/>
      <c r="M1669" s="116"/>
      <c r="N1669" s="320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1"/>
      <c r="K1670" s="114"/>
      <c r="L1670" s="118"/>
      <c r="M1670" s="117"/>
      <c r="N1670" s="320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69"/>
      <c r="L1671" s="118"/>
      <c r="M1671" s="116"/>
      <c r="N1671" s="320"/>
    </row>
    <row r="1672" spans="2:14" ht="15" x14ac:dyDescent="0.25">
      <c r="B1672" s="91"/>
      <c r="C1672" s="66"/>
      <c r="D1672" s="109"/>
      <c r="E1672" s="68"/>
      <c r="F1672" s="77"/>
      <c r="G1672" s="104"/>
      <c r="H1672" s="121"/>
      <c r="I1672" s="107"/>
      <c r="J1672" s="351"/>
      <c r="K1672" s="69"/>
      <c r="L1672" s="118"/>
      <c r="M1672" s="116"/>
      <c r="N1672" s="319"/>
    </row>
    <row r="1673" spans="2:14" ht="15" x14ac:dyDescent="0.25">
      <c r="B1673" s="91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ht="15" x14ac:dyDescent="0.25">
      <c r="B1674" s="91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19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19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19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318"/>
      <c r="M1678" s="116"/>
      <c r="N1678" s="319"/>
    </row>
    <row r="1679" spans="2:14" ht="15" x14ac:dyDescent="0.25">
      <c r="B1679" s="91"/>
      <c r="C1679" s="78"/>
      <c r="D1679" s="109"/>
      <c r="E1679" s="68"/>
      <c r="F1679" s="77"/>
      <c r="G1679" s="311"/>
      <c r="H1679" s="312"/>
      <c r="I1679" s="313"/>
      <c r="J1679" s="352"/>
      <c r="K1679" s="69"/>
      <c r="L1679" s="318"/>
      <c r="M1679" s="116"/>
      <c r="N1679" s="319"/>
    </row>
    <row r="1680" spans="2:14" ht="15" x14ac:dyDescent="0.25">
      <c r="B1680" s="91"/>
      <c r="C1680" s="78"/>
      <c r="D1680" s="109"/>
      <c r="E1680" s="68"/>
      <c r="F1680" s="77"/>
      <c r="G1680" s="311"/>
      <c r="H1680" s="312"/>
      <c r="I1680" s="313"/>
      <c r="J1680" s="352"/>
      <c r="K1680" s="69"/>
      <c r="L1680" s="318"/>
      <c r="M1680" s="116"/>
      <c r="N1680" s="319"/>
    </row>
    <row r="1681" spans="2:14" ht="15" x14ac:dyDescent="0.25">
      <c r="B1681" s="91"/>
      <c r="C1681" s="66"/>
      <c r="D1681" s="109"/>
      <c r="E1681" s="68"/>
      <c r="F1681" s="68"/>
      <c r="G1681" s="104"/>
      <c r="H1681" s="121"/>
      <c r="I1681" s="107"/>
      <c r="J1681" s="351"/>
      <c r="K1681" s="69"/>
      <c r="L1681" s="118"/>
      <c r="M1681" s="116"/>
      <c r="N1681" s="320"/>
    </row>
    <row r="1682" spans="2:14" ht="15" x14ac:dyDescent="0.25">
      <c r="B1682" s="91"/>
      <c r="C1682" s="66"/>
      <c r="D1682" s="109"/>
      <c r="E1682" s="68"/>
      <c r="F1682" s="77"/>
      <c r="G1682" s="104"/>
      <c r="H1682" s="121"/>
      <c r="I1682" s="107"/>
      <c r="J1682" s="351"/>
      <c r="K1682" s="69"/>
      <c r="L1682" s="118"/>
      <c r="M1682" s="116"/>
      <c r="N1682" s="319"/>
    </row>
    <row r="1683" spans="2:14" ht="15" x14ac:dyDescent="0.25">
      <c r="B1683" s="91"/>
      <c r="C1683" s="66"/>
      <c r="D1683" s="109"/>
      <c r="E1683" s="68"/>
      <c r="F1683" s="77"/>
      <c r="G1683" s="104"/>
      <c r="H1683" s="121"/>
      <c r="I1683" s="107"/>
      <c r="J1683" s="351"/>
      <c r="K1683" s="69"/>
      <c r="L1683" s="118"/>
      <c r="M1683" s="116"/>
      <c r="N1683" s="319"/>
    </row>
    <row r="1684" spans="2:14" ht="15" x14ac:dyDescent="0.25">
      <c r="B1684" s="65"/>
      <c r="C1684" s="78"/>
      <c r="D1684" s="109"/>
      <c r="E1684" s="68"/>
      <c r="F1684" s="77"/>
      <c r="G1684" s="311"/>
      <c r="H1684" s="312"/>
      <c r="I1684" s="313"/>
      <c r="J1684" s="352"/>
      <c r="K1684" s="69"/>
      <c r="L1684" s="318"/>
      <c r="M1684" s="116"/>
      <c r="N1684" s="319"/>
    </row>
    <row r="1685" spans="2:14" ht="15" x14ac:dyDescent="0.25">
      <c r="B1685" s="65"/>
      <c r="C1685" s="78"/>
      <c r="D1685" s="109"/>
      <c r="E1685" s="68"/>
      <c r="F1685" s="77"/>
      <c r="G1685" s="311"/>
      <c r="H1685" s="312"/>
      <c r="I1685" s="313"/>
      <c r="J1685" s="352"/>
      <c r="K1685" s="69"/>
      <c r="L1685" s="318"/>
      <c r="M1685" s="116"/>
      <c r="N1685" s="319"/>
    </row>
    <row r="1686" spans="2:14" ht="15" x14ac:dyDescent="0.25">
      <c r="B1686" s="65"/>
      <c r="C1686" s="78"/>
      <c r="D1686" s="109"/>
      <c r="E1686" s="68"/>
      <c r="F1686" s="77"/>
      <c r="G1686" s="311"/>
      <c r="H1686" s="312"/>
      <c r="I1686" s="313"/>
      <c r="J1686" s="352"/>
      <c r="K1686" s="69"/>
      <c r="L1686" s="216"/>
      <c r="M1686" s="116"/>
      <c r="N1686" s="319"/>
    </row>
    <row r="1687" spans="2:14" ht="15" x14ac:dyDescent="0.25">
      <c r="B1687" s="65"/>
      <c r="C1687" s="78"/>
      <c r="D1687" s="109"/>
      <c r="E1687" s="68"/>
      <c r="F1687" s="77"/>
      <c r="G1687" s="311"/>
      <c r="H1687" s="312"/>
      <c r="I1687" s="313"/>
      <c r="J1687" s="352"/>
      <c r="K1687" s="69"/>
      <c r="L1687" s="216"/>
      <c r="M1687" s="82"/>
      <c r="N1687" s="319"/>
    </row>
    <row r="1688" spans="2:14" ht="15" x14ac:dyDescent="0.25">
      <c r="B1688" s="91"/>
      <c r="C1688" s="66"/>
      <c r="D1688" s="100"/>
      <c r="E1688" s="101"/>
      <c r="F1688" s="77"/>
      <c r="G1688" s="104"/>
      <c r="H1688" s="106"/>
      <c r="I1688" s="107"/>
      <c r="J1688" s="351"/>
      <c r="K1688" s="69"/>
      <c r="L1688" s="84"/>
      <c r="M1688" s="82"/>
      <c r="N1688" s="319"/>
    </row>
    <row r="1689" spans="2:14" ht="15" x14ac:dyDescent="0.25">
      <c r="B1689" s="91"/>
      <c r="C1689" s="66"/>
      <c r="D1689" s="100"/>
      <c r="E1689" s="101"/>
      <c r="F1689" s="77"/>
      <c r="G1689" s="104"/>
      <c r="H1689" s="106"/>
      <c r="I1689" s="107"/>
      <c r="J1689" s="351"/>
      <c r="K1689" s="69"/>
      <c r="L1689" s="84"/>
      <c r="M1689" s="82"/>
      <c r="N1689" s="319"/>
    </row>
    <row r="1690" spans="2:14" ht="15" x14ac:dyDescent="0.25">
      <c r="B1690" s="91"/>
      <c r="C1690" s="66"/>
      <c r="D1690" s="100"/>
      <c r="E1690" s="101"/>
      <c r="F1690" s="77"/>
      <c r="G1690" s="104"/>
      <c r="H1690" s="106"/>
      <c r="I1690" s="107"/>
      <c r="J1690" s="351"/>
      <c r="K1690" s="69"/>
      <c r="L1690" s="84"/>
      <c r="M1690" s="82"/>
      <c r="N1690" s="319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1"/>
      <c r="K1691" s="69"/>
      <c r="L1691" s="84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78"/>
      <c r="D1693" s="100"/>
      <c r="E1693" s="101"/>
      <c r="F1693" s="77"/>
      <c r="G1693" s="311"/>
      <c r="H1693" s="321"/>
      <c r="I1693" s="107"/>
      <c r="J1693" s="351"/>
      <c r="K1693" s="69"/>
      <c r="L1693" s="84"/>
      <c r="M1693" s="82"/>
      <c r="N1693" s="319"/>
    </row>
    <row r="1694" spans="2:14" ht="15" x14ac:dyDescent="0.25">
      <c r="B1694" s="65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65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65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65"/>
      <c r="C1697" s="78"/>
      <c r="D1697" s="100"/>
      <c r="E1697" s="101"/>
      <c r="F1697" s="77"/>
      <c r="G1697" s="311"/>
      <c r="H1697" s="321"/>
      <c r="I1697" s="313"/>
      <c r="J1697" s="352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78"/>
      <c r="D1700" s="100"/>
      <c r="E1700" s="101"/>
      <c r="F1700" s="77"/>
      <c r="G1700" s="311"/>
      <c r="H1700" s="321"/>
      <c r="I1700" s="313"/>
      <c r="J1700" s="352"/>
      <c r="K1700" s="69"/>
      <c r="L1700" s="84"/>
      <c r="M1700" s="82"/>
      <c r="N1700" s="319"/>
    </row>
    <row r="1701" spans="2:14" ht="15" x14ac:dyDescent="0.25">
      <c r="B1701" s="65"/>
      <c r="C1701" s="66"/>
      <c r="D1701" s="109"/>
      <c r="E1701" s="101"/>
      <c r="F1701" s="77"/>
      <c r="G1701" s="104"/>
      <c r="H1701" s="106"/>
      <c r="I1701" s="107"/>
      <c r="J1701" s="351"/>
      <c r="K1701" s="69"/>
      <c r="L1701" s="322"/>
      <c r="M1701" s="82"/>
      <c r="N1701" s="319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19"/>
    </row>
    <row r="1703" spans="2:14" ht="15" x14ac:dyDescent="0.25">
      <c r="B1703" s="65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322"/>
      <c r="M1703" s="82"/>
      <c r="N1703" s="319"/>
    </row>
    <row r="1704" spans="2:14" ht="15" x14ac:dyDescent="0.25">
      <c r="B1704" s="65"/>
      <c r="C1704" s="78"/>
      <c r="D1704" s="100"/>
      <c r="E1704" s="101"/>
      <c r="F1704" s="77"/>
      <c r="G1704" s="311"/>
      <c r="H1704" s="321"/>
      <c r="I1704" s="313"/>
      <c r="J1704" s="352"/>
      <c r="K1704" s="69"/>
      <c r="L1704" s="322"/>
      <c r="M1704" s="82"/>
      <c r="N1704" s="319"/>
    </row>
    <row r="1705" spans="2:14" ht="15" x14ac:dyDescent="0.25">
      <c r="B1705" s="65"/>
      <c r="C1705" s="78"/>
      <c r="D1705" s="100"/>
      <c r="E1705" s="101"/>
      <c r="F1705" s="77"/>
      <c r="G1705" s="311"/>
      <c r="H1705" s="321"/>
      <c r="I1705" s="313"/>
      <c r="J1705" s="352"/>
      <c r="K1705" s="69"/>
      <c r="L1705" s="322"/>
      <c r="M1705" s="82"/>
      <c r="N1705" s="323"/>
    </row>
    <row r="1706" spans="2:14" ht="15" x14ac:dyDescent="0.25">
      <c r="B1706" s="65"/>
      <c r="C1706" s="78"/>
      <c r="D1706" s="100"/>
      <c r="E1706" s="101"/>
      <c r="F1706" s="77"/>
      <c r="G1706" s="311"/>
      <c r="H1706" s="321"/>
      <c r="I1706" s="313"/>
      <c r="J1706" s="352"/>
      <c r="K1706" s="69"/>
      <c r="L1706" s="322"/>
      <c r="M1706" s="82"/>
      <c r="N1706" s="323"/>
    </row>
    <row r="1707" spans="2:14" ht="15" x14ac:dyDescent="0.25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23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107"/>
      <c r="J1708" s="351"/>
      <c r="K1708" s="69"/>
      <c r="L1708" s="84"/>
      <c r="M1708" s="82"/>
      <c r="N1708" s="323"/>
    </row>
    <row r="1709" spans="2:14" ht="15" x14ac:dyDescent="0.25">
      <c r="B1709" s="91"/>
      <c r="C1709" s="66"/>
      <c r="D1709" s="100"/>
      <c r="E1709" s="101"/>
      <c r="F1709" s="77"/>
      <c r="G1709" s="104"/>
      <c r="H1709" s="106"/>
      <c r="I1709" s="107"/>
      <c r="J1709" s="351"/>
      <c r="K1709" s="69"/>
      <c r="L1709" s="84"/>
      <c r="M1709" s="82"/>
      <c r="N1709" s="323"/>
    </row>
    <row r="1710" spans="2:14" ht="15" x14ac:dyDescent="0.25">
      <c r="B1710" s="91"/>
      <c r="C1710" s="66"/>
      <c r="D1710" s="100"/>
      <c r="E1710" s="101"/>
      <c r="F1710" s="77"/>
      <c r="G1710" s="104"/>
      <c r="H1710" s="106"/>
      <c r="I1710" s="107"/>
      <c r="J1710" s="351"/>
      <c r="K1710" s="69"/>
      <c r="L1710" s="84"/>
      <c r="M1710" s="82"/>
      <c r="N1710" s="323"/>
    </row>
    <row r="1711" spans="2:14" ht="15" x14ac:dyDescent="0.25">
      <c r="B1711" s="91"/>
      <c r="C1711" s="66"/>
      <c r="D1711" s="100"/>
      <c r="E1711" s="101"/>
      <c r="F1711" s="77"/>
      <c r="G1711" s="104"/>
      <c r="H1711" s="106"/>
      <c r="I1711" s="107"/>
      <c r="J1711" s="351"/>
      <c r="K1711" s="69"/>
      <c r="L1711" s="84"/>
      <c r="M1711" s="82"/>
      <c r="N1711" s="323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68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78"/>
      <c r="D1715" s="100"/>
      <c r="E1715" s="101"/>
      <c r="F1715" s="77"/>
      <c r="G1715" s="311"/>
      <c r="H1715" s="321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51"/>
      <c r="K1717" s="70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78"/>
      <c r="D1719" s="100"/>
      <c r="E1719" s="101"/>
      <c r="F1719" s="68"/>
      <c r="G1719" s="311"/>
      <c r="H1719" s="321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69"/>
      <c r="L1720" s="322"/>
      <c r="M1720" s="82"/>
      <c r="N1720" s="323"/>
    </row>
    <row r="1721" spans="2:14" ht="15" x14ac:dyDescent="0.25">
      <c r="B1721" s="65"/>
      <c r="C1721" s="78"/>
      <c r="D1721" s="100"/>
      <c r="E1721" s="101"/>
      <c r="F1721" s="77"/>
      <c r="G1721" s="311"/>
      <c r="H1721" s="321"/>
      <c r="I1721" s="313"/>
      <c r="J1721" s="352"/>
      <c r="K1721" s="69"/>
      <c r="L1721" s="322"/>
      <c r="M1721" s="82"/>
      <c r="N1721" s="323"/>
    </row>
    <row r="1722" spans="2:14" ht="15" x14ac:dyDescent="0.25">
      <c r="B1722" s="65"/>
      <c r="C1722" s="66"/>
      <c r="D1722" s="100"/>
      <c r="E1722" s="101"/>
      <c r="F1722" s="68"/>
      <c r="G1722" s="104"/>
      <c r="H1722" s="106"/>
      <c r="I1722" s="107"/>
      <c r="J1722" s="351"/>
      <c r="K1722" s="69"/>
      <c r="L1722" s="84"/>
      <c r="M1722" s="82"/>
      <c r="N1722" s="323"/>
    </row>
    <row r="1723" spans="2:14" ht="15" x14ac:dyDescent="0.25">
      <c r="B1723" s="65"/>
      <c r="C1723" s="66"/>
      <c r="D1723" s="100"/>
      <c r="E1723" s="101"/>
      <c r="F1723" s="77"/>
      <c r="G1723" s="104"/>
      <c r="H1723" s="106"/>
      <c r="I1723" s="107"/>
      <c r="J1723" s="351"/>
      <c r="K1723" s="69"/>
      <c r="L1723" s="84"/>
      <c r="M1723" s="82"/>
      <c r="N1723" s="323"/>
    </row>
    <row r="1724" spans="2:14" ht="15" x14ac:dyDescent="0.25">
      <c r="B1724" s="65"/>
      <c r="C1724" s="66"/>
      <c r="D1724" s="100"/>
      <c r="E1724" s="101"/>
      <c r="F1724" s="77"/>
      <c r="G1724" s="104"/>
      <c r="H1724" s="106"/>
      <c r="I1724" s="107"/>
      <c r="J1724" s="351"/>
      <c r="K1724" s="69"/>
      <c r="L1724" s="322"/>
      <c r="M1724" s="82"/>
      <c r="N1724" s="323"/>
    </row>
    <row r="1725" spans="2:14" ht="15" x14ac:dyDescent="0.25">
      <c r="B1725" s="65"/>
      <c r="C1725" s="66"/>
      <c r="D1725" s="100"/>
      <c r="E1725" s="101"/>
      <c r="F1725" s="77"/>
      <c r="G1725" s="104"/>
      <c r="H1725" s="106"/>
      <c r="I1725" s="107"/>
      <c r="J1725" s="351"/>
      <c r="K1725" s="69"/>
      <c r="L1725" s="322"/>
      <c r="M1725" s="82"/>
      <c r="N1725" s="323"/>
    </row>
    <row r="1726" spans="2:14" x14ac:dyDescent="0.2">
      <c r="B1726" s="65"/>
      <c r="C1726" s="78"/>
      <c r="D1726" s="100"/>
      <c r="E1726" s="101"/>
      <c r="F1726" s="77"/>
      <c r="G1726" s="311"/>
      <c r="H1726" s="321"/>
      <c r="I1726" s="324"/>
      <c r="J1726" s="354"/>
      <c r="K1726" s="69"/>
      <c r="L1726" s="84"/>
      <c r="M1726" s="82"/>
      <c r="N1726" s="323"/>
    </row>
    <row r="1727" spans="2:14" x14ac:dyDescent="0.2">
      <c r="B1727" s="65"/>
      <c r="C1727" s="78"/>
      <c r="D1727" s="100"/>
      <c r="E1727" s="101"/>
      <c r="F1727" s="77"/>
      <c r="G1727" s="311"/>
      <c r="H1727" s="321"/>
      <c r="I1727" s="324"/>
      <c r="J1727" s="354"/>
      <c r="K1727" s="69"/>
      <c r="L1727" s="84"/>
      <c r="M1727" s="82"/>
      <c r="N1727" s="323"/>
    </row>
    <row r="1728" spans="2:14" ht="15" x14ac:dyDescent="0.25">
      <c r="B1728" s="65"/>
      <c r="C1728" s="78"/>
      <c r="D1728" s="100"/>
      <c r="E1728" s="101"/>
      <c r="F1728" s="77"/>
      <c r="G1728" s="311"/>
      <c r="H1728" s="321"/>
      <c r="I1728" s="313"/>
      <c r="J1728" s="352"/>
      <c r="K1728" s="69"/>
      <c r="L1728" s="322"/>
      <c r="M1728" s="82"/>
      <c r="N1728" s="323"/>
    </row>
    <row r="1729" spans="2:14" ht="15" x14ac:dyDescent="0.25">
      <c r="B1729" s="65"/>
      <c r="C1729" s="78"/>
      <c r="D1729" s="100"/>
      <c r="E1729" s="102"/>
      <c r="F1729" s="77"/>
      <c r="G1729" s="325"/>
      <c r="H1729" s="321"/>
      <c r="I1729" s="313"/>
      <c r="J1729" s="352"/>
      <c r="K1729" s="69"/>
      <c r="L1729" s="322"/>
      <c r="M1729" s="82"/>
      <c r="N1729" s="323"/>
    </row>
    <row r="1730" spans="2:14" ht="15" x14ac:dyDescent="0.25">
      <c r="B1730" s="65"/>
      <c r="C1730" s="78"/>
      <c r="D1730" s="97"/>
      <c r="E1730" s="67"/>
      <c r="F1730" s="77"/>
      <c r="G1730" s="325"/>
      <c r="H1730" s="321"/>
      <c r="I1730" s="313"/>
      <c r="J1730" s="352"/>
      <c r="K1730" s="69"/>
      <c r="L1730" s="322"/>
      <c r="M1730" s="82"/>
      <c r="N1730" s="323"/>
    </row>
    <row r="1731" spans="2:14" ht="15" x14ac:dyDescent="0.25">
      <c r="B1731" s="65"/>
      <c r="C1731" s="78"/>
      <c r="D1731" s="97"/>
      <c r="E1731" s="67"/>
      <c r="F1731" s="77"/>
      <c r="G1731" s="325"/>
      <c r="H1731" s="321"/>
      <c r="I1731" s="313"/>
      <c r="J1731" s="352"/>
      <c r="K1731" s="69"/>
      <c r="L1731" s="322"/>
      <c r="M1731" s="82"/>
      <c r="N1731" s="323"/>
    </row>
    <row r="1732" spans="2:14" ht="15" x14ac:dyDescent="0.25">
      <c r="B1732" s="65"/>
      <c r="C1732" s="78"/>
      <c r="D1732" s="97"/>
      <c r="E1732" s="67"/>
      <c r="F1732" s="77"/>
      <c r="G1732" s="325"/>
      <c r="H1732" s="321"/>
      <c r="I1732" s="326"/>
      <c r="J1732" s="355"/>
      <c r="K1732" s="69"/>
      <c r="L1732" s="322"/>
      <c r="M1732" s="82"/>
      <c r="N1732" s="323"/>
    </row>
    <row r="1733" spans="2:14" ht="15" x14ac:dyDescent="0.25">
      <c r="B1733" s="65"/>
      <c r="C1733" s="78"/>
      <c r="D1733" s="97"/>
      <c r="E1733" s="67"/>
      <c r="F1733" s="77"/>
      <c r="G1733" s="325"/>
      <c r="H1733" s="321"/>
      <c r="I1733" s="326"/>
      <c r="J1733" s="355"/>
      <c r="K1733" s="69"/>
      <c r="L1733" s="322"/>
      <c r="M1733" s="82"/>
      <c r="N1733" s="323"/>
    </row>
    <row r="1734" spans="2:14" x14ac:dyDescent="0.2">
      <c r="B1734" s="65"/>
      <c r="C1734" s="66"/>
      <c r="D1734" s="90"/>
      <c r="E1734" s="67"/>
      <c r="F1734" s="77"/>
      <c r="G1734" s="77"/>
      <c r="H1734" s="106"/>
      <c r="I1734" s="94"/>
      <c r="J1734" s="356"/>
      <c r="K1734" s="80"/>
      <c r="L1734" s="84"/>
      <c r="M1734" s="82"/>
      <c r="N1734" s="327"/>
    </row>
    <row r="1735" spans="2:14" ht="15" x14ac:dyDescent="0.25">
      <c r="B1735" s="65"/>
      <c r="C1735" s="78"/>
      <c r="D1735" s="90"/>
      <c r="E1735" s="67"/>
      <c r="F1735" s="77"/>
      <c r="G1735" s="328"/>
      <c r="H1735" s="321"/>
      <c r="I1735" s="326"/>
      <c r="J1735" s="355"/>
      <c r="K1735" s="69"/>
      <c r="L1735" s="322"/>
      <c r="M1735" s="82"/>
      <c r="N1735" s="327"/>
    </row>
    <row r="1736" spans="2:14" ht="15" x14ac:dyDescent="0.25">
      <c r="B1736" s="65"/>
      <c r="C1736" s="66"/>
      <c r="D1736" s="90"/>
      <c r="E1736" s="67"/>
      <c r="F1736" s="77"/>
      <c r="G1736" s="77"/>
      <c r="H1736" s="106"/>
      <c r="I1736" s="95"/>
      <c r="J1736" s="357"/>
      <c r="K1736" s="80"/>
      <c r="L1736" s="84"/>
      <c r="M1736" s="82"/>
      <c r="N1736" s="327"/>
    </row>
    <row r="1737" spans="2:14" ht="15" x14ac:dyDescent="0.25">
      <c r="B1737" s="91"/>
      <c r="C1737" s="66"/>
      <c r="D1737" s="90"/>
      <c r="E1737" s="67"/>
      <c r="F1737" s="77"/>
      <c r="G1737" s="77"/>
      <c r="H1737" s="106"/>
      <c r="I1737" s="95"/>
      <c r="J1737" s="357"/>
      <c r="K1737" s="69"/>
      <c r="L1737" s="84"/>
      <c r="M1737" s="82"/>
      <c r="N1737" s="327"/>
    </row>
    <row r="1738" spans="2:14" x14ac:dyDescent="0.2">
      <c r="B1738" s="91"/>
      <c r="C1738" s="66"/>
      <c r="D1738" s="90"/>
      <c r="E1738" s="67"/>
      <c r="F1738" s="77"/>
      <c r="G1738" s="77"/>
      <c r="H1738" s="106"/>
      <c r="I1738" s="94"/>
      <c r="J1738" s="356"/>
      <c r="K1738" s="69"/>
      <c r="L1738" s="84"/>
      <c r="M1738" s="82"/>
      <c r="N1738" s="327"/>
    </row>
    <row r="1739" spans="2:14" x14ac:dyDescent="0.2">
      <c r="B1739" s="91"/>
      <c r="C1739" s="66"/>
      <c r="D1739" s="90"/>
      <c r="E1739" s="67"/>
      <c r="F1739" s="77"/>
      <c r="G1739" s="77"/>
      <c r="H1739" s="106"/>
      <c r="I1739" s="94"/>
      <c r="J1739" s="356"/>
      <c r="K1739" s="69"/>
      <c r="L1739" s="84"/>
      <c r="M1739" s="82"/>
      <c r="N1739" s="327"/>
    </row>
    <row r="1740" spans="2:14" ht="15" x14ac:dyDescent="0.25">
      <c r="B1740" s="91"/>
      <c r="C1740" s="66"/>
      <c r="D1740" s="90"/>
      <c r="E1740" s="67"/>
      <c r="F1740" s="77"/>
      <c r="G1740" s="77"/>
      <c r="H1740" s="106"/>
      <c r="I1740" s="95"/>
      <c r="J1740" s="357"/>
      <c r="K1740" s="80"/>
      <c r="L1740" s="84"/>
      <c r="M1740" s="82"/>
      <c r="N1740" s="327"/>
    </row>
    <row r="1741" spans="2:14" ht="15" x14ac:dyDescent="0.25">
      <c r="B1741" s="91"/>
      <c r="C1741" s="66"/>
      <c r="D1741" s="90"/>
      <c r="E1741" s="67"/>
      <c r="F1741" s="77"/>
      <c r="G1741" s="77"/>
      <c r="H1741" s="106"/>
      <c r="I1741" s="95"/>
      <c r="J1741" s="357"/>
      <c r="K1741" s="69"/>
      <c r="L1741" s="84"/>
      <c r="M1741" s="82"/>
      <c r="N1741" s="327"/>
    </row>
    <row r="1742" spans="2:14" ht="15" x14ac:dyDescent="0.25">
      <c r="B1742" s="91"/>
      <c r="C1742" s="78"/>
      <c r="D1742" s="90"/>
      <c r="E1742" s="67"/>
      <c r="F1742" s="77"/>
      <c r="G1742" s="328"/>
      <c r="H1742" s="321"/>
      <c r="I1742" s="326"/>
      <c r="J1742" s="355"/>
      <c r="K1742" s="69"/>
      <c r="L1742" s="84"/>
      <c r="M1742" s="82"/>
      <c r="N1742" s="327"/>
    </row>
    <row r="1743" spans="2:14" x14ac:dyDescent="0.2">
      <c r="B1743" s="91"/>
      <c r="C1743" s="66"/>
      <c r="D1743" s="90"/>
      <c r="E1743" s="67"/>
      <c r="F1743" s="77"/>
      <c r="G1743" s="77"/>
      <c r="H1743" s="106"/>
      <c r="I1743" s="94"/>
      <c r="J1743" s="356"/>
      <c r="K1743" s="69"/>
      <c r="L1743" s="84"/>
      <c r="M1743" s="82"/>
      <c r="N1743" s="327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57"/>
      <c r="K1744" s="69"/>
      <c r="L1744" s="84"/>
      <c r="M1744" s="82"/>
      <c r="N1744" s="327"/>
    </row>
    <row r="1745" spans="2:14" ht="15" x14ac:dyDescent="0.25">
      <c r="B1745" s="91"/>
      <c r="C1745" s="66"/>
      <c r="D1745" s="90"/>
      <c r="E1745" s="67"/>
      <c r="F1745" s="77"/>
      <c r="G1745" s="77"/>
      <c r="H1745" s="106"/>
      <c r="I1745" s="95"/>
      <c r="J1745" s="357"/>
      <c r="K1745" s="80"/>
      <c r="L1745" s="84"/>
      <c r="M1745" s="82"/>
      <c r="N1745" s="327"/>
    </row>
    <row r="1746" spans="2:14" x14ac:dyDescent="0.2">
      <c r="B1746" s="91"/>
      <c r="C1746" s="66"/>
      <c r="D1746" s="90"/>
      <c r="E1746" s="67"/>
      <c r="F1746" s="77"/>
      <c r="G1746" s="77"/>
      <c r="H1746" s="106"/>
      <c r="I1746" s="94"/>
      <c r="J1746" s="356"/>
      <c r="K1746" s="69"/>
      <c r="L1746" s="84"/>
      <c r="M1746" s="82"/>
      <c r="N1746" s="323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7"/>
      <c r="K1747" s="69"/>
      <c r="L1747" s="322"/>
      <c r="M1747" s="82"/>
      <c r="N1747" s="323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7"/>
      <c r="K1748" s="69"/>
      <c r="L1748" s="84"/>
      <c r="M1748" s="82"/>
      <c r="N1748" s="323"/>
    </row>
    <row r="1749" spans="2:14" ht="15" x14ac:dyDescent="0.25">
      <c r="B1749" s="65"/>
      <c r="C1749" s="78"/>
      <c r="D1749" s="90"/>
      <c r="E1749" s="67"/>
      <c r="F1749" s="77"/>
      <c r="G1749" s="328"/>
      <c r="H1749" s="321"/>
      <c r="I1749" s="326"/>
      <c r="J1749" s="355"/>
      <c r="K1749" s="69"/>
      <c r="L1749" s="322"/>
      <c r="M1749" s="82"/>
      <c r="N1749" s="323"/>
    </row>
    <row r="1750" spans="2:14" ht="15" x14ac:dyDescent="0.25">
      <c r="B1750" s="37"/>
      <c r="C1750" s="52"/>
      <c r="D1750" s="24"/>
      <c r="E1750" s="25"/>
      <c r="F1750" s="26"/>
      <c r="G1750" s="26"/>
      <c r="H1750" s="329"/>
      <c r="I1750" s="41"/>
      <c r="J1750" s="358"/>
      <c r="K1750" s="27"/>
      <c r="L1750" s="330"/>
      <c r="M1750" s="34"/>
      <c r="N1750" s="331"/>
    </row>
    <row r="1751" spans="2:14" ht="15" x14ac:dyDescent="0.25">
      <c r="B1751" s="37"/>
      <c r="C1751" s="53"/>
      <c r="D1751" s="24"/>
      <c r="E1751" s="25"/>
      <c r="F1751" s="26"/>
      <c r="G1751" s="325"/>
      <c r="H1751" s="332"/>
      <c r="I1751" s="333"/>
      <c r="J1751" s="359"/>
      <c r="K1751" s="27"/>
      <c r="L1751" s="33"/>
      <c r="M1751" s="34"/>
      <c r="N1751" s="331"/>
    </row>
    <row r="1752" spans="2:14" ht="15" x14ac:dyDescent="0.25">
      <c r="B1752" s="37"/>
      <c r="C1752" s="53"/>
      <c r="D1752" s="24"/>
      <c r="E1752" s="25"/>
      <c r="F1752" s="26"/>
      <c r="G1752" s="325"/>
      <c r="H1752" s="332"/>
      <c r="I1752" s="333"/>
      <c r="J1752" s="359"/>
      <c r="K1752" s="27"/>
      <c r="L1752" s="330"/>
      <c r="M1752" s="34"/>
      <c r="N1752" s="331"/>
    </row>
    <row r="1753" spans="2:14" ht="15" x14ac:dyDescent="0.25">
      <c r="B1753" s="37"/>
      <c r="C1753" s="53"/>
      <c r="D1753" s="24"/>
      <c r="E1753" s="25"/>
      <c r="F1753" s="26"/>
      <c r="G1753" s="325"/>
      <c r="H1753" s="332"/>
      <c r="I1753" s="333"/>
      <c r="J1753" s="359"/>
      <c r="K1753" s="27"/>
      <c r="L1753" s="330"/>
      <c r="M1753" s="34"/>
      <c r="N1753" s="331"/>
    </row>
    <row r="1754" spans="2:14" ht="15" x14ac:dyDescent="0.25">
      <c r="B1754" s="37"/>
      <c r="C1754" s="53"/>
      <c r="D1754" s="24"/>
      <c r="E1754" s="25"/>
      <c r="F1754" s="26"/>
      <c r="G1754" s="325"/>
      <c r="H1754" s="332"/>
      <c r="I1754" s="333"/>
      <c r="J1754" s="359"/>
      <c r="K1754" s="27"/>
      <c r="L1754" s="330"/>
      <c r="M1754" s="34"/>
      <c r="N1754" s="331"/>
    </row>
    <row r="1755" spans="2:14" ht="15" x14ac:dyDescent="0.25">
      <c r="B1755" s="30"/>
      <c r="C1755" s="52"/>
      <c r="D1755" s="24"/>
      <c r="E1755" s="25"/>
      <c r="F1755" s="26"/>
      <c r="G1755" s="26"/>
      <c r="H1755" s="329"/>
      <c r="I1755" s="41"/>
      <c r="J1755" s="358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5"/>
    </row>
    <row r="1759" spans="2:14" ht="15" x14ac:dyDescent="0.25">
      <c r="B1759" s="30"/>
      <c r="C1759" s="2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5"/>
    </row>
    <row r="1760" spans="2:14" ht="15" x14ac:dyDescent="0.25">
      <c r="B1760" s="30"/>
      <c r="C1760" s="52"/>
      <c r="D1760" s="24"/>
      <c r="E1760" s="25"/>
      <c r="F1760" s="26"/>
      <c r="G1760" s="26"/>
      <c r="H1760" s="329"/>
      <c r="I1760" s="41"/>
      <c r="J1760" s="358"/>
      <c r="K1760" s="27"/>
      <c r="L1760" s="33"/>
      <c r="M1760" s="34"/>
      <c r="N1760" s="35"/>
    </row>
    <row r="1761" spans="2:14" ht="15" x14ac:dyDescent="0.25">
      <c r="B1761" s="37"/>
      <c r="C1761" s="52"/>
      <c r="D1761" s="24"/>
      <c r="E1761" s="25"/>
      <c r="F1761" s="26"/>
      <c r="G1761" s="26"/>
      <c r="H1761" s="329"/>
      <c r="I1761" s="41"/>
      <c r="J1761" s="358"/>
      <c r="K1761" s="27"/>
      <c r="L1761" s="33"/>
      <c r="M1761" s="34"/>
      <c r="N1761" s="35"/>
    </row>
    <row r="1762" spans="2:14" ht="15" x14ac:dyDescent="0.25">
      <c r="B1762" s="37"/>
      <c r="C1762" s="52"/>
      <c r="D1762" s="24"/>
      <c r="E1762" s="25"/>
      <c r="F1762" s="60"/>
      <c r="G1762" s="26"/>
      <c r="H1762" s="329"/>
      <c r="I1762" s="41"/>
      <c r="J1762" s="358"/>
      <c r="K1762" s="27"/>
      <c r="L1762" s="33"/>
      <c r="M1762" s="34"/>
      <c r="N1762" s="35"/>
    </row>
    <row r="1763" spans="2:14" ht="15" x14ac:dyDescent="0.25">
      <c r="B1763" s="37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0"/>
      <c r="M1769" s="34"/>
      <c r="N1769" s="35"/>
    </row>
    <row r="1770" spans="2:14" x14ac:dyDescent="0.2">
      <c r="B1770" s="37"/>
      <c r="C1770" s="23"/>
      <c r="D1770" s="24"/>
      <c r="E1770" s="25"/>
      <c r="F1770" s="60"/>
      <c r="G1770" s="26"/>
      <c r="H1770" s="329"/>
      <c r="I1770" s="42"/>
      <c r="J1770" s="360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60"/>
      <c r="G1772" s="26"/>
      <c r="H1772" s="329"/>
      <c r="I1772" s="41"/>
      <c r="J1772" s="358"/>
      <c r="K1772" s="27"/>
      <c r="L1772" s="33"/>
      <c r="M1772" s="34"/>
      <c r="N1772" s="35"/>
    </row>
    <row r="1773" spans="2:14" ht="15" x14ac:dyDescent="0.25">
      <c r="B1773" s="37"/>
      <c r="C1773" s="53"/>
      <c r="D1773" s="24"/>
      <c r="E1773" s="25"/>
      <c r="F1773" s="26"/>
      <c r="G1773" s="325"/>
      <c r="H1773" s="332"/>
      <c r="I1773" s="333"/>
      <c r="J1773" s="359"/>
      <c r="K1773" s="27"/>
      <c r="L1773" s="330"/>
      <c r="M1773" s="34"/>
      <c r="N1773" s="35"/>
    </row>
    <row r="1774" spans="2:14" ht="15" x14ac:dyDescent="0.25">
      <c r="B1774" s="30"/>
      <c r="C1774" s="52"/>
      <c r="D1774" s="24"/>
      <c r="E1774" s="25"/>
      <c r="F1774" s="26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3"/>
      <c r="D1775" s="24"/>
      <c r="E1775" s="25"/>
      <c r="F1775" s="26"/>
      <c r="G1775" s="325"/>
      <c r="H1775" s="332"/>
      <c r="I1775" s="333"/>
      <c r="J1775" s="359"/>
      <c r="K1775" s="27"/>
      <c r="L1775" s="330"/>
      <c r="M1775" s="34"/>
      <c r="N1775" s="35"/>
    </row>
    <row r="1776" spans="2:14" ht="15" x14ac:dyDescent="0.25">
      <c r="B1776" s="37"/>
      <c r="C1776" s="53"/>
      <c r="D1776" s="24"/>
      <c r="E1776" s="25"/>
      <c r="F1776" s="26"/>
      <c r="G1776" s="325"/>
      <c r="H1776" s="332"/>
      <c r="I1776" s="333"/>
      <c r="J1776" s="359"/>
      <c r="K1776" s="27"/>
      <c r="L1776" s="330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ht="15" x14ac:dyDescent="0.25">
      <c r="B1778" s="30"/>
      <c r="C1778" s="52"/>
      <c r="D1778" s="24"/>
      <c r="E1778" s="25"/>
      <c r="F1778" s="26"/>
      <c r="G1778" s="26"/>
      <c r="H1778" s="329"/>
      <c r="I1778" s="41"/>
      <c r="J1778" s="358"/>
      <c r="K1778" s="27"/>
      <c r="L1778" s="33"/>
      <c r="M1778" s="34"/>
      <c r="N1778" s="35"/>
    </row>
    <row r="1779" spans="2:14" ht="15" x14ac:dyDescent="0.25">
      <c r="B1779" s="30"/>
      <c r="C1779" s="52"/>
      <c r="D1779" s="24"/>
      <c r="E1779" s="25"/>
      <c r="F1779" s="26"/>
      <c r="G1779" s="26"/>
      <c r="H1779" s="329"/>
      <c r="I1779" s="41"/>
      <c r="J1779" s="358"/>
      <c r="K1779" s="27"/>
      <c r="L1779" s="33"/>
      <c r="M1779" s="34"/>
      <c r="N1779" s="35"/>
    </row>
    <row r="1780" spans="2:14" ht="15" x14ac:dyDescent="0.25">
      <c r="B1780" s="30"/>
      <c r="C1780" s="52"/>
      <c r="D1780" s="24"/>
      <c r="E1780" s="25"/>
      <c r="F1780" s="26"/>
      <c r="G1780" s="26"/>
      <c r="H1780" s="329"/>
      <c r="I1780" s="41"/>
      <c r="J1780" s="358"/>
      <c r="K1780" s="27"/>
      <c r="L1780" s="33"/>
      <c r="M1780" s="34"/>
      <c r="N1780" s="35"/>
    </row>
    <row r="1781" spans="2:14" ht="15" x14ac:dyDescent="0.25">
      <c r="B1781" s="37"/>
      <c r="C1781" s="53"/>
      <c r="D1781" s="24"/>
      <c r="E1781" s="25"/>
      <c r="F1781" s="26"/>
      <c r="G1781" s="325"/>
      <c r="H1781" s="332"/>
      <c r="I1781" s="333"/>
      <c r="J1781" s="359"/>
      <c r="K1781" s="27"/>
      <c r="L1781" s="330"/>
      <c r="M1781" s="34"/>
      <c r="N1781" s="35"/>
    </row>
    <row r="1782" spans="2:14" ht="15" x14ac:dyDescent="0.25">
      <c r="B1782" s="37"/>
      <c r="C1782" s="53"/>
      <c r="D1782" s="24"/>
      <c r="E1782" s="25"/>
      <c r="F1782" s="26"/>
      <c r="G1782" s="325"/>
      <c r="H1782" s="332"/>
      <c r="I1782" s="333"/>
      <c r="J1782" s="359"/>
      <c r="K1782" s="27"/>
      <c r="L1782" s="330"/>
      <c r="M1782" s="34"/>
      <c r="N1782" s="35"/>
    </row>
    <row r="1783" spans="2:14" ht="15" x14ac:dyDescent="0.25">
      <c r="B1783" s="37"/>
      <c r="C1783" s="53"/>
      <c r="D1783" s="24"/>
      <c r="E1783" s="25"/>
      <c r="F1783" s="26"/>
      <c r="G1783" s="325"/>
      <c r="H1783" s="332"/>
      <c r="I1783" s="333"/>
      <c r="J1783" s="359"/>
      <c r="K1783" s="27"/>
      <c r="L1783" s="330"/>
      <c r="M1783" s="34"/>
      <c r="N1783" s="35"/>
    </row>
    <row r="1784" spans="2:14" ht="15" x14ac:dyDescent="0.25">
      <c r="B1784" s="30"/>
      <c r="C1784" s="52"/>
      <c r="D1784" s="24"/>
      <c r="E1784" s="25"/>
      <c r="F1784" s="26"/>
      <c r="G1784" s="26"/>
      <c r="H1784" s="329"/>
      <c r="I1784" s="41"/>
      <c r="J1784" s="358"/>
      <c r="K1784" s="27"/>
      <c r="L1784" s="33"/>
      <c r="M1784" s="34"/>
      <c r="N1784" s="35"/>
    </row>
    <row r="1785" spans="2:14" ht="15" x14ac:dyDescent="0.25">
      <c r="B1785" s="30"/>
      <c r="C1785" s="23"/>
      <c r="D1785" s="24"/>
      <c r="E1785" s="25"/>
      <c r="F1785" s="26"/>
      <c r="G1785" s="26"/>
      <c r="H1785" s="329"/>
      <c r="I1785" s="41"/>
      <c r="J1785" s="358"/>
      <c r="K1785" s="36"/>
      <c r="L1785" s="33"/>
      <c r="M1785" s="34"/>
      <c r="N1785" s="35"/>
    </row>
    <row r="1786" spans="2:14" ht="15" x14ac:dyDescent="0.25">
      <c r="B1786" s="30"/>
      <c r="C1786" s="23"/>
      <c r="D1786" s="24"/>
      <c r="E1786" s="25"/>
      <c r="F1786" s="26"/>
      <c r="G1786" s="325"/>
      <c r="H1786" s="332"/>
      <c r="I1786" s="333"/>
      <c r="J1786" s="359"/>
      <c r="K1786" s="27"/>
      <c r="L1786" s="33"/>
      <c r="M1786" s="34"/>
      <c r="N1786" s="35"/>
    </row>
    <row r="1787" spans="2:14" ht="15" x14ac:dyDescent="0.25">
      <c r="B1787" s="30"/>
      <c r="C1787" s="52"/>
      <c r="D1787" s="24"/>
      <c r="E1787" s="25"/>
      <c r="F1787" s="26"/>
      <c r="G1787" s="26"/>
      <c r="H1787" s="329"/>
      <c r="I1787" s="41"/>
      <c r="J1787" s="358"/>
      <c r="K1787" s="27"/>
      <c r="L1787" s="33"/>
      <c r="M1787" s="34"/>
      <c r="N1787" s="35"/>
    </row>
    <row r="1788" spans="2:14" x14ac:dyDescent="0.2">
      <c r="B1788" s="37"/>
      <c r="C1788" s="52"/>
      <c r="D1788" s="24"/>
      <c r="E1788" s="25"/>
      <c r="F1788" s="26"/>
      <c r="G1788" s="26"/>
      <c r="H1788" s="329"/>
      <c r="I1788" s="42"/>
      <c r="J1788" s="360"/>
      <c r="K1788" s="27"/>
      <c r="L1788" s="33"/>
      <c r="M1788" s="34"/>
      <c r="N1788" s="35"/>
    </row>
    <row r="1789" spans="2:14" ht="15" x14ac:dyDescent="0.25">
      <c r="B1789" s="37"/>
      <c r="C1789" s="52"/>
      <c r="D1789" s="24"/>
      <c r="E1789" s="25"/>
      <c r="F1789" s="60"/>
      <c r="G1789" s="26"/>
      <c r="H1789" s="329"/>
      <c r="I1789" s="41"/>
      <c r="J1789" s="358"/>
      <c r="K1789" s="27"/>
      <c r="L1789" s="33"/>
      <c r="M1789" s="34"/>
      <c r="N1789" s="35"/>
    </row>
    <row r="1790" spans="2:14" ht="15" x14ac:dyDescent="0.25">
      <c r="B1790" s="37"/>
      <c r="C1790" s="52"/>
      <c r="D1790" s="24"/>
      <c r="E1790" s="25"/>
      <c r="F1790" s="26"/>
      <c r="G1790" s="26"/>
      <c r="H1790" s="329"/>
      <c r="I1790" s="41"/>
      <c r="J1790" s="358"/>
      <c r="K1790" s="27"/>
      <c r="L1790" s="33"/>
      <c r="M1790" s="34"/>
      <c r="N1790" s="35"/>
    </row>
    <row r="1791" spans="2:14" x14ac:dyDescent="0.2">
      <c r="B1791" s="37"/>
      <c r="C1791" s="52"/>
      <c r="D1791" s="24"/>
      <c r="E1791" s="25"/>
      <c r="F1791" s="26"/>
      <c r="G1791" s="26"/>
      <c r="H1791" s="329"/>
      <c r="I1791" s="42"/>
      <c r="J1791" s="360"/>
      <c r="K1791" s="27"/>
      <c r="L1791" s="33"/>
      <c r="M1791" s="34"/>
      <c r="N1791" s="35"/>
    </row>
    <row r="1792" spans="2:14" ht="15" x14ac:dyDescent="0.25">
      <c r="B1792" s="37"/>
      <c r="C1792" s="53"/>
      <c r="D1792" s="24"/>
      <c r="E1792" s="25"/>
      <c r="F1792" s="26"/>
      <c r="G1792" s="325"/>
      <c r="H1792" s="332"/>
      <c r="I1792" s="333"/>
      <c r="J1792" s="359"/>
      <c r="K1792" s="27"/>
      <c r="L1792" s="330"/>
      <c r="M1792" s="34"/>
      <c r="N1792" s="35"/>
    </row>
    <row r="1793" spans="2:14" x14ac:dyDescent="0.2">
      <c r="B1793" s="37"/>
      <c r="C1793" s="52"/>
      <c r="D1793" s="24"/>
      <c r="E1793" s="25"/>
      <c r="F1793" s="26"/>
      <c r="G1793" s="26"/>
      <c r="H1793" s="329"/>
      <c r="I1793" s="42"/>
      <c r="J1793" s="360"/>
      <c r="K1793" s="27"/>
      <c r="L1793" s="33"/>
      <c r="M1793" s="34"/>
      <c r="N1793" s="35"/>
    </row>
    <row r="1794" spans="2:14" x14ac:dyDescent="0.2">
      <c r="B1794" s="37"/>
      <c r="C1794" s="23"/>
      <c r="D1794" s="24"/>
      <c r="E1794" s="25"/>
      <c r="F1794" s="26"/>
      <c r="G1794" s="325"/>
      <c r="H1794" s="332"/>
      <c r="I1794" s="334"/>
      <c r="J1794" s="361"/>
      <c r="K1794" s="27"/>
      <c r="L1794" s="33"/>
      <c r="M1794" s="34"/>
      <c r="N1794" s="35"/>
    </row>
    <row r="1795" spans="2:14" x14ac:dyDescent="0.2">
      <c r="B1795" s="37"/>
      <c r="C1795" s="52"/>
      <c r="D1795" s="24"/>
      <c r="E1795" s="25"/>
      <c r="F1795" s="26"/>
      <c r="G1795" s="26"/>
      <c r="H1795" s="329"/>
      <c r="I1795" s="42"/>
      <c r="J1795" s="360"/>
      <c r="K1795" s="36"/>
      <c r="L1795" s="33"/>
      <c r="M1795" s="34"/>
      <c r="N1795" s="35"/>
    </row>
    <row r="1796" spans="2:14" x14ac:dyDescent="0.2">
      <c r="B1796" s="37"/>
      <c r="C1796" s="53"/>
      <c r="D1796" s="24"/>
      <c r="E1796" s="25"/>
      <c r="F1796" s="26"/>
      <c r="G1796" s="26"/>
      <c r="H1796" s="329"/>
      <c r="I1796" s="334"/>
      <c r="J1796" s="361"/>
      <c r="K1796" s="36"/>
      <c r="L1796" s="330"/>
      <c r="M1796" s="34"/>
      <c r="N1796" s="35"/>
    </row>
    <row r="1797" spans="2:14" ht="15" x14ac:dyDescent="0.25">
      <c r="B1797" s="37"/>
      <c r="C1797" s="52"/>
      <c r="D1797" s="24"/>
      <c r="E1797" s="25"/>
      <c r="F1797" s="26"/>
      <c r="G1797" s="26"/>
      <c r="H1797" s="329"/>
      <c r="I1797" s="41"/>
      <c r="J1797" s="358"/>
      <c r="K1797" s="27"/>
      <c r="L1797" s="330"/>
      <c r="M1797" s="34"/>
      <c r="N1797" s="35"/>
    </row>
    <row r="1798" spans="2:14" ht="15" x14ac:dyDescent="0.25">
      <c r="B1798" s="37"/>
      <c r="C1798" s="52"/>
      <c r="D1798" s="24"/>
      <c r="E1798" s="25"/>
      <c r="F1798" s="26"/>
      <c r="G1798" s="26"/>
      <c r="H1798" s="329"/>
      <c r="I1798" s="41"/>
      <c r="J1798" s="358"/>
      <c r="K1798" s="27"/>
      <c r="L1798" s="33"/>
      <c r="M1798" s="34"/>
      <c r="N1798" s="35"/>
    </row>
    <row r="1799" spans="2:14" ht="15" x14ac:dyDescent="0.25">
      <c r="B1799" s="37"/>
      <c r="C1799" s="53"/>
      <c r="D1799" s="24"/>
      <c r="E1799" s="25"/>
      <c r="F1799" s="26"/>
      <c r="G1799" s="26"/>
      <c r="H1799" s="329"/>
      <c r="I1799" s="333"/>
      <c r="J1799" s="359"/>
      <c r="K1799" s="36"/>
      <c r="L1799" s="33"/>
      <c r="M1799" s="34"/>
      <c r="N1799" s="35"/>
    </row>
    <row r="1800" spans="2:14" ht="15" x14ac:dyDescent="0.25">
      <c r="B1800" s="37"/>
      <c r="C1800" s="53"/>
      <c r="D1800" s="24"/>
      <c r="E1800" s="25"/>
      <c r="F1800" s="26"/>
      <c r="G1800" s="325"/>
      <c r="H1800" s="332"/>
      <c r="I1800" s="333"/>
      <c r="J1800" s="359"/>
      <c r="K1800" s="27"/>
      <c r="L1800" s="330"/>
      <c r="M1800" s="34"/>
      <c r="N1800" s="35"/>
    </row>
    <row r="1801" spans="2:14" ht="15" x14ac:dyDescent="0.25">
      <c r="B1801" s="37"/>
      <c r="C1801" s="53"/>
      <c r="D1801" s="24"/>
      <c r="E1801" s="25"/>
      <c r="F1801" s="26"/>
      <c r="G1801" s="325"/>
      <c r="H1801" s="332"/>
      <c r="I1801" s="333"/>
      <c r="J1801" s="359"/>
      <c r="K1801" s="27"/>
      <c r="L1801" s="330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325"/>
      <c r="H1802" s="332"/>
      <c r="I1802" s="333"/>
      <c r="J1802" s="359"/>
      <c r="K1802" s="27"/>
      <c r="L1802" s="330"/>
      <c r="M1802" s="34"/>
      <c r="N1802" s="35"/>
    </row>
    <row r="1803" spans="2:14" ht="15" x14ac:dyDescent="0.25">
      <c r="B1803" s="30"/>
      <c r="C1803" s="52"/>
      <c r="D1803" s="24"/>
      <c r="E1803" s="25"/>
      <c r="F1803" s="26"/>
      <c r="G1803" s="26"/>
      <c r="H1803" s="329"/>
      <c r="I1803" s="41"/>
      <c r="J1803" s="358"/>
      <c r="K1803" s="27"/>
      <c r="L1803" s="33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0"/>
      <c r="C1808" s="52"/>
      <c r="D1808" s="24"/>
      <c r="E1808" s="25"/>
      <c r="F1808" s="26"/>
      <c r="G1808" s="26"/>
      <c r="H1808" s="329"/>
      <c r="I1808" s="41"/>
      <c r="J1808" s="358"/>
      <c r="K1808" s="36"/>
      <c r="L1808" s="33"/>
      <c r="M1808" s="34"/>
      <c r="N1808" s="35"/>
    </row>
    <row r="1809" spans="2:14" ht="15" x14ac:dyDescent="0.25">
      <c r="B1809" s="30"/>
      <c r="C1809" s="52"/>
      <c r="D1809" s="24"/>
      <c r="E1809" s="25"/>
      <c r="F1809" s="26"/>
      <c r="G1809" s="26"/>
      <c r="H1809" s="329"/>
      <c r="I1809" s="41"/>
      <c r="J1809" s="358"/>
      <c r="K1809" s="36"/>
      <c r="L1809" s="33"/>
      <c r="M1809" s="34"/>
      <c r="N1809" s="35"/>
    </row>
    <row r="1810" spans="2:14" ht="15" x14ac:dyDescent="0.25">
      <c r="B1810" s="30"/>
      <c r="C1810" s="23"/>
      <c r="D1810" s="24"/>
      <c r="E1810" s="25"/>
      <c r="F1810" s="26"/>
      <c r="G1810" s="26"/>
      <c r="H1810" s="329"/>
      <c r="I1810" s="41"/>
      <c r="J1810" s="358"/>
      <c r="K1810" s="36"/>
      <c r="L1810" s="33"/>
      <c r="M1810" s="34"/>
      <c r="N1810" s="35"/>
    </row>
    <row r="1811" spans="2:14" ht="15" x14ac:dyDescent="0.25">
      <c r="B1811" s="30"/>
      <c r="C1811" s="23"/>
      <c r="D1811" s="24"/>
      <c r="E1811" s="25"/>
      <c r="F1811" s="26"/>
      <c r="G1811" s="26"/>
      <c r="H1811" s="329"/>
      <c r="I1811" s="41"/>
      <c r="J1811" s="358"/>
      <c r="K1811" s="27"/>
      <c r="L1811" s="33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29"/>
      <c r="I1812" s="41"/>
      <c r="J1812" s="358"/>
      <c r="K1812" s="27"/>
      <c r="L1812" s="33"/>
      <c r="M1812" s="34"/>
      <c r="N1812" s="35"/>
    </row>
    <row r="1813" spans="2:14" ht="15" x14ac:dyDescent="0.25">
      <c r="B1813" s="30"/>
      <c r="C1813" s="23"/>
      <c r="D1813" s="24"/>
      <c r="E1813" s="25"/>
      <c r="F1813" s="26"/>
      <c r="G1813" s="26"/>
      <c r="H1813" s="329"/>
      <c r="I1813" s="41"/>
      <c r="J1813" s="358"/>
      <c r="K1813" s="27"/>
      <c r="L1813" s="33"/>
      <c r="M1813" s="34"/>
      <c r="N1813" s="35"/>
    </row>
    <row r="1814" spans="2:14" ht="15" x14ac:dyDescent="0.25">
      <c r="B1814" s="30"/>
      <c r="C1814" s="52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ht="15" x14ac:dyDescent="0.25">
      <c r="B1815" s="30"/>
      <c r="C1815" s="53"/>
      <c r="D1815" s="24"/>
      <c r="E1815" s="25"/>
      <c r="F1815" s="26"/>
      <c r="G1815" s="325"/>
      <c r="H1815" s="332"/>
      <c r="I1815" s="333"/>
      <c r="J1815" s="359"/>
      <c r="K1815" s="36"/>
      <c r="L1815" s="33"/>
      <c r="M1815" s="34"/>
      <c r="N1815" s="35"/>
    </row>
    <row r="1816" spans="2:14" ht="15" x14ac:dyDescent="0.25">
      <c r="B1816" s="30"/>
      <c r="C1816" s="52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2"/>
      <c r="D1817" s="24"/>
      <c r="E1817" s="25"/>
      <c r="F1817" s="26"/>
      <c r="G1817" s="26"/>
      <c r="H1817" s="329"/>
      <c r="I1817" s="41"/>
      <c r="J1817" s="358"/>
      <c r="K1817" s="36"/>
      <c r="L1817" s="33"/>
      <c r="M1817" s="34"/>
      <c r="N1817" s="35"/>
    </row>
    <row r="1818" spans="2:14" ht="15" x14ac:dyDescent="0.25">
      <c r="B1818" s="37"/>
      <c r="C1818" s="52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x14ac:dyDescent="0.2">
      <c r="B1819" s="37"/>
      <c r="C1819" s="23"/>
      <c r="D1819" s="24"/>
      <c r="E1819" s="25"/>
      <c r="F1819" s="26"/>
      <c r="G1819" s="26"/>
      <c r="H1819" s="329"/>
      <c r="I1819" s="42"/>
      <c r="J1819" s="360"/>
      <c r="K1819" s="36"/>
      <c r="L1819" s="33"/>
      <c r="M1819" s="34"/>
      <c r="N1819" s="35"/>
    </row>
    <row r="1820" spans="2:14" x14ac:dyDescent="0.2">
      <c r="B1820" s="37"/>
      <c r="C1820" s="23"/>
      <c r="D1820" s="24"/>
      <c r="E1820" s="25"/>
      <c r="F1820" s="26"/>
      <c r="G1820" s="26"/>
      <c r="H1820" s="329"/>
      <c r="I1820" s="42"/>
      <c r="J1820" s="360"/>
      <c r="K1820" s="36"/>
      <c r="L1820" s="33"/>
      <c r="M1820" s="34"/>
      <c r="N1820" s="35"/>
    </row>
    <row r="1821" spans="2:14" ht="15" x14ac:dyDescent="0.25">
      <c r="B1821" s="37"/>
      <c r="C1821" s="23"/>
      <c r="D1821" s="24"/>
      <c r="E1821" s="25"/>
      <c r="F1821" s="26"/>
      <c r="G1821" s="26"/>
      <c r="H1821" s="329"/>
      <c r="I1821" s="41"/>
      <c r="J1821" s="358"/>
      <c r="K1821" s="27"/>
      <c r="L1821" s="33"/>
      <c r="M1821" s="34"/>
      <c r="N1821" s="35"/>
    </row>
    <row r="1822" spans="2:14" x14ac:dyDescent="0.2">
      <c r="B1822" s="37"/>
      <c r="C1822" s="52"/>
      <c r="D1822" s="24"/>
      <c r="E1822" s="25"/>
      <c r="F1822" s="26"/>
      <c r="G1822" s="26"/>
      <c r="H1822" s="329"/>
      <c r="I1822" s="42"/>
      <c r="J1822" s="360"/>
      <c r="K1822" s="36"/>
      <c r="L1822" s="33"/>
      <c r="M1822" s="34"/>
      <c r="N1822" s="35"/>
    </row>
    <row r="1823" spans="2:14" ht="15" x14ac:dyDescent="0.25">
      <c r="B1823" s="37"/>
      <c r="C1823" s="52"/>
      <c r="D1823" s="24"/>
      <c r="E1823" s="25"/>
      <c r="F1823" s="26"/>
      <c r="G1823" s="26"/>
      <c r="H1823" s="329"/>
      <c r="I1823" s="41"/>
      <c r="J1823" s="358"/>
      <c r="K1823" s="27"/>
      <c r="L1823" s="33"/>
      <c r="M1823" s="34"/>
      <c r="N1823" s="35"/>
    </row>
    <row r="1824" spans="2:14" x14ac:dyDescent="0.2">
      <c r="B1824" s="37"/>
      <c r="C1824" s="52"/>
      <c r="D1824" s="24"/>
      <c r="E1824" s="25"/>
      <c r="F1824" s="26"/>
      <c r="G1824" s="26"/>
      <c r="H1824" s="329"/>
      <c r="I1824" s="42"/>
      <c r="J1824" s="360"/>
      <c r="K1824" s="36"/>
      <c r="L1824" s="330"/>
      <c r="M1824" s="34"/>
      <c r="N1824" s="35"/>
    </row>
    <row r="1825" spans="2:14" ht="15" x14ac:dyDescent="0.25">
      <c r="B1825" s="37"/>
      <c r="C1825" s="23"/>
      <c r="D1825" s="24"/>
      <c r="E1825" s="25"/>
      <c r="F1825" s="26"/>
      <c r="G1825" s="26"/>
      <c r="H1825" s="329"/>
      <c r="I1825" s="41"/>
      <c r="J1825" s="358"/>
      <c r="K1825" s="27"/>
      <c r="L1825" s="330"/>
      <c r="M1825" s="34"/>
      <c r="N1825" s="35"/>
    </row>
    <row r="1826" spans="2:14" ht="15" x14ac:dyDescent="0.25">
      <c r="B1826" s="37"/>
      <c r="C1826" s="23"/>
      <c r="D1826" s="24"/>
      <c r="E1826" s="25"/>
      <c r="F1826" s="26"/>
      <c r="G1826" s="26"/>
      <c r="H1826" s="329"/>
      <c r="I1826" s="41"/>
      <c r="J1826" s="358"/>
      <c r="K1826" s="27"/>
      <c r="L1826" s="330"/>
      <c r="M1826" s="34"/>
      <c r="N1826" s="35"/>
    </row>
    <row r="1827" spans="2:14" x14ac:dyDescent="0.2">
      <c r="B1827" s="37"/>
      <c r="C1827" s="23"/>
      <c r="D1827" s="24"/>
      <c r="E1827" s="25"/>
      <c r="F1827" s="26"/>
      <c r="G1827" s="325"/>
      <c r="H1827" s="332"/>
      <c r="I1827" s="334"/>
      <c r="J1827" s="361"/>
      <c r="K1827" s="27"/>
      <c r="L1827" s="33"/>
      <c r="M1827" s="34"/>
      <c r="N1827" s="35"/>
    </row>
    <row r="1828" spans="2:14" ht="15" x14ac:dyDescent="0.25">
      <c r="B1828" s="37"/>
      <c r="C1828" s="53"/>
      <c r="D1828" s="24"/>
      <c r="E1828" s="25"/>
      <c r="F1828" s="26"/>
      <c r="G1828" s="325"/>
      <c r="H1828" s="332"/>
      <c r="I1828" s="333"/>
      <c r="J1828" s="359"/>
      <c r="K1828" s="27"/>
      <c r="L1828" s="330"/>
      <c r="M1828" s="34"/>
      <c r="N1828" s="35"/>
    </row>
    <row r="1829" spans="2:14" ht="15" x14ac:dyDescent="0.25">
      <c r="B1829" s="37"/>
      <c r="C1829" s="53"/>
      <c r="D1829" s="24"/>
      <c r="E1829" s="25"/>
      <c r="F1829" s="26"/>
      <c r="G1829" s="325"/>
      <c r="H1829" s="332"/>
      <c r="I1829" s="333"/>
      <c r="J1829" s="359"/>
      <c r="K1829" s="27"/>
      <c r="L1829" s="330"/>
      <c r="M1829" s="34"/>
      <c r="N1829" s="35"/>
    </row>
    <row r="1830" spans="2:14" ht="15" x14ac:dyDescent="0.25">
      <c r="B1830" s="37"/>
      <c r="C1830" s="52"/>
      <c r="D1830" s="24"/>
      <c r="E1830" s="25"/>
      <c r="F1830" s="26"/>
      <c r="G1830" s="26"/>
      <c r="H1830" s="329"/>
      <c r="I1830" s="41"/>
      <c r="J1830" s="358"/>
      <c r="K1830" s="27"/>
      <c r="L1830" s="33"/>
      <c r="M1830" s="34"/>
      <c r="N1830" s="35"/>
    </row>
    <row r="1831" spans="2:14" x14ac:dyDescent="0.2">
      <c r="B1831" s="37"/>
      <c r="C1831" s="23"/>
      <c r="D1831" s="24"/>
      <c r="E1831" s="25"/>
      <c r="F1831" s="26"/>
      <c r="G1831" s="325"/>
      <c r="H1831" s="332"/>
      <c r="I1831" s="334"/>
      <c r="J1831" s="361"/>
      <c r="K1831" s="27"/>
      <c r="L1831" s="33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25"/>
      <c r="H1832" s="332"/>
      <c r="I1832" s="333"/>
      <c r="J1832" s="359"/>
      <c r="K1832" s="27"/>
      <c r="L1832" s="330"/>
      <c r="M1832" s="34"/>
      <c r="N1832" s="35"/>
    </row>
    <row r="1833" spans="2:14" ht="15" x14ac:dyDescent="0.25">
      <c r="B1833" s="37"/>
      <c r="C1833" s="53"/>
      <c r="D1833" s="24"/>
      <c r="E1833" s="25"/>
      <c r="F1833" s="26"/>
      <c r="G1833" s="325"/>
      <c r="H1833" s="332"/>
      <c r="I1833" s="333"/>
      <c r="J1833" s="359"/>
      <c r="K1833" s="27"/>
      <c r="L1833" s="330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5"/>
      <c r="H1834" s="332"/>
      <c r="I1834" s="333"/>
      <c r="J1834" s="359"/>
      <c r="K1834" s="27"/>
      <c r="L1834" s="330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0"/>
      <c r="C1837" s="23"/>
      <c r="D1837" s="24"/>
      <c r="E1837" s="25"/>
      <c r="F1837" s="26"/>
      <c r="G1837" s="26"/>
      <c r="H1837" s="329"/>
      <c r="I1837" s="41"/>
      <c r="J1837" s="358"/>
      <c r="K1837" s="27"/>
      <c r="L1837" s="33"/>
      <c r="M1837" s="34"/>
      <c r="N1837" s="35"/>
    </row>
    <row r="1838" spans="2:14" ht="15" x14ac:dyDescent="0.25">
      <c r="B1838" s="30"/>
      <c r="C1838" s="23"/>
      <c r="D1838" s="24"/>
      <c r="E1838" s="25"/>
      <c r="F1838" s="26"/>
      <c r="G1838" s="26"/>
      <c r="H1838" s="329"/>
      <c r="I1838" s="41"/>
      <c r="J1838" s="358"/>
      <c r="K1838" s="36"/>
      <c r="L1838" s="33"/>
      <c r="M1838" s="34"/>
      <c r="N1838" s="35"/>
    </row>
    <row r="1839" spans="2:14" ht="15" x14ac:dyDescent="0.25">
      <c r="B1839" s="30"/>
      <c r="C1839" s="23"/>
      <c r="D1839" s="24"/>
      <c r="E1839" s="25"/>
      <c r="F1839" s="26"/>
      <c r="G1839" s="325"/>
      <c r="H1839" s="332"/>
      <c r="I1839" s="333"/>
      <c r="J1839" s="359"/>
      <c r="K1839" s="27"/>
      <c r="L1839" s="33"/>
      <c r="M1839" s="34"/>
      <c r="N1839" s="35"/>
    </row>
    <row r="1840" spans="2:14" x14ac:dyDescent="0.2">
      <c r="B1840" s="30"/>
      <c r="C1840" s="23"/>
      <c r="D1840" s="24"/>
      <c r="E1840" s="25"/>
      <c r="F1840" s="26"/>
      <c r="G1840" s="26"/>
      <c r="H1840" s="329"/>
      <c r="I1840" s="42"/>
      <c r="J1840" s="360"/>
      <c r="K1840" s="27"/>
      <c r="L1840" s="33"/>
      <c r="M1840" s="34"/>
      <c r="N1840" s="35"/>
    </row>
    <row r="1841" spans="2:14" x14ac:dyDescent="0.2">
      <c r="B1841" s="37"/>
      <c r="C1841" s="23"/>
      <c r="D1841" s="24"/>
      <c r="E1841" s="25"/>
      <c r="F1841" s="26"/>
      <c r="G1841" s="26"/>
      <c r="H1841" s="329"/>
      <c r="I1841" s="42"/>
      <c r="J1841" s="360"/>
      <c r="K1841" s="27"/>
      <c r="L1841" s="33"/>
      <c r="M1841" s="34"/>
      <c r="N1841" s="35"/>
    </row>
    <row r="1842" spans="2:14" x14ac:dyDescent="0.2">
      <c r="B1842" s="37"/>
      <c r="C1842" s="23"/>
      <c r="D1842" s="24"/>
      <c r="E1842" s="25"/>
      <c r="F1842" s="26"/>
      <c r="G1842" s="26"/>
      <c r="H1842" s="329"/>
      <c r="I1842" s="42"/>
      <c r="J1842" s="360"/>
      <c r="K1842" s="36"/>
      <c r="L1842" s="33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26"/>
      <c r="H1843" s="329"/>
      <c r="I1843" s="41"/>
      <c r="J1843" s="358"/>
      <c r="K1843" s="27"/>
      <c r="L1843" s="33"/>
      <c r="M1843" s="34"/>
      <c r="N1843" s="35"/>
    </row>
    <row r="1844" spans="2:14" x14ac:dyDescent="0.2">
      <c r="B1844" s="30"/>
      <c r="C1844" s="23"/>
      <c r="D1844" s="24"/>
      <c r="E1844" s="25"/>
      <c r="F1844" s="26"/>
      <c r="G1844" s="26"/>
      <c r="H1844" s="329"/>
      <c r="I1844" s="42"/>
      <c r="J1844" s="360"/>
      <c r="K1844" s="27"/>
      <c r="L1844" s="33"/>
      <c r="M1844" s="34"/>
      <c r="N1844" s="35"/>
    </row>
    <row r="1845" spans="2:14" ht="15" x14ac:dyDescent="0.25">
      <c r="B1845" s="30"/>
      <c r="C1845" s="23"/>
      <c r="D1845" s="24"/>
      <c r="E1845" s="25"/>
      <c r="F1845" s="26"/>
      <c r="G1845" s="325"/>
      <c r="H1845" s="332"/>
      <c r="I1845" s="333"/>
      <c r="J1845" s="359"/>
      <c r="K1845" s="27"/>
      <c r="L1845" s="33"/>
      <c r="M1845" s="34"/>
      <c r="N1845" s="35"/>
    </row>
    <row r="1846" spans="2:14" ht="15" x14ac:dyDescent="0.25">
      <c r="B1846" s="37"/>
      <c r="C1846" s="23"/>
      <c r="D1846" s="24"/>
      <c r="E1846" s="25"/>
      <c r="F1846" s="26"/>
      <c r="G1846" s="26"/>
      <c r="H1846" s="329"/>
      <c r="I1846" s="41"/>
      <c r="J1846" s="358"/>
      <c r="K1846" s="27"/>
      <c r="L1846" s="33"/>
      <c r="M1846" s="34"/>
      <c r="N1846" s="35"/>
    </row>
    <row r="1847" spans="2:14" x14ac:dyDescent="0.2">
      <c r="B1847" s="37"/>
      <c r="C1847" s="23"/>
      <c r="D1847" s="24"/>
      <c r="E1847" s="25"/>
      <c r="F1847" s="26"/>
      <c r="G1847" s="26"/>
      <c r="H1847" s="329"/>
      <c r="I1847" s="334"/>
      <c r="J1847" s="361"/>
      <c r="K1847" s="27"/>
      <c r="L1847" s="33"/>
      <c r="M1847" s="34"/>
      <c r="N1847" s="35"/>
    </row>
    <row r="1848" spans="2:14" ht="15" x14ac:dyDescent="0.25">
      <c r="B1848" s="37"/>
      <c r="C1848" s="23"/>
      <c r="D1848" s="24"/>
      <c r="E1848" s="25"/>
      <c r="F1848" s="26"/>
      <c r="G1848" s="26"/>
      <c r="H1848" s="329"/>
      <c r="I1848" s="41"/>
      <c r="J1848" s="358"/>
      <c r="K1848" s="27"/>
      <c r="L1848" s="330"/>
      <c r="M1848" s="34"/>
      <c r="N1848" s="35"/>
    </row>
    <row r="1849" spans="2:14" ht="15" x14ac:dyDescent="0.25">
      <c r="B1849" s="37"/>
      <c r="C1849" s="23"/>
      <c r="D1849" s="24"/>
      <c r="E1849" s="25"/>
      <c r="F1849" s="26"/>
      <c r="G1849" s="26"/>
      <c r="H1849" s="329"/>
      <c r="I1849" s="41"/>
      <c r="J1849" s="358"/>
      <c r="K1849" s="27"/>
      <c r="L1849" s="330"/>
      <c r="M1849" s="34"/>
      <c r="N1849" s="35"/>
    </row>
    <row r="1850" spans="2:14" x14ac:dyDescent="0.2">
      <c r="B1850" s="37"/>
      <c r="C1850" s="23"/>
      <c r="D1850" s="24"/>
      <c r="E1850" s="25"/>
      <c r="F1850" s="26"/>
      <c r="G1850" s="26"/>
      <c r="H1850" s="329"/>
      <c r="I1850" s="42"/>
      <c r="J1850" s="360"/>
      <c r="K1850" s="27"/>
      <c r="L1850" s="33"/>
      <c r="M1850" s="34"/>
      <c r="N1850" s="35"/>
    </row>
    <row r="1851" spans="2:14" x14ac:dyDescent="0.2">
      <c r="B1851" s="30"/>
      <c r="C1851" s="23"/>
      <c r="D1851" s="24"/>
      <c r="E1851" s="25"/>
      <c r="F1851" s="26"/>
      <c r="G1851" s="26"/>
      <c r="H1851" s="329"/>
      <c r="I1851" s="42"/>
      <c r="J1851" s="360"/>
      <c r="K1851" s="27"/>
      <c r="L1851" s="33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325"/>
      <c r="H1852" s="332"/>
      <c r="I1852" s="333"/>
      <c r="J1852" s="359"/>
      <c r="K1852" s="27"/>
      <c r="L1852" s="330"/>
      <c r="M1852" s="34"/>
      <c r="N1852" s="35"/>
    </row>
    <row r="1853" spans="2:14" ht="15" x14ac:dyDescent="0.25">
      <c r="B1853" s="37"/>
      <c r="C1853" s="23"/>
      <c r="D1853" s="24"/>
      <c r="E1853" s="25"/>
      <c r="F1853" s="26"/>
      <c r="G1853" s="325"/>
      <c r="H1853" s="332"/>
      <c r="I1853" s="333"/>
      <c r="J1853" s="359"/>
      <c r="K1853" s="27"/>
      <c r="L1853" s="330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325"/>
      <c r="H1854" s="332"/>
      <c r="I1854" s="333"/>
      <c r="J1854" s="359"/>
      <c r="K1854" s="27"/>
      <c r="L1854" s="330"/>
      <c r="M1854" s="34"/>
      <c r="N1854" s="35"/>
    </row>
    <row r="1855" spans="2:14" ht="15" x14ac:dyDescent="0.25">
      <c r="B1855" s="30"/>
      <c r="C1855" s="23"/>
      <c r="D1855" s="24"/>
      <c r="E1855" s="25"/>
      <c r="F1855" s="26"/>
      <c r="G1855" s="26"/>
      <c r="H1855" s="329"/>
      <c r="I1855" s="41"/>
      <c r="J1855" s="358"/>
      <c r="K1855" s="27"/>
      <c r="L1855" s="33"/>
      <c r="M1855" s="34"/>
      <c r="N1855" s="35"/>
    </row>
    <row r="1856" spans="2:14" ht="15" x14ac:dyDescent="0.25">
      <c r="B1856" s="30"/>
      <c r="C1856" s="23"/>
      <c r="D1856" s="24"/>
      <c r="E1856" s="25"/>
      <c r="F1856" s="26"/>
      <c r="G1856" s="26"/>
      <c r="H1856" s="329"/>
      <c r="I1856" s="41"/>
      <c r="J1856" s="358"/>
      <c r="K1856" s="27"/>
      <c r="L1856" s="330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5"/>
      <c r="H1858" s="332"/>
      <c r="I1858" s="333"/>
      <c r="J1858" s="359"/>
      <c r="K1858" s="27"/>
      <c r="L1858" s="330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5"/>
      <c r="H1859" s="332"/>
      <c r="I1859" s="333"/>
      <c r="J1859" s="359"/>
      <c r="K1859" s="27"/>
      <c r="L1859" s="330"/>
      <c r="M1859" s="34"/>
      <c r="N1859" s="35"/>
    </row>
    <row r="1860" spans="2:14" x14ac:dyDescent="0.2">
      <c r="B1860" s="30"/>
      <c r="C1860" s="23"/>
      <c r="D1860" s="24"/>
      <c r="E1860" s="25"/>
      <c r="F1860" s="26"/>
      <c r="G1860" s="26"/>
      <c r="H1860" s="329"/>
      <c r="I1860" s="42"/>
      <c r="J1860" s="360"/>
      <c r="K1860" s="27"/>
      <c r="L1860" s="33"/>
      <c r="M1860" s="34"/>
      <c r="N1860" s="35"/>
    </row>
    <row r="1861" spans="2:14" x14ac:dyDescent="0.2">
      <c r="B1861" s="37"/>
      <c r="C1861" s="23"/>
      <c r="D1861" s="24"/>
      <c r="E1861" s="25"/>
      <c r="F1861" s="26"/>
      <c r="G1861" s="26"/>
      <c r="H1861" s="329"/>
      <c r="I1861" s="42"/>
      <c r="J1861" s="360"/>
      <c r="K1861" s="27"/>
      <c r="L1861" s="33"/>
      <c r="M1861" s="34"/>
      <c r="N1861" s="35"/>
    </row>
    <row r="1862" spans="2:14" x14ac:dyDescent="0.2">
      <c r="B1862" s="37"/>
      <c r="C1862" s="23"/>
      <c r="D1862" s="24"/>
      <c r="E1862" s="25"/>
      <c r="F1862" s="26"/>
      <c r="G1862" s="26"/>
      <c r="H1862" s="329"/>
      <c r="I1862" s="42"/>
      <c r="J1862" s="360"/>
      <c r="K1862" s="27"/>
      <c r="L1862" s="33"/>
      <c r="M1862" s="34"/>
      <c r="N1862" s="35"/>
    </row>
    <row r="1863" spans="2:14" ht="15" x14ac:dyDescent="0.25">
      <c r="B1863" s="37"/>
      <c r="C1863" s="23"/>
      <c r="D1863" s="24"/>
      <c r="E1863" s="25"/>
      <c r="F1863" s="26"/>
      <c r="G1863" s="26"/>
      <c r="H1863" s="329"/>
      <c r="I1863" s="41"/>
      <c r="J1863" s="358"/>
      <c r="K1863" s="36"/>
      <c r="L1863" s="33"/>
      <c r="M1863" s="34"/>
      <c r="N1863" s="35"/>
    </row>
  </sheetData>
  <sortState xmlns:xlrd2="http://schemas.microsoft.com/office/spreadsheetml/2017/richdata2" ref="B7:I1048572">
    <sortCondition ref="C7:C42"/>
  </sortState>
  <mergeCells count="3">
    <mergeCell ref="D1:H1"/>
    <mergeCell ref="D2:K2"/>
    <mergeCell ref="B3:F4"/>
  </mergeCells>
  <phoneticPr fontId="19" type="noConversion"/>
  <conditionalFormatting sqref="H1836:H1859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6:H1858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6:H1857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6:E1863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6:E1863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6:E1863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6:E1863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6:E1863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6:E1863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6:E1863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6:E1863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6:H1863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6:H1863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6:H1863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6:E1863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6:H1863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6:E1863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6:H1863">
    <cfRule type="iconSet" priority="282941">
      <iconSet>
        <cfvo type="percent" val="0"/>
        <cfvo type="percent" val="23"/>
        <cfvo type="percent" val="70"/>
      </iconSet>
    </cfRule>
  </conditionalFormatting>
  <conditionalFormatting sqref="H1836:H1863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6:H1863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6:H1863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6:H1863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6:E1863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6:H1863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6:H1863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6:H1863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6:H1863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6:H1863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6:E1863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6:H1863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6:H1863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6:E1863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6:E1863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6:H1863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6:H1863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6:H1863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6:E1863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6:H1863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6:H1863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6:H1863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6:H1863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6:H1863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6:H1863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6:E1863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6:H1863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6:H1863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6:H1863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6:H1863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6:H1863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6:H1863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6:H1863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6:H1863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6:E1863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6:H1863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6:E1863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6:H1863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6:E1863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6:H1863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6:H1863">
    <cfRule type="iconSet" priority="283409">
      <iconSet>
        <cfvo type="percent" val="0"/>
        <cfvo type="num" val="22"/>
        <cfvo type="num" val="26"/>
      </iconSet>
    </cfRule>
  </conditionalFormatting>
  <conditionalFormatting sqref="H1836:H1863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6:H1863">
    <cfRule type="iconSet" priority="283415">
      <iconSet>
        <cfvo type="percent" val="0"/>
        <cfvo type="num" val="21"/>
        <cfvo type="num" val="25"/>
      </iconSet>
    </cfRule>
  </conditionalFormatting>
  <conditionalFormatting sqref="H1836:H1863">
    <cfRule type="iconSet" priority="283417">
      <iconSet>
        <cfvo type="percent" val="0"/>
        <cfvo type="num" val="19"/>
        <cfvo type="num" val="23"/>
      </iconSet>
    </cfRule>
  </conditionalFormatting>
  <conditionalFormatting sqref="H1836:H1863">
    <cfRule type="iconSet" priority="283419">
      <iconSet>
        <cfvo type="percent" val="0"/>
        <cfvo type="num" val="23"/>
        <cfvo type="num" val="27"/>
      </iconSet>
    </cfRule>
  </conditionalFormatting>
  <conditionalFormatting sqref="E1750:E1752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5">
    <cfRule type="containsText" dxfId="21" priority="175" operator="containsText" text="M">
      <formula>NOT(ISERROR(SEARCH("M",M7)))</formula>
    </cfRule>
  </conditionalFormatting>
  <conditionalFormatting sqref="V6">
    <cfRule type="cellIs" dxfId="20" priority="172" operator="between">
      <formula>1</formula>
      <formula>4</formula>
    </cfRule>
  </conditionalFormatting>
  <conditionalFormatting sqref="E44:E1173 E7:E42">
    <cfRule type="cellIs" dxfId="19" priority="170" operator="greaterThan">
      <formula>7</formula>
    </cfRule>
  </conditionalFormatting>
  <conditionalFormatting sqref="E1483:E4761">
    <cfRule type="cellIs" dxfId="18" priority="137" operator="greaterThan">
      <formula>7</formula>
    </cfRule>
  </conditionalFormatting>
  <conditionalFormatting sqref="I44:I1245 G44:G46 I7:I42">
    <cfRule type="cellIs" dxfId="17" priority="41" operator="lessThan">
      <formula>E7</formula>
    </cfRule>
  </conditionalFormatting>
  <conditionalFormatting sqref="I1836:I1863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6:I1863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6:I1863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6:I1863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6:I1863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6:I1863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6:I1863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6:I1863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6:I1863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6:I1863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6:I1863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6:I1863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6:I1863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6:I1863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2:H1469 H1256:H1430 H44:H1245 H7:H42">
    <cfRule type="cellIs" dxfId="16" priority="297748" operator="greaterThan">
      <formula>$H$43</formula>
    </cfRule>
  </conditionalFormatting>
  <conditionalFormatting sqref="L7:L1245">
    <cfRule type="top10" dxfId="15" priority="297756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2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E1836:E1863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E1836:E1863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E1836:E1863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E1836:E1863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E1836:E1863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E1836:E1863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E1836:E1863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H1836:H1863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H1836:H1863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H1836:H1863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H1836:H1863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H1836:H1863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E1836:E1863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H1836:H1863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E1836:E1863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E1836:E1863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H1836:H1863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E1836:E1863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H1836:H1863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E1836:E1863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H1836:H1863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E1836:E1863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H1836:H1863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E1836:E1863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H1836:H1863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E1750:E1752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I1836:I1863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I1836:I1863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I1836:I1863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I1836:I1863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I1836:I1863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I1836:I1863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I1836:I1863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I1836:I1863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I1836:I1863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I1836:I1863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I1836:I1863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I1836:I1863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I1836:I1863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I1836:I1863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H1836:H1863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H1836:H1863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L1836:L1863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L1836:L1863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L1836:L1863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L1836:L1863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L1836:L1863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H1836:H1863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E1730:E1749</xm:sqref>
        </x14:conditionalFormatting>
        <x14:conditionalFormatting xmlns:xm="http://schemas.microsoft.com/office/excel/2006/main">
          <x14:cfRule type="iconSet" priority="29775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$H$43</xm:f>
              </x14:cfvo>
              <x14:cfIcon iconSet="NoIcons" iconId="0"/>
              <x14:cfIcon iconSet="NoIcons" iconId="0"/>
              <x14:cfIcon iconSet="3Stars" iconId="2"/>
            </x14:iconSet>
          </x14:cfRule>
          <xm:sqref>H1256:H1266 H44:H1245 H7:H42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69" t="s">
        <v>110</v>
      </c>
      <c r="E1" s="369"/>
      <c r="F1" s="369"/>
      <c r="G1" s="369"/>
      <c r="H1" s="369"/>
      <c r="I1" s="19"/>
      <c r="J1" s="16"/>
      <c r="K1"/>
    </row>
    <row r="2" spans="2:75" ht="33.75" customHeight="1" thickBot="1" x14ac:dyDescent="0.35">
      <c r="D2" s="370" t="s">
        <v>111</v>
      </c>
      <c r="E2" s="370"/>
      <c r="F2" s="370"/>
      <c r="G2" s="370"/>
      <c r="H2" s="370"/>
      <c r="I2" s="370"/>
      <c r="J2" s="370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1" t="s">
        <v>115</v>
      </c>
      <c r="E3" s="371"/>
      <c r="F3" s="371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1"/>
      <c r="E4" s="371"/>
      <c r="F4" s="371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2026-01-21T07:00:00Z</cp:lastPrinted>
  <dcterms:created xsi:type="dcterms:W3CDTF">2021-05-05T13:25:05Z</dcterms:created>
  <dcterms:modified xsi:type="dcterms:W3CDTF">2026-01-21T07:00:59Z</dcterms:modified>
</cp:coreProperties>
</file>