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609A071C-0291-4E18-B3C6-8C9990926D1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Import!$B$6:$N$1864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4" r:id="rId6"/>
    <pivotCache cacheId="5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" l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7" i="1"/>
  <c r="C44" i="1"/>
  <c r="G44" i="1"/>
  <c r="I43" i="1" s="1"/>
  <c r="F44" i="1"/>
  <c r="E44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M7" i="1"/>
  <c r="M8" i="1"/>
  <c r="M9" i="1"/>
  <c r="M10" i="1"/>
  <c r="M11" i="1"/>
  <c r="M12" i="1"/>
  <c r="M13" i="1"/>
  <c r="M14" i="1"/>
  <c r="M43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I18" i="1"/>
  <c r="I29" i="1"/>
  <c r="I23" i="1"/>
  <c r="J29" i="1" s="1"/>
  <c r="I39" i="1"/>
  <c r="H43" i="1"/>
  <c r="H22" i="1"/>
  <c r="H24" i="1"/>
  <c r="H36" i="1"/>
  <c r="H15" i="1"/>
  <c r="H16" i="1"/>
  <c r="H17" i="1"/>
  <c r="H18" i="1"/>
  <c r="H7" i="1"/>
  <c r="H8" i="1"/>
  <c r="H37" i="1"/>
  <c r="H25" i="1"/>
  <c r="H26" i="1"/>
  <c r="H27" i="1"/>
  <c r="H28" i="1"/>
  <c r="H29" i="1"/>
  <c r="H30" i="1"/>
  <c r="H31" i="1"/>
  <c r="H32" i="1"/>
  <c r="H33" i="1"/>
  <c r="H34" i="1"/>
  <c r="H38" i="1"/>
  <c r="H40" i="1"/>
  <c r="H23" i="1"/>
  <c r="H41" i="1"/>
  <c r="H9" i="1"/>
  <c r="H42" i="1"/>
  <c r="H35" i="1"/>
  <c r="H19" i="1"/>
  <c r="H20" i="1"/>
  <c r="H10" i="1"/>
  <c r="H39" i="1"/>
  <c r="H11" i="1"/>
  <c r="H12" i="1"/>
  <c r="H13" i="1"/>
  <c r="H14" i="1"/>
  <c r="H21" i="1"/>
  <c r="P3" i="6"/>
  <c r="T44" i="1"/>
  <c r="O44" i="1"/>
  <c r="Q44" i="1" s="1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E13" i="3"/>
  <c r="D13" i="3"/>
  <c r="H11" i="3"/>
  <c r="E12" i="3"/>
  <c r="D12" i="3"/>
  <c r="I14" i="1" l="1"/>
  <c r="I33" i="1"/>
  <c r="I36" i="1"/>
  <c r="J36" i="1" s="1"/>
  <c r="I35" i="1"/>
  <c r="J33" i="1" s="1"/>
  <c r="I25" i="1"/>
  <c r="I13" i="1"/>
  <c r="I10" i="1"/>
  <c r="J10" i="1" s="1"/>
  <c r="I42" i="1"/>
  <c r="P33" i="1" s="1"/>
  <c r="I40" i="1"/>
  <c r="P29" i="1" s="1"/>
  <c r="I32" i="1"/>
  <c r="P25" i="1" s="1"/>
  <c r="I28" i="1"/>
  <c r="I37" i="1"/>
  <c r="I17" i="1"/>
  <c r="P17" i="1" s="1"/>
  <c r="I24" i="1"/>
  <c r="I12" i="1"/>
  <c r="P12" i="1" s="1"/>
  <c r="L12" i="1" s="1"/>
  <c r="I20" i="1"/>
  <c r="P36" i="1" s="1"/>
  <c r="L36" i="1" s="1"/>
  <c r="I9" i="1"/>
  <c r="P32" i="1" s="1"/>
  <c r="I38" i="1"/>
  <c r="I31" i="1"/>
  <c r="P31" i="1" s="1"/>
  <c r="L31" i="1" s="1"/>
  <c r="I27" i="1"/>
  <c r="P27" i="1" s="1"/>
  <c r="L27" i="1" s="1"/>
  <c r="I8" i="1"/>
  <c r="J8" i="1" s="1"/>
  <c r="I16" i="1"/>
  <c r="I22" i="1"/>
  <c r="P22" i="1" s="1"/>
  <c r="J25" i="1"/>
  <c r="I21" i="1"/>
  <c r="I11" i="1"/>
  <c r="J38" i="1" s="1"/>
  <c r="I19" i="1"/>
  <c r="P19" i="1" s="1"/>
  <c r="L18" i="1" s="1"/>
  <c r="I41" i="1"/>
  <c r="J41" i="1" s="1"/>
  <c r="I34" i="1"/>
  <c r="I30" i="1"/>
  <c r="I26" i="1"/>
  <c r="J18" i="1" s="1"/>
  <c r="I7" i="1"/>
  <c r="P7" i="1" s="1"/>
  <c r="L7" i="1" s="1"/>
  <c r="I15" i="1"/>
  <c r="P15" i="1" s="1"/>
  <c r="J37" i="1"/>
  <c r="J17" i="1"/>
  <c r="P16" i="1"/>
  <c r="J11" i="1"/>
  <c r="J21" i="1"/>
  <c r="J14" i="1"/>
  <c r="P21" i="1"/>
  <c r="P13" i="1"/>
  <c r="P24" i="1"/>
  <c r="L24" i="1" s="1"/>
  <c r="P20" i="1"/>
  <c r="H44" i="1"/>
  <c r="U12" i="1" s="1"/>
  <c r="P43" i="1"/>
  <c r="P39" i="1"/>
  <c r="L39" i="1" s="1"/>
  <c r="P23" i="1"/>
  <c r="L23" i="1" s="1"/>
  <c r="P11" i="1"/>
  <c r="L11" i="1" s="1"/>
  <c r="J40" i="1"/>
  <c r="J32" i="1"/>
  <c r="J28" i="1"/>
  <c r="J24" i="1"/>
  <c r="J16" i="1"/>
  <c r="J13" i="1"/>
  <c r="J9" i="1"/>
  <c r="P38" i="1"/>
  <c r="P30" i="1"/>
  <c r="L29" i="1" s="1"/>
  <c r="P26" i="1"/>
  <c r="L25" i="1" s="1"/>
  <c r="P18" i="1"/>
  <c r="P14" i="1"/>
  <c r="L14" i="1" s="1"/>
  <c r="P10" i="1"/>
  <c r="L10" i="1" s="1"/>
  <c r="J39" i="1"/>
  <c r="J31" i="1"/>
  <c r="J27" i="1"/>
  <c r="J23" i="1"/>
  <c r="J15" i="1"/>
  <c r="J12" i="1"/>
  <c r="L13" i="1"/>
  <c r="P45" i="1"/>
  <c r="L32" i="1"/>
  <c r="P44" i="1"/>
  <c r="U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7" i="1" l="1"/>
  <c r="J22" i="1"/>
  <c r="P28" i="1"/>
  <c r="L28" i="1" s="1"/>
  <c r="L20" i="1"/>
  <c r="J42" i="1"/>
  <c r="L26" i="1"/>
  <c r="J19" i="1"/>
  <c r="J35" i="1"/>
  <c r="P42" i="1"/>
  <c r="J20" i="1"/>
  <c r="P35" i="1"/>
  <c r="L35" i="1" s="1"/>
  <c r="L43" i="1"/>
  <c r="J26" i="1"/>
  <c r="L16" i="1"/>
  <c r="L15" i="1"/>
  <c r="L17" i="1"/>
  <c r="P34" i="1"/>
  <c r="L22" i="1"/>
  <c r="L38" i="1"/>
  <c r="P8" i="1"/>
  <c r="L8" i="1" s="1"/>
  <c r="J43" i="1"/>
  <c r="I44" i="1"/>
  <c r="J30" i="1"/>
  <c r="L19" i="1"/>
  <c r="L42" i="1"/>
  <c r="P9" i="1"/>
  <c r="L9" i="1" s="1"/>
  <c r="J44" i="1"/>
  <c r="J34" i="1"/>
  <c r="P40" i="1"/>
  <c r="L40" i="1" s="1"/>
  <c r="P37" i="1"/>
  <c r="L37" i="1" s="1"/>
  <c r="L21" i="1"/>
  <c r="L30" i="1"/>
  <c r="U18" i="1"/>
  <c r="P41" i="1"/>
  <c r="L41" i="1" s="1"/>
  <c r="U35" i="1"/>
  <c r="U33" i="1"/>
  <c r="U19" i="1"/>
  <c r="U13" i="1"/>
  <c r="U42" i="1"/>
  <c r="U24" i="1"/>
  <c r="U31" i="1"/>
  <c r="U15" i="1"/>
  <c r="U14" i="1"/>
  <c r="U40" i="1"/>
  <c r="U43" i="1"/>
  <c r="U11" i="1"/>
  <c r="U10" i="1"/>
  <c r="U16" i="1"/>
  <c r="U34" i="1"/>
  <c r="U29" i="1"/>
  <c r="U20" i="1"/>
  <c r="U46" i="1"/>
  <c r="U27" i="1"/>
  <c r="U30" i="1"/>
  <c r="U21" i="1"/>
  <c r="U36" i="1"/>
  <c r="U44" i="1"/>
  <c r="U39" i="1"/>
  <c r="U23" i="1"/>
  <c r="U7" i="1"/>
  <c r="U26" i="1"/>
  <c r="U37" i="1"/>
  <c r="U17" i="1"/>
  <c r="U32" i="1"/>
  <c r="U8" i="1"/>
  <c r="U38" i="1"/>
  <c r="U22" i="1"/>
  <c r="U41" i="1"/>
  <c r="U25" i="1"/>
  <c r="U9" i="1"/>
  <c r="U28" i="1"/>
  <c r="N44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3" i="1" l="1"/>
  <c r="L34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<sst xmlns="http://schemas.openxmlformats.org/spreadsheetml/2006/main" count="298" uniqueCount="192">
  <si>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</si>
  <si>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</si>
  <si>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</si>
  <si>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</si>
  <si>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</si>
  <si>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</si>
  <si>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</si>
  <si>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</si>
  <si>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</si>
  <si>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</si>
  <si>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</si>
  <si>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</si>
  <si>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</si>
  <si>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</si>
  <si>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</si>
  <si>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</si>
  <si>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</si>
  <si>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</si>
  <si>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</si>
  <si>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</si>
  <si>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</si>
  <si>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</si>
  <si>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</si>
  <si>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</si>
  <si>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</si>
  <si>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</si>
  <si>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</si>
  <si>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</si>
  <si>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</si>
  <si>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</si>
  <si>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</si>
  <si>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</si>
  <si>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</si>
  <si>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</si>
  <si>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</si>
  <si>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</si>
  <si>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</si>
  <si>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</si>
  <si>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</si>
  <si>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</si>
  <si>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</si>
  <si>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</si>
  <si>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</si>
  <si>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</si>
  <si>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</si>
  <si>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</si>
  <si>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</si>
  <si>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</si>
  <si>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</si>
  <si>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</si>
  <si>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</si>
  <si>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</si>
  <si>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</si>
  <si>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</si>
  <si>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</si>
  <si>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</si>
  <si>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</si>
  <si>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</si>
  <si>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</si>
  <si>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</si>
  <si>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</si>
  <si>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</si>
  <si>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</si>
  <si>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</si>
  <si>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</si>
  <si>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</si>
  <si>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</si>
  <si>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</si>
  <si>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</si>
  <si>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</si>
  <si>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</si>
  <si>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</si>
  <si>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</si>
  <si>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</si>
  <si>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</si>
  <si>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</si>
  <si>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</si>
  <si>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</si>
  <si>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</si>
  <si>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</si>
  <si>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</si>
  <si>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</si>
  <si>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</si>
  <si>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</si>
  <si>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</si>
  <si>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</si>
  <si>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</si>
  <si>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</si>
  <si>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</si>
  <si>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</si>
  <si>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</si>
  <si>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</si>
  <si>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</si>
  <si>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</si>
  <si>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</si>
  <si>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</si>
  <si>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</si>
  <si>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</si>
  <si>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</si>
  <si>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</si>
  <si>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</si>
  <si>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</si>
  <si>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</si>
  <si>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</si>
  <si>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</si>
  <si>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</si>
  <si>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</si>
  <si>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</si>
  <si>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</si>
  <si>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</si>
  <si>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</si>
  <si>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</si>
  <si>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</si>
  <si>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</si>
  <si>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</si>
  <si>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</si>
  <si>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</si>
  <si>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</si>
  <si>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</si>
  <si>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</si>
  <si>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</si>
  <si>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</si>
  <si>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</si>
  <si>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</si>
  <si>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</si>
  <si>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</si>
  <si>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</si>
  <si>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</si>
  <si>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</si>
  <si>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</si>
  <si>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</si>
  <si>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</si>
  <si>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</si>
  <si>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</si>
  <si>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</si>
  <si>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</si>
  <si>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</si>
  <si>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</si>
  <si>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</si>
  <si>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</si>
  <si>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</si>
  <si>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</si>
  <si>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</si>
  <si>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</si>
  <si>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</si>
  <si>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</si>
  <si>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</si>
  <si>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</si>
  <si>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AGUDELO GARCIA LLORDIN ELIAS</t>
  </si>
  <si>
    <t>QUIRAMA CASTAÑEDA JHON JADER</t>
  </si>
  <si>
    <t>LAYOS JIMENEZ JOHAN CAMILO</t>
  </si>
  <si>
    <t>OSORIO URREGO SANTIAGO</t>
  </si>
  <si>
    <t>FRANCO CARVAJAL GERARDO ANTONIO</t>
  </si>
  <si>
    <t>SALDARRIAGA PARRA LUIS ALBERTO</t>
  </si>
  <si>
    <t>TABORDA ROJAS DIEGO ALEJANDRO</t>
  </si>
  <si>
    <t>RUA CHAVARRIA YEFERSON ANDREY</t>
  </si>
  <si>
    <t>LEON PEREZ RAUL ENRIQUE</t>
  </si>
  <si>
    <t>DURANGO DAVID JOSE</t>
  </si>
  <si>
    <t>OCAMPO OCAMPO ANTONIO JOSE</t>
  </si>
  <si>
    <t>FLORES RINCON JORGE ALBERTO</t>
  </si>
  <si>
    <t>CIRO MARIN RODRIGO ALBERTO</t>
  </si>
  <si>
    <t>TUBERQUIA  MAICOL</t>
  </si>
  <si>
    <t>MARIN ALZATE KEVIN ANDRES</t>
  </si>
  <si>
    <t>VALENCIA MENDOZA JHON</t>
  </si>
  <si>
    <t>TUBERQUIA URREGO HAROL</t>
  </si>
  <si>
    <t>YEPES TORRES JHON ALEXANDER</t>
  </si>
  <si>
    <t>MACIAS HERNANDEZ JULIAN DAVID</t>
  </si>
  <si>
    <t>MIRANDA MACHADO ALVARO</t>
  </si>
  <si>
    <t>HINCAPIE VILLA JUAN ESTIVEN</t>
  </si>
  <si>
    <t>PARIAS MURIEL JHON FREDY</t>
  </si>
  <si>
    <t>MARTINEZ CHAVERRA LUIS NORBERTO</t>
  </si>
  <si>
    <t>PARRA VILLA YUBER ALONSO</t>
  </si>
  <si>
    <t>ESPINOZA ECHAVARRIA EMANUEL</t>
  </si>
  <si>
    <t>AGUDELO GARCIA DENIN ANGELO</t>
  </si>
  <si>
    <t>MARULANDA JARAMILLO DAWER ANDRES</t>
  </si>
  <si>
    <t>ESPINOZA CHAVARRIA GUILLERMO LEON</t>
  </si>
  <si>
    <t>SUAREZ ESCUDERO JONATAN</t>
  </si>
  <si>
    <t>SANCHEZ BETANCOURT FRANSCISCO</t>
  </si>
  <si>
    <t>PALMAR PANA EDIXON JOSUE</t>
  </si>
  <si>
    <t>LONDOÑO LOPERA DUVAN ANDRES</t>
  </si>
  <si>
    <t>LOPEZ PINEDA DANIEL ESTIVEN</t>
  </si>
  <si>
    <t>GONZALEZ PEREZ RAFAEL JOSE</t>
  </si>
  <si>
    <t>JIMENEZ HURTADO CARLOS ESTIVEN</t>
  </si>
  <si>
    <t>ALBERTO ARISTIZABAL RAFAEL</t>
  </si>
  <si>
    <t xml:space="preserve">DURANGO PAEZ GILDARDO </t>
  </si>
  <si>
    <t xml:space="preserve">1 Descuento (Despachador) </t>
  </si>
  <si>
    <t xml:space="preserve">5 Descuentos (Conducts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</si>
  <si>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12.7 USUARIOS</t>
    </r>
  </si>
  <si>
    <t xml:space="preserve">Se descuenta 0.5 viaje de 12 44 pm ya que NO espera el tiempo indicado en el paradero. </t>
  </si>
  <si>
    <t xml:space="preserve">Se descuenta 0.5 viaje de 12 18 pm ya que NO espera el tiempo indicado en el paradero. </t>
  </si>
  <si>
    <t xml:space="preserve">Se descuenta 0.5 viaje de 7 53 am ya que NO espera el tiempo indicado en el paradero. </t>
  </si>
  <si>
    <t xml:space="preserve">Se descuenta 0.5 viaje de 11 38 am ya que NO espera el tiempo indicado en el paradero.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</si>
</sst>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64" fontId="33" fillId="0" borderId="8" xfId="1" applyFont="1" applyBorder="1" applyAlignment="1">
      <alignment horizontal="center" vertical="center"/>
    </xf>
    <xf numFmtId="1" fontId="33" fillId="0" borderId="8" xfId="1" applyNumberFormat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Import!$C$7:$C$44</c:f>
              <c:numCache>
                <c:formatCode>0</c:formatCode>
                <c:ptCount val="37"/>
                <c:pt idx="0">
                  <c:v>1</c:v>
                </c:pt>
                <c:pt idx="1">
                  <c:v>2</c:v>
                </c:pt>
                <c:pt idx="2" formatCode="General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 formatCode="General">
                  <c:v>11</c:v>
                </c:pt>
                <c:pt idx="9">
                  <c:v>12</c:v>
                </c:pt>
                <c:pt idx="10">
                  <c:v>13</c:v>
                </c:pt>
                <c:pt idx="11" formatCode="General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44</c:v>
                </c:pt>
              </c:numCache>
            </c:numRef>
          </c:cat>
          <c:val>
            <c:numRef>
              <c:f>Import!$H$7:$H$44</c:f>
              <c:numCache>
                <c:formatCode>_-* #,##0.0_-;\-* #,##0.0_-;_-* "-"??_-;_-@_-</c:formatCode>
                <c:ptCount val="37"/>
                <c:pt idx="0">
                  <c:v>9.8888888888888893</c:v>
                </c:pt>
                <c:pt idx="1">
                  <c:v>12.111111111111111</c:v>
                </c:pt>
                <c:pt idx="2">
                  <c:v>13.111111111111111</c:v>
                </c:pt>
                <c:pt idx="3">
                  <c:v>15.555555555555555</c:v>
                </c:pt>
                <c:pt idx="4">
                  <c:v>9.5714285714285712</c:v>
                </c:pt>
                <c:pt idx="5">
                  <c:v>10.3</c:v>
                </c:pt>
                <c:pt idx="6">
                  <c:v>9.7777777777777786</c:v>
                </c:pt>
                <c:pt idx="7">
                  <c:v>11.555555555555555</c:v>
                </c:pt>
                <c:pt idx="8">
                  <c:v>12.9</c:v>
                </c:pt>
                <c:pt idx="9">
                  <c:v>12.444444444444445</c:v>
                </c:pt>
                <c:pt idx="10">
                  <c:v>16.777777777777779</c:v>
                </c:pt>
                <c:pt idx="11">
                  <c:v>9.25</c:v>
                </c:pt>
                <c:pt idx="12">
                  <c:v>8</c:v>
                </c:pt>
                <c:pt idx="13">
                  <c:v>14.666666666666666</c:v>
                </c:pt>
                <c:pt idx="14">
                  <c:v>14.444444444444445</c:v>
                </c:pt>
                <c:pt idx="15">
                  <c:v>17.222222222222221</c:v>
                </c:pt>
                <c:pt idx="16">
                  <c:v>12.111111111111111</c:v>
                </c:pt>
                <c:pt idx="17">
                  <c:v>13.4</c:v>
                </c:pt>
                <c:pt idx="18">
                  <c:v>13.181818181818182</c:v>
                </c:pt>
                <c:pt idx="19">
                  <c:v>14</c:v>
                </c:pt>
                <c:pt idx="20">
                  <c:v>10.666666666666666</c:v>
                </c:pt>
                <c:pt idx="21">
                  <c:v>12.6</c:v>
                </c:pt>
                <c:pt idx="22">
                  <c:v>13.090909090909092</c:v>
                </c:pt>
                <c:pt idx="23">
                  <c:v>14.4</c:v>
                </c:pt>
                <c:pt idx="24">
                  <c:v>15.222222222222221</c:v>
                </c:pt>
                <c:pt idx="25">
                  <c:v>11.9</c:v>
                </c:pt>
                <c:pt idx="26">
                  <c:v>14</c:v>
                </c:pt>
                <c:pt idx="27">
                  <c:v>13.666666666666666</c:v>
                </c:pt>
                <c:pt idx="28">
                  <c:v>14.25</c:v>
                </c:pt>
                <c:pt idx="29">
                  <c:v>12.3</c:v>
                </c:pt>
                <c:pt idx="30">
                  <c:v>14.8</c:v>
                </c:pt>
                <c:pt idx="31">
                  <c:v>15.125</c:v>
                </c:pt>
                <c:pt idx="32">
                  <c:v>11.125</c:v>
                </c:pt>
                <c:pt idx="33">
                  <c:v>11.777777777777779</c:v>
                </c:pt>
                <c:pt idx="34">
                  <c:v>16.5</c:v>
                </c:pt>
                <c:pt idx="35">
                  <c:v>10.333333333333334</c:v>
                </c:pt>
                <c:pt idx="36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4" totalsRowCount="1" headerRowDxfId="62" dataDxfId="61" totalsRowDxfId="60">
  <sortState xmlns:xlrd2="http://schemas.microsoft.com/office/spreadsheetml/2017/richdata2" ref="B7:N43">
    <sortCondition ref="C16:C43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12.7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+(SUMIFS(G:G,M:M,"MICRO",E:E,"&gt;0")*100)/COUNTIF($E$7:$E$43,"&gt;0")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4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0.125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+SUM(G6:G1855)/2</f>
        <v>4185</v>
      </c>
      <c r="R3" s="55">
        <f>+SUM(E6:E1855)/2</f>
        <v>327</v>
      </c>
      <c r="S3" s="55">
        <f>+Q3-R3</f>
        <v>3858</v>
      </c>
      <c r="T3" s="56">
        <f>+S3/R3</f>
        <v>11.79816513761468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46024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22.5" x14ac:dyDescent="0.2">
      <c r="B7" s="136" t="s">
        <v>122</v>
      </c>
      <c r="C7" s="166">
        <v>1</v>
      </c>
      <c r="D7" s="136" t="s">
        <v>168</v>
      </c>
      <c r="E7" s="150">
        <v>9</v>
      </c>
      <c r="F7" s="150">
        <v>0.5</v>
      </c>
      <c r="G7" s="382">
        <v>89</v>
      </c>
      <c r="H7" s="377">
        <f>+G7/E7</f>
        <v>9.8888888888888893</v>
      </c>
      <c r="I7" s="378">
        <f>+(SUM($G$7:$G$1048576)/SUM($E$7:$E$1048576))*E7</f>
        <v>115.18348623853211</v>
      </c>
      <c r="J7" s="379">
        <f>+Tabla2[[#This Row],[PROM DE USUARIOS]]-Tabla2[[#This Row],[USUARIOS]]</f>
        <v>26.183486238532112</v>
      </c>
      <c r="K7" s="380" t="s">
        <v>191</v>
      </c>
      <c r="L7" s="163">
        <f>P7*585</f>
        <v>58666.424449541286</v>
      </c>
      <c r="M7" s="162" t="str">
        <f>+VLOOKUP(C7,Lista!B:D,3,0)</f>
        <v>MICRO</v>
      </c>
      <c r="N7" s="164">
        <f t="shared" ref="N7:N43" si="0">+(SUMIFS(G:G,M:M,"MICRO",E:E,"&gt;0")*100)/COUNTIF($E$7:$E$43,"&gt;0")</f>
        <v>6902.7027027027025</v>
      </c>
      <c r="O7" s="50">
        <f t="shared" ref="O7:O43" si="1">+(E7*1)-V7</f>
        <v>8.5</v>
      </c>
      <c r="P7" s="47">
        <f t="shared" ref="P7:P43" si="2">+I7-O7-W7</f>
        <v>100.28448623853211</v>
      </c>
      <c r="Q7" s="49">
        <f t="shared" ref="Q7:Q43" si="3">+G7-O7</f>
        <v>80.5</v>
      </c>
      <c r="R7" s="51">
        <f t="shared" ref="R7:R43" si="4">+E7*$T$3</f>
        <v>106.18348623853211</v>
      </c>
      <c r="S7" s="46">
        <f t="shared" ref="S7:S43" si="5">+R7*550</f>
        <v>58400.917431192662</v>
      </c>
      <c r="T7" s="2" t="str">
        <f t="shared" ref="T7:T43" si="6">+IF(K7&lt;&gt;"",K7,"")</f>
        <v xml:space="preserve">Se descuenta 0.5 viaje de 11 38 am ya que NO espera el tiempo indicado en el paradero. </v>
      </c>
      <c r="U7" s="2">
        <f>+RANK(H7,$H$6:$H$1048576,1)</f>
        <v>5</v>
      </c>
      <c r="V7" s="2">
        <v>0.5</v>
      </c>
      <c r="W7" s="2">
        <v>6.399</v>
      </c>
      <c r="Y7" s="2" t="str">
        <f>TRIM(Tabla2[[#This Row],[CONDUCTOR]])</f>
        <v>HINCAPIE VILLA JUAN ESTIVEN</v>
      </c>
    </row>
    <row r="8" spans="1:32" x14ac:dyDescent="0.2">
      <c r="B8" s="136" t="s">
        <v>121</v>
      </c>
      <c r="C8" s="166">
        <v>2</v>
      </c>
      <c r="D8" s="151" t="s">
        <v>169</v>
      </c>
      <c r="E8" s="150">
        <v>9</v>
      </c>
      <c r="F8" s="150">
        <v>0</v>
      </c>
      <c r="G8" s="165">
        <v>109</v>
      </c>
      <c r="H8" s="226">
        <f>+G8/E8</f>
        <v>12.111111111111111</v>
      </c>
      <c r="I8" s="227">
        <f>+(SUM($G$7:$G$1048576)/SUM($E$7:$E$1048576))*E8</f>
        <v>115.18348623853211</v>
      </c>
      <c r="J8" s="363">
        <f>+Tabla2[[#This Row],[PROM DE USUARIOS]]-Tabla2[[#This Row],[USUARIOS]]</f>
        <v>6.1834862385321117</v>
      </c>
      <c r="K8" s="151"/>
      <c r="L8" s="163">
        <f>P8*585</f>
        <v>62117.339449541287</v>
      </c>
      <c r="M8" s="162">
        <f>+VLOOKUP(C8,Lista!B:D,3,0)</f>
        <v>0</v>
      </c>
      <c r="N8" s="164">
        <f t="shared" si="0"/>
        <v>6902.7027027027025</v>
      </c>
      <c r="O8" s="50">
        <f t="shared" si="1"/>
        <v>9</v>
      </c>
      <c r="P8" s="47">
        <f t="shared" si="2"/>
        <v>106.18348623853211</v>
      </c>
      <c r="Q8" s="49">
        <f t="shared" si="3"/>
        <v>100</v>
      </c>
      <c r="R8" s="51">
        <f t="shared" si="4"/>
        <v>106.18348623853211</v>
      </c>
      <c r="S8" s="46">
        <f t="shared" si="5"/>
        <v>58400.917431192662</v>
      </c>
      <c r="T8" t="str">
        <f t="shared" si="6"/>
        <v/>
      </c>
      <c r="U8">
        <f>+RANK(H8,$H$6:$H$1048576,1)</f>
        <v>14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37">
        <v>3</v>
      </c>
      <c r="D9" s="151" t="s">
        <v>172</v>
      </c>
      <c r="E9" s="150">
        <v>9</v>
      </c>
      <c r="F9" s="150">
        <v>0</v>
      </c>
      <c r="G9" s="146">
        <v>118</v>
      </c>
      <c r="H9" s="226">
        <f>+G9/E9</f>
        <v>13.111111111111111</v>
      </c>
      <c r="I9" s="227">
        <f>+(SUM($G$7:$G$1048576)/SUM($E$7:$E$1048576))*E9</f>
        <v>115.18348623853211</v>
      </c>
      <c r="J9" s="363">
        <f>+Tabla2[[#This Row],[PROM DE USUARIOS]]-Tabla2[[#This Row],[USUARIOS]]</f>
        <v>-2.8165137614678883</v>
      </c>
      <c r="K9" s="151"/>
      <c r="L9" s="163">
        <f>P9*585</f>
        <v>62117.339449541287</v>
      </c>
      <c r="M9" s="162" t="str">
        <f>+VLOOKUP(C9,Lista!B:D,3,0)</f>
        <v>MICRO</v>
      </c>
      <c r="N9" s="164">
        <f t="shared" si="0"/>
        <v>6902.7027027027025</v>
      </c>
      <c r="O9" s="50">
        <f t="shared" si="1"/>
        <v>9</v>
      </c>
      <c r="P9" s="47">
        <f t="shared" si="2"/>
        <v>106.18348623853211</v>
      </c>
      <c r="Q9" s="49">
        <f t="shared" si="3"/>
        <v>109</v>
      </c>
      <c r="R9" s="51">
        <f t="shared" si="4"/>
        <v>106.18348623853211</v>
      </c>
      <c r="S9" s="46">
        <f t="shared" si="5"/>
        <v>58400.917431192662</v>
      </c>
      <c r="T9" t="str">
        <f t="shared" si="6"/>
        <v/>
      </c>
      <c r="U9">
        <f>+RANK(H9,$H$6:$H$1048576,1)</f>
        <v>22</v>
      </c>
      <c r="Y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4</v>
      </c>
      <c r="D10" s="151" t="s">
        <v>177</v>
      </c>
      <c r="E10" s="150">
        <v>9</v>
      </c>
      <c r="F10" s="150">
        <v>0</v>
      </c>
      <c r="G10" s="165">
        <v>140</v>
      </c>
      <c r="H10" s="226">
        <f>+G10/E10</f>
        <v>15.555555555555555</v>
      </c>
      <c r="I10" s="227">
        <f>+(SUM($G$7:$G$1048576)/SUM($E$7:$E$1048576))*E10</f>
        <v>115.18348623853211</v>
      </c>
      <c r="J10" s="363">
        <f>+Tabla2[[#This Row],[PROM DE USUARIOS]]-Tabla2[[#This Row],[USUARIOS]]</f>
        <v>-24.816513761467888</v>
      </c>
      <c r="K10" s="151"/>
      <c r="L10" s="163">
        <f>P10*585</f>
        <v>62117.339449541287</v>
      </c>
      <c r="M10" s="162" t="str">
        <f>+VLOOKUP(C10,Lista!B:D,3,0)</f>
        <v>MICRO</v>
      </c>
      <c r="N10" s="164">
        <f t="shared" si="0"/>
        <v>6902.7027027027025</v>
      </c>
      <c r="O10" s="50">
        <f t="shared" si="1"/>
        <v>9</v>
      </c>
      <c r="P10" s="47">
        <f t="shared" si="2"/>
        <v>106.18348623853211</v>
      </c>
      <c r="Q10" s="49">
        <f t="shared" si="3"/>
        <v>131</v>
      </c>
      <c r="R10" s="51">
        <f t="shared" si="4"/>
        <v>106.18348623853211</v>
      </c>
      <c r="S10" s="46">
        <f t="shared" si="5"/>
        <v>58400.917431192662</v>
      </c>
      <c r="T10" t="str">
        <f t="shared" si="6"/>
        <v/>
      </c>
      <c r="U10">
        <f>+RANK(H10,$H$6:$H$1048576,1)</f>
        <v>35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37">
        <v>5</v>
      </c>
      <c r="D11" s="151" t="s">
        <v>179</v>
      </c>
      <c r="E11" s="150">
        <v>7</v>
      </c>
      <c r="F11" s="150">
        <v>0</v>
      </c>
      <c r="G11" s="146">
        <v>67</v>
      </c>
      <c r="H11" s="226">
        <f>+G11/E11</f>
        <v>9.5714285714285712</v>
      </c>
      <c r="I11" s="227">
        <f>+(SUM($G$7:$G$1048576)/SUM($E$7:$E$1048576))*E11</f>
        <v>89.587155963302763</v>
      </c>
      <c r="J11" s="363">
        <f>+Tabla2[[#This Row],[PROM DE USUARIOS]]-Tabla2[[#This Row],[USUARIOS]]</f>
        <v>22.587155963302763</v>
      </c>
      <c r="K11" s="151"/>
      <c r="L11" s="163">
        <f>P11*585</f>
        <v>48313.486238532118</v>
      </c>
      <c r="M11" s="162">
        <f>+VLOOKUP(C11,Lista!B:D,3,0)</f>
        <v>0</v>
      </c>
      <c r="N11" s="164">
        <f t="shared" si="0"/>
        <v>6902.7027027027025</v>
      </c>
      <c r="O11" s="50">
        <f t="shared" si="1"/>
        <v>7</v>
      </c>
      <c r="P11" s="47">
        <f t="shared" si="2"/>
        <v>82.587155963302763</v>
      </c>
      <c r="Q11" s="49">
        <f t="shared" si="3"/>
        <v>60</v>
      </c>
      <c r="R11" s="51">
        <f t="shared" si="4"/>
        <v>82.587155963302763</v>
      </c>
      <c r="S11" s="46">
        <f t="shared" si="5"/>
        <v>45422.935779816522</v>
      </c>
      <c r="T11" t="str">
        <f t="shared" si="6"/>
        <v/>
      </c>
      <c r="U11">
        <f>+RANK(H11,$H$6:$H$1048576,1)</f>
        <v>3</v>
      </c>
      <c r="Y11" t="str">
        <f>TRIM(Tabla2[[#This Row],[CONDUCTOR]])</f>
        <v>LONDOÑO LOPERA DUVAN ANDRES</v>
      </c>
    </row>
    <row r="12" spans="1:32" s="2" customFormat="1" ht="22.5" x14ac:dyDescent="0.2">
      <c r="B12" s="136" t="s">
        <v>121</v>
      </c>
      <c r="C12" s="166">
        <v>6</v>
      </c>
      <c r="D12" s="136" t="s">
        <v>180</v>
      </c>
      <c r="E12" s="150">
        <v>10</v>
      </c>
      <c r="F12" s="150">
        <v>0.5</v>
      </c>
      <c r="G12" s="382">
        <v>103</v>
      </c>
      <c r="H12" s="377">
        <f>+G12/E12</f>
        <v>10.3</v>
      </c>
      <c r="I12" s="378">
        <f>+(SUM($G$7:$G$1048576)/SUM($E$7:$E$1048576))*E12</f>
        <v>127.9816513761468</v>
      </c>
      <c r="J12" s="379">
        <f>+Tabla2[[#This Row],[PROM DE USUARIOS]]-Tabla2[[#This Row],[USUARIOS]]</f>
        <v>24.9816513761468</v>
      </c>
      <c r="K12" s="380" t="s">
        <v>190</v>
      </c>
      <c r="L12" s="163">
        <f>P12*585</f>
        <v>65568.351055045874</v>
      </c>
      <c r="M12" s="162" t="str">
        <f>+VLOOKUP(C12,Lista!B:D,3,0)</f>
        <v>MICRO</v>
      </c>
      <c r="N12" s="164">
        <f t="shared" si="0"/>
        <v>6902.7027027027025</v>
      </c>
      <c r="O12" s="50">
        <f t="shared" si="1"/>
        <v>9.5</v>
      </c>
      <c r="P12" s="47">
        <f t="shared" si="2"/>
        <v>112.0826513761468</v>
      </c>
      <c r="Q12" s="49">
        <f t="shared" si="3"/>
        <v>93.5</v>
      </c>
      <c r="R12" s="51">
        <f t="shared" si="4"/>
        <v>117.9816513761468</v>
      </c>
      <c r="S12" s="46">
        <f t="shared" si="5"/>
        <v>64889.908256880743</v>
      </c>
      <c r="T12" s="2" t="str">
        <f t="shared" si="6"/>
        <v xml:space="preserve">Se descuenta 0.5 viaje de 7 53 am ya que NO espera el tiempo indicado en el paradero. </v>
      </c>
      <c r="U12" s="2">
        <f>+RANK(H12,$H$6:$H$1048576,1)</f>
        <v>7</v>
      </c>
      <c r="V12" s="2">
        <v>0.5</v>
      </c>
      <c r="W12" s="2">
        <v>6.399</v>
      </c>
      <c r="Y12" s="2" t="str">
        <f>TRIM(Tabla2[[#This Row],[CONDUCTOR]])</f>
        <v>LOPEZ PINEDA DANIEL ESTIVEN</v>
      </c>
    </row>
    <row r="13" spans="1:32" s="2" customFormat="1" ht="22.5" x14ac:dyDescent="0.2">
      <c r="B13" s="136" t="s">
        <v>122</v>
      </c>
      <c r="C13" s="166">
        <v>8</v>
      </c>
      <c r="D13" s="136" t="s">
        <v>181</v>
      </c>
      <c r="E13" s="150">
        <v>9</v>
      </c>
      <c r="F13" s="150">
        <v>0.5</v>
      </c>
      <c r="G13" s="376">
        <v>88</v>
      </c>
      <c r="H13" s="377">
        <f>+G13/E13</f>
        <v>9.7777777777777786</v>
      </c>
      <c r="I13" s="381">
        <f>+(SUM($G$7:$G$1048576)/SUM($E$7:$E$1048576))*E13</f>
        <v>115.18348623853211</v>
      </c>
      <c r="J13" s="379">
        <f>+Tabla2[[#This Row],[PROM DE USUARIOS]]-Tabla2[[#This Row],[USUARIOS]]</f>
        <v>27.183486238532112</v>
      </c>
      <c r="K13" s="380" t="s">
        <v>189</v>
      </c>
      <c r="L13" s="163">
        <f>P13*585</f>
        <v>58666.424449541286</v>
      </c>
      <c r="M13" s="162">
        <f>+VLOOKUP(C13,Lista!B:D,3,0)</f>
        <v>0</v>
      </c>
      <c r="N13" s="164">
        <f t="shared" si="0"/>
        <v>6902.7027027027025</v>
      </c>
      <c r="O13" s="50">
        <f t="shared" si="1"/>
        <v>8.5</v>
      </c>
      <c r="P13" s="47">
        <f t="shared" si="2"/>
        <v>100.28448623853211</v>
      </c>
      <c r="Q13" s="49">
        <f t="shared" si="3"/>
        <v>79.5</v>
      </c>
      <c r="R13" s="51">
        <f t="shared" si="4"/>
        <v>106.18348623853211</v>
      </c>
      <c r="S13" s="46">
        <f t="shared" si="5"/>
        <v>58400.917431192662</v>
      </c>
      <c r="T13" s="2" t="str">
        <f t="shared" si="6"/>
        <v xml:space="preserve">Se descuenta 0.5 viaje de 12 18 pm ya que NO espera el tiempo indicado en el paradero. </v>
      </c>
      <c r="U13" s="2">
        <f>+RANK(H13,$H$6:$H$1048576,1)</f>
        <v>4</v>
      </c>
      <c r="V13" s="2">
        <v>0.5</v>
      </c>
      <c r="W13" s="2">
        <v>6.399</v>
      </c>
      <c r="Y13" s="2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182</v>
      </c>
      <c r="E14" s="150">
        <v>9</v>
      </c>
      <c r="F14" s="150">
        <v>0</v>
      </c>
      <c r="G14" s="146">
        <v>104</v>
      </c>
      <c r="H14" s="226">
        <f>+G14/E14</f>
        <v>11.555555555555555</v>
      </c>
      <c r="I14" s="364">
        <f>+(SUM($G$7:$G$1048576)/SUM($E$7:$E$1048576))*E14</f>
        <v>115.18348623853211</v>
      </c>
      <c r="J14" s="363">
        <f>+Tabla2[[#This Row],[PROM DE USUARIOS]]-Tabla2[[#This Row],[USUARIOS]]</f>
        <v>11.183486238532112</v>
      </c>
      <c r="K14" s="151" t="s">
        <v>185</v>
      </c>
      <c r="L14" s="163">
        <f>P14*585</f>
        <v>62117.339449541287</v>
      </c>
      <c r="M14" s="162" t="str">
        <f>+VLOOKUP(C14,Lista!B:D,3,0)</f>
        <v>MICRO</v>
      </c>
      <c r="N14" s="164">
        <f t="shared" si="0"/>
        <v>6902.7027027027025</v>
      </c>
      <c r="O14" s="50">
        <f t="shared" si="1"/>
        <v>9</v>
      </c>
      <c r="P14" s="47">
        <f t="shared" si="2"/>
        <v>106.18348623853211</v>
      </c>
      <c r="Q14" s="49">
        <f t="shared" si="3"/>
        <v>95</v>
      </c>
      <c r="R14" s="51">
        <f t="shared" si="4"/>
        <v>106.18348623853211</v>
      </c>
      <c r="S14" s="46">
        <f t="shared" si="5"/>
        <v>58400.917431192662</v>
      </c>
      <c r="T14" t="str">
        <f t="shared" si="6"/>
        <v xml:space="preserve">1 Descuento (Despachador) </v>
      </c>
      <c r="U14">
        <f>+RANK(H14,$H$6:$H$1048576,1)</f>
        <v>11</v>
      </c>
      <c r="Y14" t="str">
        <f>TRIM(Tabla2[[#This Row],[CONDUCTOR]])</f>
        <v>JIMENEZ HURTADO CARLOS ESTIVEN</v>
      </c>
    </row>
    <row r="15" spans="1:32" x14ac:dyDescent="0.2">
      <c r="B15" s="136" t="s">
        <v>121</v>
      </c>
      <c r="C15" s="137">
        <v>11</v>
      </c>
      <c r="D15" s="151" t="s">
        <v>165</v>
      </c>
      <c r="E15" s="150">
        <v>10</v>
      </c>
      <c r="F15" s="150">
        <v>0</v>
      </c>
      <c r="G15" s="146">
        <v>129</v>
      </c>
      <c r="H15" s="226">
        <f>+G15/E15</f>
        <v>12.9</v>
      </c>
      <c r="I15" s="227">
        <f>+(SUM($G$7:$G$1048576)/SUM($E$7:$E$1048576))*E15</f>
        <v>127.9816513761468</v>
      </c>
      <c r="J15" s="363">
        <f>+Tabla2[[#This Row],[PROM DE USUARIOS]]-Tabla2[[#This Row],[USUARIOS]]</f>
        <v>-1.0183486238531998</v>
      </c>
      <c r="K15" s="151"/>
      <c r="L15" s="163">
        <f>P15*585</f>
        <v>69019.266055045882</v>
      </c>
      <c r="M15" s="162" t="str">
        <f>+VLOOKUP(C15,Lista!B:D,3,0)</f>
        <v>MICRO</v>
      </c>
      <c r="N15" s="164">
        <f t="shared" si="0"/>
        <v>6902.7027027027025</v>
      </c>
      <c r="O15" s="50">
        <f t="shared" si="1"/>
        <v>10</v>
      </c>
      <c r="P15" s="47">
        <f t="shared" si="2"/>
        <v>117.9816513761468</v>
      </c>
      <c r="Q15" s="49">
        <f t="shared" si="3"/>
        <v>119</v>
      </c>
      <c r="R15" s="51">
        <f t="shared" si="4"/>
        <v>117.9816513761468</v>
      </c>
      <c r="S15" s="46">
        <f t="shared" si="5"/>
        <v>64889.908256880743</v>
      </c>
      <c r="T15" t="str">
        <f t="shared" si="6"/>
        <v/>
      </c>
      <c r="U15">
        <f>+RANK(H15,$H$6:$H$1048576,1)</f>
        <v>20</v>
      </c>
      <c r="Y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166</v>
      </c>
      <c r="E16" s="150">
        <v>9</v>
      </c>
      <c r="F16" s="150">
        <v>0</v>
      </c>
      <c r="G16" s="165">
        <v>112</v>
      </c>
      <c r="H16" s="226">
        <f>+G16/E16</f>
        <v>12.444444444444445</v>
      </c>
      <c r="I16" s="227">
        <f>+(SUM($G$7:$G$1048576)/SUM($E$7:$E$1048576))*E16</f>
        <v>115.18348623853211</v>
      </c>
      <c r="J16" s="363">
        <f>+Tabla2[[#This Row],[PROM DE USUARIOS]]-Tabla2[[#This Row],[USUARIOS]]</f>
        <v>3.1834862385321117</v>
      </c>
      <c r="K16" s="151"/>
      <c r="L16" s="163">
        <f>P16*585</f>
        <v>62117.339449541287</v>
      </c>
      <c r="M16" s="162">
        <f>+VLOOKUP(C16,Lista!B:D,3,0)</f>
        <v>0</v>
      </c>
      <c r="N16" s="164">
        <f t="shared" si="0"/>
        <v>6902.7027027027025</v>
      </c>
      <c r="O16" s="50">
        <f t="shared" si="1"/>
        <v>9</v>
      </c>
      <c r="P16" s="47">
        <f t="shared" si="2"/>
        <v>106.18348623853211</v>
      </c>
      <c r="Q16" s="49">
        <f t="shared" si="3"/>
        <v>103</v>
      </c>
      <c r="R16" s="51">
        <f t="shared" si="4"/>
        <v>106.18348623853211</v>
      </c>
      <c r="S16" s="46">
        <f t="shared" si="5"/>
        <v>58400.917431192662</v>
      </c>
      <c r="T16" t="str">
        <f t="shared" si="6"/>
        <v/>
      </c>
      <c r="U16">
        <f>+RANK(H16,$H$6:$H$1048576,1)</f>
        <v>17</v>
      </c>
      <c r="Y16" t="str">
        <f>TRIM(Tabla2[[#This Row],[CONDUCTOR]])</f>
        <v>MACIAS HERNANDEZ JULIAN DAVID</v>
      </c>
    </row>
    <row r="17" spans="2:25" x14ac:dyDescent="0.2">
      <c r="B17" s="136" t="s">
        <v>121</v>
      </c>
      <c r="C17" s="166">
        <v>13</v>
      </c>
      <c r="D17" s="151" t="s">
        <v>167</v>
      </c>
      <c r="E17" s="150">
        <v>9</v>
      </c>
      <c r="F17" s="150">
        <v>0</v>
      </c>
      <c r="G17" s="165">
        <v>151</v>
      </c>
      <c r="H17" s="226">
        <f>+G17/E17</f>
        <v>16.777777777777779</v>
      </c>
      <c r="I17" s="227">
        <f>+(SUM($G$7:$G$1048576)/SUM($E$7:$E$1048576))*E17</f>
        <v>115.18348623853211</v>
      </c>
      <c r="J17" s="363">
        <f>+Tabla2[[#This Row],[PROM DE USUARIOS]]-Tabla2[[#This Row],[USUARIOS]]</f>
        <v>-35.816513761467888</v>
      </c>
      <c r="K17" s="151"/>
      <c r="L17" s="163">
        <f>P17*585</f>
        <v>62117.339449541287</v>
      </c>
      <c r="M17" s="162" t="str">
        <f>+VLOOKUP(C17,Lista!B:D,3,0)</f>
        <v>MICRO</v>
      </c>
      <c r="N17" s="164">
        <f t="shared" si="0"/>
        <v>6902.7027027027025</v>
      </c>
      <c r="O17" s="50">
        <f t="shared" si="1"/>
        <v>9</v>
      </c>
      <c r="P17" s="47">
        <f t="shared" si="2"/>
        <v>106.18348623853211</v>
      </c>
      <c r="Q17" s="49">
        <f t="shared" si="3"/>
        <v>142</v>
      </c>
      <c r="R17" s="51">
        <f t="shared" si="4"/>
        <v>106.18348623853211</v>
      </c>
      <c r="S17" s="46">
        <f t="shared" si="5"/>
        <v>58400.917431192662</v>
      </c>
      <c r="T17" t="str">
        <f t="shared" si="6"/>
        <v/>
      </c>
      <c r="U17">
        <f>+RANK(H17,$H$6:$H$1048576,1)</f>
        <v>37</v>
      </c>
      <c r="Y17" t="str">
        <f>TRIM(Tabla2[[#This Row],[CONDUCTOR]])</f>
        <v>MIRANDA MACHADO ALVARO</v>
      </c>
    </row>
    <row r="18" spans="2:25" x14ac:dyDescent="0.2">
      <c r="B18" s="136" t="s">
        <v>122</v>
      </c>
      <c r="C18" s="137">
        <v>14</v>
      </c>
      <c r="D18" s="151" t="s">
        <v>184</v>
      </c>
      <c r="E18" s="150">
        <v>4</v>
      </c>
      <c r="F18" s="150">
        <v>0</v>
      </c>
      <c r="G18" s="165">
        <v>37</v>
      </c>
      <c r="H18" s="226">
        <f>+G18/E18</f>
        <v>9.25</v>
      </c>
      <c r="I18" s="227">
        <f>+(SUM($G$7:$G$1048576)/SUM($E$7:$E$1048576))*E18</f>
        <v>51.192660550458719</v>
      </c>
      <c r="J18" s="363">
        <f>+Tabla2[[#This Row],[PROM DE USUARIOS]]-Tabla2[[#This Row],[USUARIOS]]</f>
        <v>14.192660550458719</v>
      </c>
      <c r="K18" s="151"/>
      <c r="L18" s="163">
        <f>P18*585</f>
        <v>27607.706422018349</v>
      </c>
      <c r="M18" s="162">
        <f>+VLOOKUP(C18,Lista!B:D,3,0)</f>
        <v>0</v>
      </c>
      <c r="N18" s="164">
        <f t="shared" si="0"/>
        <v>6902.7027027027025</v>
      </c>
      <c r="O18" s="50">
        <f t="shared" si="1"/>
        <v>4</v>
      </c>
      <c r="P18" s="47">
        <f t="shared" si="2"/>
        <v>47.192660550458719</v>
      </c>
      <c r="Q18" s="49">
        <f t="shared" si="3"/>
        <v>33</v>
      </c>
      <c r="R18" s="51">
        <f t="shared" si="4"/>
        <v>47.192660550458719</v>
      </c>
      <c r="S18" s="46">
        <f t="shared" si="5"/>
        <v>25955.963302752294</v>
      </c>
      <c r="T18" t="str">
        <f t="shared" si="6"/>
        <v/>
      </c>
      <c r="U18">
        <f>+RANK(H18,$H$6:$H$1048576,1)</f>
        <v>2</v>
      </c>
      <c r="Y18" t="str">
        <f>TRIM(Tabla2[[#This Row],[CONDUCTOR]])</f>
        <v>DURANGO PAEZ GILDARDO</v>
      </c>
    </row>
    <row r="19" spans="2:25" s="2" customFormat="1" ht="22.5" x14ac:dyDescent="0.2">
      <c r="B19" s="136" t="s">
        <v>121</v>
      </c>
      <c r="C19" s="166">
        <v>15</v>
      </c>
      <c r="D19" s="136" t="s">
        <v>175</v>
      </c>
      <c r="E19" s="150">
        <v>7</v>
      </c>
      <c r="F19" s="150">
        <v>0.5</v>
      </c>
      <c r="G19" s="376">
        <v>56</v>
      </c>
      <c r="H19" s="377">
        <f>+G19/E19</f>
        <v>8</v>
      </c>
      <c r="I19" s="378">
        <f>+(SUM($G$7:$G$1048576)/SUM($E$7:$E$1048576))*E19</f>
        <v>89.587155963302763</v>
      </c>
      <c r="J19" s="379">
        <f>+Tabla2[[#This Row],[PROM DE USUARIOS]]-Tabla2[[#This Row],[USUARIOS]]</f>
        <v>33.587155963302763</v>
      </c>
      <c r="K19" s="380" t="s">
        <v>188</v>
      </c>
      <c r="L19" s="163">
        <f>P19*585</f>
        <v>44862.571238532117</v>
      </c>
      <c r="M19" s="162">
        <f>+VLOOKUP(C19,Lista!B:D,3,0)</f>
        <v>0</v>
      </c>
      <c r="N19" s="164">
        <f t="shared" si="0"/>
        <v>6902.7027027027025</v>
      </c>
      <c r="O19" s="50">
        <f t="shared" si="1"/>
        <v>6.5</v>
      </c>
      <c r="P19" s="47">
        <f t="shared" si="2"/>
        <v>76.688155963302762</v>
      </c>
      <c r="Q19" s="49">
        <f t="shared" si="3"/>
        <v>49.5</v>
      </c>
      <c r="R19" s="51">
        <f t="shared" si="4"/>
        <v>82.587155963302763</v>
      </c>
      <c r="S19" s="46">
        <f t="shared" si="5"/>
        <v>45422.935779816522</v>
      </c>
      <c r="T19" s="2" t="str">
        <f t="shared" si="6"/>
        <v xml:space="preserve">Se descuenta 0.5 viaje de 12 44 pm ya que NO espera el tiempo indicado en el paradero. </v>
      </c>
      <c r="U19" s="2">
        <f>+RANK(H19,$H$6:$H$1048576,1)</f>
        <v>1</v>
      </c>
      <c r="V19" s="2">
        <v>0.5</v>
      </c>
      <c r="W19" s="2">
        <v>6.399</v>
      </c>
      <c r="Y19" s="2" t="str">
        <f>TRIM(Tabla2[[#This Row],[CONDUCTOR]])</f>
        <v>ESPINOZA CHAVARRIA GUILLERMO LEON</v>
      </c>
    </row>
    <row r="20" spans="2:25" x14ac:dyDescent="0.2">
      <c r="B20" s="136" t="s">
        <v>122</v>
      </c>
      <c r="C20" s="166">
        <v>16</v>
      </c>
      <c r="D20" s="151" t="s">
        <v>176</v>
      </c>
      <c r="E20" s="150">
        <v>3</v>
      </c>
      <c r="F20" s="150">
        <v>0</v>
      </c>
      <c r="G20" s="165">
        <v>44</v>
      </c>
      <c r="H20" s="226">
        <f>+G20/E20</f>
        <v>14.666666666666666</v>
      </c>
      <c r="I20" s="227">
        <f>+(SUM($G$7:$G$1048576)/SUM($E$7:$E$1048576))*E20</f>
        <v>38.394495412844037</v>
      </c>
      <c r="J20" s="363">
        <f>+Tabla2[[#This Row],[PROM DE USUARIOS]]-Tabla2[[#This Row],[USUARIOS]]</f>
        <v>-5.6055045871559628</v>
      </c>
      <c r="K20" s="151"/>
      <c r="L20" s="163">
        <f>P20*585</f>
        <v>20705.779816513761</v>
      </c>
      <c r="M20" s="162" t="str">
        <f>+VLOOKUP(C20,Lista!B:D,3,0)</f>
        <v>MICRO</v>
      </c>
      <c r="N20" s="164">
        <f t="shared" si="0"/>
        <v>6902.7027027027025</v>
      </c>
      <c r="O20" s="50">
        <f t="shared" si="1"/>
        <v>3</v>
      </c>
      <c r="P20" s="47">
        <f t="shared" si="2"/>
        <v>35.394495412844037</v>
      </c>
      <c r="Q20" s="49">
        <f t="shared" si="3"/>
        <v>41</v>
      </c>
      <c r="R20" s="51">
        <f t="shared" si="4"/>
        <v>35.394495412844037</v>
      </c>
      <c r="S20" s="46">
        <f t="shared" si="5"/>
        <v>19466.972477064221</v>
      </c>
      <c r="T20" t="str">
        <f t="shared" si="6"/>
        <v/>
      </c>
      <c r="U20">
        <f>+RANK(H20,$H$6:$H$1048576,1)</f>
        <v>31</v>
      </c>
      <c r="Y20" t="str">
        <f>TRIM(Tabla2[[#This Row],[CONDUCTOR]])</f>
        <v>SUAREZ ESCUDERO JONATAN</v>
      </c>
    </row>
    <row r="21" spans="2:25" x14ac:dyDescent="0.2">
      <c r="B21" s="136" t="s">
        <v>121</v>
      </c>
      <c r="C21" s="166">
        <v>18</v>
      </c>
      <c r="D21" s="151" t="s">
        <v>183</v>
      </c>
      <c r="E21" s="150">
        <v>9</v>
      </c>
      <c r="F21" s="150">
        <v>0</v>
      </c>
      <c r="G21" s="146">
        <v>130</v>
      </c>
      <c r="H21" s="226">
        <f>+G21/E21</f>
        <v>14.444444444444445</v>
      </c>
      <c r="I21" s="364">
        <f>+(SUM($G$7:$G$1048576)/SUM($E$7:$E$1048576))*E21</f>
        <v>115.18348623853211</v>
      </c>
      <c r="J21" s="363">
        <f>+Tabla2[[#This Row],[PROM DE USUARIOS]]-Tabla2[[#This Row],[USUARIOS]]</f>
        <v>-14.816513761467888</v>
      </c>
      <c r="K21" s="151"/>
      <c r="L21" s="163">
        <f>P21*585</f>
        <v>62117.339449541287</v>
      </c>
      <c r="M21" s="162" t="str">
        <f>+VLOOKUP(C21,Lista!B:D,3,0)</f>
        <v>MICRO</v>
      </c>
      <c r="N21" s="164">
        <f t="shared" si="0"/>
        <v>6902.7027027027025</v>
      </c>
      <c r="O21" s="50">
        <f t="shared" si="1"/>
        <v>9</v>
      </c>
      <c r="P21" s="47">
        <f t="shared" si="2"/>
        <v>106.18348623853211</v>
      </c>
      <c r="Q21" s="49">
        <f t="shared" si="3"/>
        <v>121</v>
      </c>
      <c r="R21" s="51">
        <f t="shared" si="4"/>
        <v>106.18348623853211</v>
      </c>
      <c r="S21" s="46">
        <f t="shared" si="5"/>
        <v>58400.917431192662</v>
      </c>
      <c r="T21" t="str">
        <f t="shared" si="6"/>
        <v/>
      </c>
      <c r="U21">
        <f>+RANK(H21,$H$6:$H$1048576,1)</f>
        <v>30</v>
      </c>
      <c r="Y21" t="str">
        <f>TRIM(Tabla2[[#This Row],[CONDUCTOR]])</f>
        <v>ALBERTO ARISTIZABAL RAFAEL</v>
      </c>
    </row>
    <row r="22" spans="2:25" x14ac:dyDescent="0.2">
      <c r="B22" s="136" t="s">
        <v>122</v>
      </c>
      <c r="C22" s="166">
        <v>20</v>
      </c>
      <c r="D22" s="151" t="s">
        <v>163</v>
      </c>
      <c r="E22" s="150">
        <v>9</v>
      </c>
      <c r="F22" s="150"/>
      <c r="G22" s="165">
        <v>155</v>
      </c>
      <c r="H22" s="226">
        <f>+G22/E22</f>
        <v>17.222222222222221</v>
      </c>
      <c r="I22" s="227">
        <f>+(SUM($G$7:$G$1048576)/SUM($E$7:$E$1048576))*E22</f>
        <v>115.18348623853211</v>
      </c>
      <c r="J22" s="363">
        <f>+Tabla2[[#This Row],[PROM DE USUARIOS]]-Tabla2[[#This Row],[USUARIOS]]</f>
        <v>-39.816513761467888</v>
      </c>
      <c r="K22" s="151"/>
      <c r="L22" s="163">
        <f>P22*585</f>
        <v>62117.339449541287</v>
      </c>
      <c r="M22" s="162" t="str">
        <f>+VLOOKUP(C22,Lista!B:D,3,0)</f>
        <v>MICRO</v>
      </c>
      <c r="N22" s="164">
        <f t="shared" si="0"/>
        <v>6902.7027027027025</v>
      </c>
      <c r="O22" s="50">
        <f t="shared" si="1"/>
        <v>9</v>
      </c>
      <c r="P22" s="47">
        <f t="shared" si="2"/>
        <v>106.18348623853211</v>
      </c>
      <c r="Q22" s="49">
        <f t="shared" si="3"/>
        <v>146</v>
      </c>
      <c r="R22" s="51">
        <f t="shared" si="4"/>
        <v>106.18348623853211</v>
      </c>
      <c r="S22" s="46">
        <f t="shared" si="5"/>
        <v>58400.917431192662</v>
      </c>
      <c r="T22" t="str">
        <f t="shared" si="6"/>
        <v/>
      </c>
      <c r="U22">
        <f>+RANK(H22,$H$6:$H$1048576,1)</f>
        <v>38</v>
      </c>
      <c r="Y22" t="str">
        <f>TRIM(Tabla2[[#This Row],[CONDUCTOR]])</f>
        <v>VALENCIA MENDOZA JHON</v>
      </c>
    </row>
    <row r="23" spans="2:25" x14ac:dyDescent="0.2">
      <c r="B23" s="136" t="s">
        <v>121</v>
      </c>
      <c r="C23" s="166">
        <v>21</v>
      </c>
      <c r="D23" s="151" t="s">
        <v>157</v>
      </c>
      <c r="E23" s="150">
        <v>9</v>
      </c>
      <c r="F23" s="150">
        <v>0</v>
      </c>
      <c r="G23" s="146">
        <v>109</v>
      </c>
      <c r="H23" s="226">
        <f>+G23/E23</f>
        <v>12.111111111111111</v>
      </c>
      <c r="I23" s="364">
        <f>+(SUM($G$7:$G$1048576)/SUM($E$7:$E$1048576))*E23</f>
        <v>115.18348623853211</v>
      </c>
      <c r="J23" s="363">
        <f>+Tabla2[[#This Row],[PROM DE USUARIOS]]-Tabla2[[#This Row],[USUARIOS]]</f>
        <v>6.1834862385321117</v>
      </c>
      <c r="K23" s="151"/>
      <c r="L23" s="163">
        <f>P23*585</f>
        <v>62117.339449541287</v>
      </c>
      <c r="M23" s="162" t="str">
        <f>+VLOOKUP(C23,Lista!B:D,3,0)</f>
        <v>MICRO</v>
      </c>
      <c r="N23" s="164">
        <f t="shared" si="0"/>
        <v>6902.7027027027025</v>
      </c>
      <c r="O23" s="50">
        <f t="shared" si="1"/>
        <v>9</v>
      </c>
      <c r="P23" s="47">
        <f t="shared" si="2"/>
        <v>106.18348623853211</v>
      </c>
      <c r="Q23" s="49">
        <f t="shared" si="3"/>
        <v>100</v>
      </c>
      <c r="R23" s="51">
        <f t="shared" si="4"/>
        <v>106.18348623853211</v>
      </c>
      <c r="S23" s="46">
        <f t="shared" si="5"/>
        <v>58400.917431192662</v>
      </c>
      <c r="T23" t="str">
        <f t="shared" si="6"/>
        <v/>
      </c>
      <c r="U23">
        <f>+RANK(H23,$H$6:$H$1048576,1)</f>
        <v>14</v>
      </c>
      <c r="Y23" t="str">
        <f>TRIM(Tabla2[[#This Row],[CONDUCTOR]])</f>
        <v>DURANGO DAVID JOSE</v>
      </c>
    </row>
    <row r="24" spans="2:25" x14ac:dyDescent="0.2">
      <c r="B24" s="136" t="s">
        <v>122</v>
      </c>
      <c r="C24" s="166">
        <v>22</v>
      </c>
      <c r="D24" s="151" t="s">
        <v>149</v>
      </c>
      <c r="E24" s="150">
        <v>10</v>
      </c>
      <c r="F24" s="150">
        <v>0</v>
      </c>
      <c r="G24" s="146">
        <v>134</v>
      </c>
      <c r="H24" s="226">
        <f>+G24/E24</f>
        <v>13.4</v>
      </c>
      <c r="I24" s="364">
        <f>+(SUM($G$7:$G$1048576)/SUM($E$7:$E$1048576))*E24</f>
        <v>127.9816513761468</v>
      </c>
      <c r="J24" s="363">
        <f>+Tabla2[[#This Row],[PROM DE USUARIOS]]-Tabla2[[#This Row],[USUARIOS]]</f>
        <v>-6.0183486238531998</v>
      </c>
      <c r="K24" s="151"/>
      <c r="L24" s="163">
        <f>P24*585</f>
        <v>69019.266055045882</v>
      </c>
      <c r="M24" s="162">
        <f>+VLOOKUP(C24,Lista!B:D,3,0)</f>
        <v>0</v>
      </c>
      <c r="N24" s="164">
        <f t="shared" si="0"/>
        <v>6902.7027027027025</v>
      </c>
      <c r="O24" s="50">
        <f t="shared" si="1"/>
        <v>10</v>
      </c>
      <c r="P24" s="47">
        <f t="shared" si="2"/>
        <v>117.9816513761468</v>
      </c>
      <c r="Q24" s="49">
        <f t="shared" si="3"/>
        <v>124</v>
      </c>
      <c r="R24" s="51">
        <f t="shared" si="4"/>
        <v>117.9816513761468</v>
      </c>
      <c r="S24" s="46">
        <f t="shared" si="5"/>
        <v>64889.908256880743</v>
      </c>
      <c r="T24" t="str">
        <f t="shared" si="6"/>
        <v/>
      </c>
      <c r="U24">
        <f>+RANK(H24,$H$6:$H$1048576,1)</f>
        <v>24</v>
      </c>
      <c r="Y24" t="str">
        <f>TRIM(Tabla2[[#This Row],[CONDUCTOR]])</f>
        <v>QUIRAMA CASTAÑEDA JHON JADER</v>
      </c>
    </row>
    <row r="25" spans="2:25" x14ac:dyDescent="0.2">
      <c r="B25" s="136" t="s">
        <v>121</v>
      </c>
      <c r="C25" s="166">
        <v>23</v>
      </c>
      <c r="D25" s="151" t="s">
        <v>153</v>
      </c>
      <c r="E25" s="150">
        <v>11</v>
      </c>
      <c r="F25" s="150">
        <v>0</v>
      </c>
      <c r="G25" s="146">
        <v>145</v>
      </c>
      <c r="H25" s="226">
        <f>+G25/E25</f>
        <v>13.181818181818182</v>
      </c>
      <c r="I25" s="364">
        <f>+(SUM($G$7:$G$1048576)/SUM($E$7:$E$1048576))*E25</f>
        <v>140.77981651376149</v>
      </c>
      <c r="J25" s="363">
        <f>+Tabla2[[#This Row],[PROM DE USUARIOS]]-Tabla2[[#This Row],[USUARIOS]]</f>
        <v>-4.2201834862385113</v>
      </c>
      <c r="K25" s="151" t="s">
        <v>185</v>
      </c>
      <c r="L25" s="163">
        <f>P25*585</f>
        <v>75921.19266055047</v>
      </c>
      <c r="M25" s="162" t="str">
        <f>+VLOOKUP(C25,Lista!B:D,3,0)</f>
        <v xml:space="preserve">MICRO </v>
      </c>
      <c r="N25" s="164">
        <f t="shared" si="0"/>
        <v>6902.7027027027025</v>
      </c>
      <c r="O25" s="50">
        <f t="shared" si="1"/>
        <v>11</v>
      </c>
      <c r="P25" s="47">
        <f t="shared" si="2"/>
        <v>129.77981651376149</v>
      </c>
      <c r="Q25" s="49">
        <f t="shared" si="3"/>
        <v>134</v>
      </c>
      <c r="R25" s="51">
        <f t="shared" si="4"/>
        <v>129.77981651376149</v>
      </c>
      <c r="S25" s="46">
        <f t="shared" si="5"/>
        <v>71378.899082568823</v>
      </c>
      <c r="T25" t="str">
        <f t="shared" si="6"/>
        <v xml:space="preserve">1 Descuento (Despachador) </v>
      </c>
      <c r="U25">
        <f>+RANK(H25,$H$6:$H$1048576,1)</f>
        <v>23</v>
      </c>
      <c r="Y25" t="str">
        <f>TRIM(Tabla2[[#This Row],[CONDUCTOR]])</f>
        <v>SALDARRIAGA PARRA LUIS ALBERTO</v>
      </c>
    </row>
    <row r="26" spans="2:25" x14ac:dyDescent="0.2">
      <c r="B26" s="136" t="s">
        <v>122</v>
      </c>
      <c r="C26" s="166">
        <v>24</v>
      </c>
      <c r="D26" s="151" t="s">
        <v>171</v>
      </c>
      <c r="E26" s="150">
        <v>5</v>
      </c>
      <c r="F26" s="150">
        <v>0</v>
      </c>
      <c r="G26" s="146">
        <v>70</v>
      </c>
      <c r="H26" s="226">
        <f>+G26/E26</f>
        <v>14</v>
      </c>
      <c r="I26" s="364">
        <f>+(SUM($G$7:$G$1048576)/SUM($E$7:$E$1048576))*E26</f>
        <v>63.9908256880734</v>
      </c>
      <c r="J26" s="363">
        <f>+Tabla2[[#This Row],[PROM DE USUARIOS]]-Tabla2[[#This Row],[USUARIOS]]</f>
        <v>-6.0091743119265999</v>
      </c>
      <c r="K26" s="151" t="s">
        <v>185</v>
      </c>
      <c r="L26" s="163">
        <f>P26*585</f>
        <v>34509.633027522941</v>
      </c>
      <c r="M26" s="162" t="str">
        <f>+VLOOKUP(C26,Lista!B:D,3,0)</f>
        <v>MICRO</v>
      </c>
      <c r="N26" s="164">
        <f t="shared" si="0"/>
        <v>6902.7027027027025</v>
      </c>
      <c r="O26" s="50">
        <f t="shared" si="1"/>
        <v>5</v>
      </c>
      <c r="P26" s="47">
        <f t="shared" si="2"/>
        <v>58.9908256880734</v>
      </c>
      <c r="Q26" s="49">
        <f t="shared" si="3"/>
        <v>65</v>
      </c>
      <c r="R26" s="51">
        <f t="shared" si="4"/>
        <v>58.9908256880734</v>
      </c>
      <c r="S26" s="46">
        <f t="shared" si="5"/>
        <v>32444.954128440371</v>
      </c>
      <c r="T26" t="str">
        <f t="shared" si="6"/>
        <v xml:space="preserve">1 Descuento (Despachador) </v>
      </c>
      <c r="U26">
        <f>+RANK(H26,$H$6:$H$1048576,1)</f>
        <v>26</v>
      </c>
      <c r="Y26" t="str">
        <f>TRIM(Tabla2[[#This Row],[CONDUCTOR]])</f>
        <v>PARRA VILLA YUBER ALONSO</v>
      </c>
    </row>
    <row r="27" spans="2:25" x14ac:dyDescent="0.2">
      <c r="B27" s="136" t="s">
        <v>121</v>
      </c>
      <c r="C27" s="166">
        <v>25</v>
      </c>
      <c r="D27" s="151" t="s">
        <v>151</v>
      </c>
      <c r="E27" s="150">
        <v>6</v>
      </c>
      <c r="F27" s="150">
        <v>0</v>
      </c>
      <c r="G27" s="165">
        <v>64</v>
      </c>
      <c r="H27" s="226">
        <f>+G27/E27</f>
        <v>10.666666666666666</v>
      </c>
      <c r="I27" s="227">
        <f>+(SUM($G$7:$G$1048576)/SUM($E$7:$E$1048576))*E27</f>
        <v>76.788990825688074</v>
      </c>
      <c r="J27" s="363">
        <f>+Tabla2[[#This Row],[PROM DE USUARIOS]]-Tabla2[[#This Row],[USUARIOS]]</f>
        <v>12.788990825688074</v>
      </c>
      <c r="K27" s="151"/>
      <c r="L27" s="163">
        <f>P27*585</f>
        <v>41411.559633027522</v>
      </c>
      <c r="M27" s="162">
        <f>+VLOOKUP(C27,Lista!B:D,3,0)</f>
        <v>0</v>
      </c>
      <c r="N27" s="164">
        <f t="shared" si="0"/>
        <v>6902.7027027027025</v>
      </c>
      <c r="O27" s="50">
        <f t="shared" si="1"/>
        <v>6</v>
      </c>
      <c r="P27" s="47">
        <f t="shared" si="2"/>
        <v>70.788990825688074</v>
      </c>
      <c r="Q27" s="49">
        <f t="shared" si="3"/>
        <v>58</v>
      </c>
      <c r="R27" s="51">
        <f t="shared" si="4"/>
        <v>70.788990825688074</v>
      </c>
      <c r="S27" s="46">
        <f t="shared" si="5"/>
        <v>38933.944954128441</v>
      </c>
      <c r="T27" t="str">
        <f t="shared" si="6"/>
        <v/>
      </c>
      <c r="U27">
        <f>+RANK(H27,$H$6:$H$1048576,1)</f>
        <v>9</v>
      </c>
      <c r="Y27" t="str">
        <f>TRIM(Tabla2[[#This Row],[CONDUCTOR]])</f>
        <v>OSORIO URREGO SANTIAGO</v>
      </c>
    </row>
    <row r="28" spans="2:25" x14ac:dyDescent="0.2">
      <c r="B28" s="136" t="s">
        <v>122</v>
      </c>
      <c r="C28" s="166">
        <v>26</v>
      </c>
      <c r="D28" s="151" t="s">
        <v>160</v>
      </c>
      <c r="E28" s="150">
        <v>10</v>
      </c>
      <c r="F28" s="150">
        <v>0</v>
      </c>
      <c r="G28" s="146">
        <v>126</v>
      </c>
      <c r="H28" s="226">
        <f>+G28/E28</f>
        <v>12.6</v>
      </c>
      <c r="I28" s="364">
        <f>+(SUM($G$7:$G$1048576)/SUM($E$7:$E$1048576))*E28</f>
        <v>127.9816513761468</v>
      </c>
      <c r="J28" s="363">
        <f>+Tabla2[[#This Row],[PROM DE USUARIOS]]-Tabla2[[#This Row],[USUARIOS]]</f>
        <v>1.9816513761468002</v>
      </c>
      <c r="K28" s="151" t="s">
        <v>186</v>
      </c>
      <c r="L28" s="366">
        <f>P28*585</f>
        <v>69019.266055045882</v>
      </c>
      <c r="M28" s="162" t="str">
        <f>+VLOOKUP(C28,Lista!B:D,3,0)</f>
        <v>MICRO</v>
      </c>
      <c r="N28" s="164">
        <f t="shared" si="0"/>
        <v>6902.7027027027025</v>
      </c>
      <c r="O28" s="50">
        <f t="shared" si="1"/>
        <v>10</v>
      </c>
      <c r="P28" s="47">
        <f t="shared" si="2"/>
        <v>117.9816513761468</v>
      </c>
      <c r="Q28" s="49">
        <f t="shared" si="3"/>
        <v>116</v>
      </c>
      <c r="R28" s="51">
        <f t="shared" si="4"/>
        <v>117.9816513761468</v>
      </c>
      <c r="S28" s="46">
        <f t="shared" si="5"/>
        <v>64889.908256880743</v>
      </c>
      <c r="T28" t="str">
        <f t="shared" si="6"/>
        <v xml:space="preserve">5 Descuentos (Conducts y usuario desubicado) </v>
      </c>
      <c r="U28">
        <f>+RANK(H28,$H$6:$H$1048576,1)</f>
        <v>18</v>
      </c>
      <c r="Y28" t="str">
        <f>TRIM(Tabla2[[#This Row],[CONDUCTOR]])</f>
        <v>CIRO MARIN RODRIGO ALBERTO</v>
      </c>
    </row>
    <row r="29" spans="2:25" x14ac:dyDescent="0.2">
      <c r="B29" s="136" t="s">
        <v>121</v>
      </c>
      <c r="C29" s="166">
        <v>27</v>
      </c>
      <c r="D29" s="151" t="s">
        <v>159</v>
      </c>
      <c r="E29" s="150">
        <v>11</v>
      </c>
      <c r="F29" s="150">
        <v>0</v>
      </c>
      <c r="G29" s="165">
        <v>144</v>
      </c>
      <c r="H29" s="226">
        <f>+G29/E29</f>
        <v>13.090909090909092</v>
      </c>
      <c r="I29" s="227">
        <f>+(SUM($G$7:$G$1048576)/SUM($E$7:$E$1048576))*E29</f>
        <v>140.77981651376149</v>
      </c>
      <c r="J29" s="363">
        <f>+Tabla2[[#This Row],[PROM DE USUARIOS]]-Tabla2[[#This Row],[USUARIOS]]</f>
        <v>-3.2201834862385113</v>
      </c>
      <c r="K29" s="151"/>
      <c r="L29" s="163">
        <f>P29*585</f>
        <v>75921.19266055047</v>
      </c>
      <c r="M29" s="367">
        <f>+VLOOKUP(C29,Lista!B:D,3,0)</f>
        <v>0</v>
      </c>
      <c r="N29" s="164">
        <f t="shared" si="0"/>
        <v>6902.7027027027025</v>
      </c>
      <c r="O29" s="50">
        <f t="shared" si="1"/>
        <v>11</v>
      </c>
      <c r="P29" s="47">
        <f t="shared" si="2"/>
        <v>129.77981651376149</v>
      </c>
      <c r="Q29" s="49">
        <f t="shared" si="3"/>
        <v>133</v>
      </c>
      <c r="R29" s="51">
        <f t="shared" si="4"/>
        <v>129.77981651376149</v>
      </c>
      <c r="S29" s="46">
        <f t="shared" si="5"/>
        <v>71378.899082568823</v>
      </c>
      <c r="T29" t="str">
        <f t="shared" si="6"/>
        <v/>
      </c>
      <c r="U29">
        <f>+RANK(H29,$H$6:$H$1048576,1)</f>
        <v>21</v>
      </c>
      <c r="Y29" t="str">
        <f>TRIM(Tabla2[[#This Row],[CONDUCTOR]])</f>
        <v>FLORES RINCON JORGE ALBERTO</v>
      </c>
    </row>
    <row r="30" spans="2:25" s="2" customFormat="1" x14ac:dyDescent="0.2">
      <c r="B30" s="136" t="s">
        <v>122</v>
      </c>
      <c r="C30" s="166">
        <v>28</v>
      </c>
      <c r="D30" s="151" t="s">
        <v>161</v>
      </c>
      <c r="E30" s="150">
        <v>10</v>
      </c>
      <c r="F30" s="150">
        <v>0</v>
      </c>
      <c r="G30" s="146">
        <v>144</v>
      </c>
      <c r="H30" s="226">
        <f>+G30/E30</f>
        <v>14.4</v>
      </c>
      <c r="I30" s="364">
        <f>+(SUM($G$7:$G$1048576)/SUM($E$7:$E$1048576))*E30</f>
        <v>127.9816513761468</v>
      </c>
      <c r="J30" s="363">
        <f>+Tabla2[[#This Row],[PROM DE USUARIOS]]-Tabla2[[#This Row],[USUARIOS]]</f>
        <v>-16.0183486238532</v>
      </c>
      <c r="K30" s="151"/>
      <c r="L30" s="163">
        <f>P30*585</f>
        <v>69019.266055045882</v>
      </c>
      <c r="M30" s="367" t="str">
        <f>+VLOOKUP(C30,Lista!B:D,3,0)</f>
        <v>MICRO</v>
      </c>
      <c r="N30" s="164">
        <f t="shared" si="0"/>
        <v>6902.7027027027025</v>
      </c>
      <c r="O30" s="50">
        <f t="shared" si="1"/>
        <v>10</v>
      </c>
      <c r="P30" s="47">
        <f t="shared" si="2"/>
        <v>117.9816513761468</v>
      </c>
      <c r="Q30" s="49">
        <f t="shared" si="3"/>
        <v>134</v>
      </c>
      <c r="R30" s="51">
        <f t="shared" si="4"/>
        <v>117.9816513761468</v>
      </c>
      <c r="S30" s="46">
        <f t="shared" si="5"/>
        <v>64889.908256880743</v>
      </c>
      <c r="T30" t="str">
        <f t="shared" si="6"/>
        <v/>
      </c>
      <c r="U30">
        <f>+RANK(H30,$H$6:$H$1048576,1)</f>
        <v>29</v>
      </c>
      <c r="Y30" t="str">
        <f>TRIM(Tabla2[[#This Row],[CONDUCTOR]])</f>
        <v>TUBERQUIA MAICOL</v>
      </c>
    </row>
    <row r="31" spans="2:25" x14ac:dyDescent="0.2">
      <c r="B31" s="136" t="s">
        <v>121</v>
      </c>
      <c r="C31" s="166">
        <v>29</v>
      </c>
      <c r="D31" s="151" t="s">
        <v>156</v>
      </c>
      <c r="E31" s="150">
        <v>9</v>
      </c>
      <c r="F31" s="150">
        <v>0</v>
      </c>
      <c r="G31" s="146">
        <v>137</v>
      </c>
      <c r="H31" s="226">
        <f>+G31/E31</f>
        <v>15.222222222222221</v>
      </c>
      <c r="I31" s="364">
        <f>+(SUM($G$7:$G$1048576)/SUM($E$7:$E$1048576))*E31</f>
        <v>115.18348623853211</v>
      </c>
      <c r="J31" s="363">
        <f>+Tabla2[[#This Row],[PROM DE USUARIOS]]-Tabla2[[#This Row],[USUARIOS]]</f>
        <v>-21.816513761467888</v>
      </c>
      <c r="K31" s="151"/>
      <c r="L31" s="163">
        <f>P31*585</f>
        <v>62117.339449541287</v>
      </c>
      <c r="M31" s="367" t="str">
        <f>+VLOOKUP(C31,Lista!B:D,3,0)</f>
        <v>MICRO</v>
      </c>
      <c r="N31" s="164">
        <f t="shared" si="0"/>
        <v>6902.7027027027025</v>
      </c>
      <c r="O31" s="50">
        <f t="shared" si="1"/>
        <v>9</v>
      </c>
      <c r="P31" s="47">
        <f t="shared" si="2"/>
        <v>106.18348623853211</v>
      </c>
      <c r="Q31" s="49">
        <f t="shared" si="3"/>
        <v>128</v>
      </c>
      <c r="R31" s="51">
        <f t="shared" si="4"/>
        <v>106.18348623853211</v>
      </c>
      <c r="S31" s="46">
        <f t="shared" si="5"/>
        <v>58400.917431192662</v>
      </c>
      <c r="T31" t="str">
        <f t="shared" si="6"/>
        <v/>
      </c>
      <c r="U31">
        <f>+RANK(H31,$H$6:$H$1048576,1)</f>
        <v>34</v>
      </c>
      <c r="Y31" t="str">
        <f>TRIM(Tabla2[[#This Row],[CONDUCTOR]])</f>
        <v>LEON PEREZ RAUL ENRIQUE</v>
      </c>
    </row>
    <row r="32" spans="2:25" x14ac:dyDescent="0.2">
      <c r="B32" s="136" t="s">
        <v>122</v>
      </c>
      <c r="C32" s="166">
        <v>30</v>
      </c>
      <c r="D32" s="151" t="s">
        <v>148</v>
      </c>
      <c r="E32" s="150">
        <v>10</v>
      </c>
      <c r="F32" s="150"/>
      <c r="G32" s="165">
        <v>119</v>
      </c>
      <c r="H32" s="226">
        <f>+G32/E32</f>
        <v>11.9</v>
      </c>
      <c r="I32" s="227">
        <f>+(SUM($G$7:$G$1048576)/SUM($E$7:$E$1048576))*E32</f>
        <v>127.9816513761468</v>
      </c>
      <c r="J32" s="363">
        <f>+Tabla2[[#This Row],[PROM DE USUARIOS]]-Tabla2[[#This Row],[USUARIOS]]</f>
        <v>8.9816513761468002</v>
      </c>
      <c r="K32" s="151"/>
      <c r="L32" s="163">
        <f>P32*585</f>
        <v>69019.266055045882</v>
      </c>
      <c r="M32" s="367">
        <f>+VLOOKUP(C32,Lista!B:D,3,0)</f>
        <v>0</v>
      </c>
      <c r="N32" s="164">
        <f t="shared" si="0"/>
        <v>6902.7027027027025</v>
      </c>
      <c r="O32" s="50">
        <f t="shared" si="1"/>
        <v>10</v>
      </c>
      <c r="P32" s="47">
        <f t="shared" si="2"/>
        <v>117.9816513761468</v>
      </c>
      <c r="Q32" s="49">
        <f t="shared" si="3"/>
        <v>109</v>
      </c>
      <c r="R32" s="51">
        <f t="shared" si="4"/>
        <v>117.9816513761468</v>
      </c>
      <c r="S32" s="46">
        <f t="shared" si="5"/>
        <v>64889.908256880743</v>
      </c>
      <c r="T32" t="str">
        <f t="shared" si="6"/>
        <v/>
      </c>
      <c r="U32">
        <f>+RANK(H32,$H$6:$H$1048576,1)</f>
        <v>13</v>
      </c>
      <c r="Y32" t="str">
        <f>TRIM(Tabla2[[#This Row],[CONDUCTOR]])</f>
        <v>AGUDELO GARCIA LLORDIN ELIAS</v>
      </c>
    </row>
    <row r="33" spans="2:25" x14ac:dyDescent="0.2">
      <c r="B33" s="136" t="s">
        <v>121</v>
      </c>
      <c r="C33" s="166">
        <v>31</v>
      </c>
      <c r="D33" s="151" t="s">
        <v>152</v>
      </c>
      <c r="E33" s="150">
        <v>12</v>
      </c>
      <c r="F33" s="150">
        <v>0</v>
      </c>
      <c r="G33" s="165">
        <v>168</v>
      </c>
      <c r="H33" s="226">
        <f>+G33/E33</f>
        <v>14</v>
      </c>
      <c r="I33" s="227">
        <f>+(SUM($G$7:$G$1048576)/SUM($E$7:$E$1048576))*E33</f>
        <v>153.57798165137615</v>
      </c>
      <c r="J33" s="363">
        <f>+Tabla2[[#This Row],[PROM DE USUARIOS]]-Tabla2[[#This Row],[USUARIOS]]</f>
        <v>-14.422018348623851</v>
      </c>
      <c r="K33" s="151"/>
      <c r="L33" s="163">
        <f>P33*585</f>
        <v>82823.119266055044</v>
      </c>
      <c r="M33" s="367" t="str">
        <f>+VLOOKUP(C33,Lista!B:D,3,0)</f>
        <v>MICRO</v>
      </c>
      <c r="N33" s="164">
        <f t="shared" si="0"/>
        <v>6902.7027027027025</v>
      </c>
      <c r="O33" s="50">
        <f t="shared" si="1"/>
        <v>12</v>
      </c>
      <c r="P33" s="47">
        <f t="shared" si="2"/>
        <v>141.57798165137615</v>
      </c>
      <c r="Q33" s="49">
        <f t="shared" si="3"/>
        <v>156</v>
      </c>
      <c r="R33" s="51">
        <f t="shared" si="4"/>
        <v>141.57798165137615</v>
      </c>
      <c r="S33" s="46">
        <f t="shared" si="5"/>
        <v>77867.889908256882</v>
      </c>
      <c r="T33" t="str">
        <f t="shared" si="6"/>
        <v/>
      </c>
      <c r="U33">
        <f>+RANK(H33,$H$6:$H$1048576,1)</f>
        <v>26</v>
      </c>
      <c r="Y33" t="str">
        <f>TRIM(Tabla2[[#This Row],[CONDUCTOR]])</f>
        <v>FRANCO CARVAJAL GERARDO ANTONIO</v>
      </c>
    </row>
    <row r="34" spans="2:25" x14ac:dyDescent="0.2">
      <c r="B34" s="136" t="s">
        <v>122</v>
      </c>
      <c r="C34" s="166">
        <v>32</v>
      </c>
      <c r="D34" s="151" t="s">
        <v>150</v>
      </c>
      <c r="E34" s="150">
        <v>9</v>
      </c>
      <c r="F34" s="150">
        <v>0</v>
      </c>
      <c r="G34" s="165">
        <v>123</v>
      </c>
      <c r="H34" s="226">
        <f>+G34/E34</f>
        <v>13.666666666666666</v>
      </c>
      <c r="I34" s="227">
        <f>+(SUM($G$7:$G$1048576)/SUM($E$7:$E$1048576))*E34</f>
        <v>115.18348623853211</v>
      </c>
      <c r="J34" s="363">
        <f>+Tabla2[[#This Row],[PROM DE USUARIOS]]-Tabla2[[#This Row],[USUARIOS]]</f>
        <v>-7.8165137614678883</v>
      </c>
      <c r="K34" s="151"/>
      <c r="L34" s="163">
        <f>P34*585</f>
        <v>62117.339449541287</v>
      </c>
      <c r="M34" s="367" t="str">
        <f>+VLOOKUP(C34,Lista!B:D,3,0)</f>
        <v>MICRO</v>
      </c>
      <c r="N34" s="164">
        <f t="shared" si="0"/>
        <v>6902.7027027027025</v>
      </c>
      <c r="O34" s="50">
        <f t="shared" si="1"/>
        <v>9</v>
      </c>
      <c r="P34" s="47">
        <f t="shared" si="2"/>
        <v>106.18348623853211</v>
      </c>
      <c r="Q34" s="49">
        <f t="shared" si="3"/>
        <v>114</v>
      </c>
      <c r="R34" s="51">
        <f t="shared" si="4"/>
        <v>106.18348623853211</v>
      </c>
      <c r="S34" s="46">
        <f t="shared" si="5"/>
        <v>58400.917431192662</v>
      </c>
      <c r="T34" t="str">
        <f t="shared" si="6"/>
        <v/>
      </c>
      <c r="U34">
        <f>+RANK(H34,$H$6:$H$1048576,1)</f>
        <v>25</v>
      </c>
      <c r="Y34" t="str">
        <f>TRIM(Tabla2[[#This Row],[CONDUCTOR]])</f>
        <v>LAYOS JIMENEZ JOHAN CAMILO</v>
      </c>
    </row>
    <row r="35" spans="2:25" x14ac:dyDescent="0.2">
      <c r="B35" s="136" t="s">
        <v>121</v>
      </c>
      <c r="C35" s="166">
        <v>33</v>
      </c>
      <c r="D35" s="151" t="s">
        <v>174</v>
      </c>
      <c r="E35" s="150">
        <v>12</v>
      </c>
      <c r="F35" s="150">
        <v>0</v>
      </c>
      <c r="G35" s="165">
        <v>171</v>
      </c>
      <c r="H35" s="226">
        <f>+G35/E35</f>
        <v>14.25</v>
      </c>
      <c r="I35" s="227">
        <f>+(SUM($G$7:$G$1048576)/SUM($E$7:$E$1048576))*E35</f>
        <v>153.57798165137615</v>
      </c>
      <c r="J35" s="363">
        <f>+Tabla2[[#This Row],[PROM DE USUARIOS]]-Tabla2[[#This Row],[USUARIOS]]</f>
        <v>-17.422018348623851</v>
      </c>
      <c r="K35" s="151"/>
      <c r="L35" s="163">
        <f>P35*585</f>
        <v>82823.119266055044</v>
      </c>
      <c r="M35" s="367" t="str">
        <f>+VLOOKUP(C35,Lista!B:D,3,0)</f>
        <v>MICRO</v>
      </c>
      <c r="N35" s="164">
        <f t="shared" si="0"/>
        <v>6902.7027027027025</v>
      </c>
      <c r="O35" s="50">
        <f t="shared" si="1"/>
        <v>12</v>
      </c>
      <c r="P35" s="47">
        <f t="shared" si="2"/>
        <v>141.57798165137615</v>
      </c>
      <c r="Q35" s="49">
        <f t="shared" si="3"/>
        <v>159</v>
      </c>
      <c r="R35" s="51">
        <f t="shared" si="4"/>
        <v>141.57798165137615</v>
      </c>
      <c r="S35" s="46">
        <f t="shared" si="5"/>
        <v>77867.889908256882</v>
      </c>
      <c r="T35" t="str">
        <f t="shared" si="6"/>
        <v/>
      </c>
      <c r="U35">
        <f>+RANK(H35,$H$6:$H$1048576,1)</f>
        <v>28</v>
      </c>
      <c r="Y35" t="str">
        <f>TRIM(Tabla2[[#This Row],[CONDUCTOR]])</f>
        <v>MARULANDA JARAMILLO DAWER ANDRES</v>
      </c>
    </row>
    <row r="36" spans="2:25" x14ac:dyDescent="0.2">
      <c r="B36" s="136" t="s">
        <v>122</v>
      </c>
      <c r="C36" s="166">
        <v>35</v>
      </c>
      <c r="D36" s="151" t="s">
        <v>164</v>
      </c>
      <c r="E36" s="150">
        <v>10</v>
      </c>
      <c r="F36" s="150">
        <v>0</v>
      </c>
      <c r="G36" s="146">
        <v>123</v>
      </c>
      <c r="H36" s="226">
        <f>+G36/E36</f>
        <v>12.3</v>
      </c>
      <c r="I36" s="364">
        <f>+(SUM($G$7:$G$1048576)/SUM($E$7:$E$1048576))*E36</f>
        <v>127.9816513761468</v>
      </c>
      <c r="J36" s="363">
        <f>+Tabla2[[#This Row],[PROM DE USUARIOS]]-Tabla2[[#This Row],[USUARIOS]]</f>
        <v>4.9816513761468002</v>
      </c>
      <c r="K36" s="151"/>
      <c r="L36" s="163">
        <f>P36*585</f>
        <v>69019.266055045882</v>
      </c>
      <c r="M36" s="367">
        <f>+VLOOKUP(C36,Lista!B:D,3,0)</f>
        <v>0</v>
      </c>
      <c r="N36" s="164">
        <f t="shared" si="0"/>
        <v>6902.7027027027025</v>
      </c>
      <c r="O36" s="50">
        <f t="shared" si="1"/>
        <v>10</v>
      </c>
      <c r="P36" s="47">
        <f t="shared" si="2"/>
        <v>117.9816513761468</v>
      </c>
      <c r="Q36" s="49">
        <f t="shared" si="3"/>
        <v>113</v>
      </c>
      <c r="R36" s="51">
        <f t="shared" si="4"/>
        <v>117.9816513761468</v>
      </c>
      <c r="S36" s="46">
        <f t="shared" si="5"/>
        <v>64889.908256880743</v>
      </c>
      <c r="T36" t="str">
        <f t="shared" si="6"/>
        <v/>
      </c>
      <c r="U36">
        <f>+RANK(H36,$H$6:$H$1048576,1)</f>
        <v>16</v>
      </c>
      <c r="Y36" t="str">
        <f>TRIM(Tabla2[[#This Row],[CONDUCTOR]])</f>
        <v>TUBERQUIA URREGO HAROL</v>
      </c>
    </row>
    <row r="37" spans="2:25" x14ac:dyDescent="0.2">
      <c r="B37" s="136" t="s">
        <v>121</v>
      </c>
      <c r="C37" s="166">
        <v>36</v>
      </c>
      <c r="D37" s="151" t="s">
        <v>170</v>
      </c>
      <c r="E37" s="150">
        <v>10</v>
      </c>
      <c r="F37" s="150">
        <v>0</v>
      </c>
      <c r="G37" s="146">
        <v>148</v>
      </c>
      <c r="H37" s="226">
        <f>+G37/E37</f>
        <v>14.8</v>
      </c>
      <c r="I37" s="364">
        <f>+(SUM($G$7:$G$1048576)/SUM($E$7:$E$1048576))*E37</f>
        <v>127.9816513761468</v>
      </c>
      <c r="J37" s="363">
        <f>+Tabla2[[#This Row],[PROM DE USUARIOS]]-Tabla2[[#This Row],[USUARIOS]]</f>
        <v>-20.0183486238532</v>
      </c>
      <c r="K37" s="151"/>
      <c r="L37" s="163">
        <f>P37*585</f>
        <v>69019.266055045882</v>
      </c>
      <c r="M37" s="367" t="str">
        <f>+VLOOKUP(C37,Lista!B:D,3,0)</f>
        <v>MICRO</v>
      </c>
      <c r="N37" s="164">
        <f t="shared" si="0"/>
        <v>6902.7027027027025</v>
      </c>
      <c r="O37" s="50">
        <f t="shared" si="1"/>
        <v>10</v>
      </c>
      <c r="P37" s="47">
        <f t="shared" si="2"/>
        <v>117.9816513761468</v>
      </c>
      <c r="Q37" s="49">
        <f t="shared" si="3"/>
        <v>138</v>
      </c>
      <c r="R37" s="51">
        <f t="shared" si="4"/>
        <v>117.9816513761468</v>
      </c>
      <c r="S37" s="46">
        <f t="shared" si="5"/>
        <v>64889.908256880743</v>
      </c>
      <c r="T37" t="str">
        <f t="shared" si="6"/>
        <v/>
      </c>
      <c r="U37">
        <f>+RANK(H37,$H$6:$H$1048576,1)</f>
        <v>32</v>
      </c>
      <c r="Y37" t="str">
        <f>TRIM(Tabla2[[#This Row],[CONDUCTOR]])</f>
        <v>MARTINEZ CHAVERRA LUIS NORBERTO</v>
      </c>
    </row>
    <row r="38" spans="2:25" x14ac:dyDescent="0.2">
      <c r="B38" s="136" t="s">
        <v>122</v>
      </c>
      <c r="C38" s="166">
        <v>37</v>
      </c>
      <c r="D38" s="151" t="s">
        <v>154</v>
      </c>
      <c r="E38" s="150">
        <v>8</v>
      </c>
      <c r="F38" s="150">
        <v>0</v>
      </c>
      <c r="G38" s="146">
        <v>121</v>
      </c>
      <c r="H38" s="226">
        <f>+G38/E38</f>
        <v>15.125</v>
      </c>
      <c r="I38" s="364">
        <f>+(SUM($G$7:$G$1048576)/SUM($E$7:$E$1048576))*E38</f>
        <v>102.38532110091744</v>
      </c>
      <c r="J38" s="363">
        <f>+Tabla2[[#This Row],[PROM DE USUARIOS]]-Tabla2[[#This Row],[USUARIOS]]</f>
        <v>-18.614678899082563</v>
      </c>
      <c r="K38" s="151"/>
      <c r="L38" s="163">
        <f>P38*585</f>
        <v>55215.412844036699</v>
      </c>
      <c r="M38" s="367">
        <f>+VLOOKUP(C38,Lista!B:D,3,0)</f>
        <v>0</v>
      </c>
      <c r="N38" s="164">
        <f t="shared" si="0"/>
        <v>6902.7027027027025</v>
      </c>
      <c r="O38" s="50">
        <f t="shared" si="1"/>
        <v>8</v>
      </c>
      <c r="P38" s="47">
        <f t="shared" si="2"/>
        <v>94.385321100917437</v>
      </c>
      <c r="Q38" s="49">
        <f t="shared" si="3"/>
        <v>113</v>
      </c>
      <c r="R38" s="51">
        <f t="shared" si="4"/>
        <v>94.385321100917437</v>
      </c>
      <c r="S38" s="46">
        <f t="shared" si="5"/>
        <v>51911.926605504588</v>
      </c>
      <c r="T38" t="str">
        <f t="shared" si="6"/>
        <v/>
      </c>
      <c r="U38">
        <f>+RANK(H38,$H$6:$H$1048576,1)</f>
        <v>33</v>
      </c>
      <c r="Y38" t="str">
        <f>TRIM(Tabla2[[#This Row],[CONDUCTOR]])</f>
        <v>TABORDA ROJAS DIEGO ALEJANDRO</v>
      </c>
    </row>
    <row r="39" spans="2:25" x14ac:dyDescent="0.2">
      <c r="B39" s="136" t="s">
        <v>121</v>
      </c>
      <c r="C39" s="166">
        <v>39</v>
      </c>
      <c r="D39" s="151" t="s">
        <v>178</v>
      </c>
      <c r="E39" s="150">
        <v>8</v>
      </c>
      <c r="F39" s="150">
        <v>0</v>
      </c>
      <c r="G39" s="146">
        <v>89</v>
      </c>
      <c r="H39" s="226">
        <f>+G39/E39</f>
        <v>11.125</v>
      </c>
      <c r="I39" s="364">
        <f>+(SUM($G$7:$G$1048576)/SUM($E$7:$E$1048576))*E39</f>
        <v>102.38532110091744</v>
      </c>
      <c r="J39" s="363">
        <f>+Tabla2[[#This Row],[PROM DE USUARIOS]]-Tabla2[[#This Row],[USUARIOS]]</f>
        <v>13.385321100917437</v>
      </c>
      <c r="K39" s="151"/>
      <c r="L39" s="163">
        <f>P39*585</f>
        <v>55215.412844036699</v>
      </c>
      <c r="M39" s="367" t="str">
        <f>+VLOOKUP(C39,Lista!B:D,3,0)</f>
        <v>MICRO</v>
      </c>
      <c r="N39" s="164">
        <f t="shared" si="0"/>
        <v>6902.7027027027025</v>
      </c>
      <c r="O39" s="50">
        <f t="shared" si="1"/>
        <v>8</v>
      </c>
      <c r="P39" s="47">
        <f t="shared" si="2"/>
        <v>94.385321100917437</v>
      </c>
      <c r="Q39" s="49">
        <f t="shared" si="3"/>
        <v>81</v>
      </c>
      <c r="R39" s="51">
        <f t="shared" si="4"/>
        <v>94.385321100917437</v>
      </c>
      <c r="S39" s="46">
        <f t="shared" si="5"/>
        <v>51911.926605504588</v>
      </c>
      <c r="T39" t="str">
        <f t="shared" si="6"/>
        <v/>
      </c>
      <c r="U39">
        <f>+RANK(H39,$H$6:$H$1048576,1)</f>
        <v>10</v>
      </c>
      <c r="Y39" t="str">
        <f>TRIM(Tabla2[[#This Row],[CONDUCTOR]])</f>
        <v>PALMAR PANA EDIXON JOSUE</v>
      </c>
    </row>
    <row r="40" spans="2:25" x14ac:dyDescent="0.2">
      <c r="B40" s="136" t="s">
        <v>122</v>
      </c>
      <c r="C40" s="166">
        <v>40</v>
      </c>
      <c r="D40" s="151" t="s">
        <v>158</v>
      </c>
      <c r="E40" s="150">
        <v>9</v>
      </c>
      <c r="F40" s="150">
        <v>0</v>
      </c>
      <c r="G40" s="146">
        <v>106</v>
      </c>
      <c r="H40" s="226">
        <f>+G40/E40</f>
        <v>11.777777777777779</v>
      </c>
      <c r="I40" s="364">
        <f>+(SUM($G$7:$G$1048576)/SUM($E$7:$E$1048576))*E40</f>
        <v>115.18348623853211</v>
      </c>
      <c r="J40" s="363">
        <f>+Tabla2[[#This Row],[PROM DE USUARIOS]]-Tabla2[[#This Row],[USUARIOS]]</f>
        <v>9.1834862385321117</v>
      </c>
      <c r="K40" s="151"/>
      <c r="L40" s="163">
        <f>P40*585</f>
        <v>62117.339449541287</v>
      </c>
      <c r="M40" s="367" t="str">
        <f>+VLOOKUP(C40,Lista!B:D,3,0)</f>
        <v>MICRO</v>
      </c>
      <c r="N40" s="164">
        <f t="shared" si="0"/>
        <v>6902.7027027027025</v>
      </c>
      <c r="O40" s="50">
        <f t="shared" si="1"/>
        <v>9</v>
      </c>
      <c r="P40" s="47">
        <f t="shared" si="2"/>
        <v>106.18348623853211</v>
      </c>
      <c r="Q40" s="49">
        <f t="shared" si="3"/>
        <v>97</v>
      </c>
      <c r="R40" s="51">
        <f t="shared" si="4"/>
        <v>106.18348623853211</v>
      </c>
      <c r="S40" s="46">
        <f t="shared" si="5"/>
        <v>58400.917431192662</v>
      </c>
      <c r="T40" t="str">
        <f t="shared" si="6"/>
        <v/>
      </c>
      <c r="U40">
        <f>+RANK(H40,$H$6:$H$1048576,1)</f>
        <v>12</v>
      </c>
      <c r="Y40" t="str">
        <f>TRIM(Tabla2[[#This Row],[CONDUCTOR]])</f>
        <v>OCAMPO OCAMPO ANTONIO JOSE</v>
      </c>
    </row>
    <row r="41" spans="2:25" x14ac:dyDescent="0.2">
      <c r="B41" s="136" t="s">
        <v>121</v>
      </c>
      <c r="C41" s="166">
        <v>41</v>
      </c>
      <c r="D41" s="151" t="s">
        <v>155</v>
      </c>
      <c r="E41" s="150">
        <v>6</v>
      </c>
      <c r="F41" s="150">
        <v>0</v>
      </c>
      <c r="G41" s="165">
        <v>99</v>
      </c>
      <c r="H41" s="226">
        <f>+G41/E41</f>
        <v>16.5</v>
      </c>
      <c r="I41" s="227">
        <f>+(SUM($G$7:$G$1048576)/SUM($E$7:$E$1048576))*E41</f>
        <v>76.788990825688074</v>
      </c>
      <c r="J41" s="363">
        <f>+Tabla2[[#This Row],[PROM DE USUARIOS]]-Tabla2[[#This Row],[USUARIOS]]</f>
        <v>-22.211009174311926</v>
      </c>
      <c r="K41" s="151"/>
      <c r="L41" s="163">
        <f>P41*585</f>
        <v>41411.559633027522</v>
      </c>
      <c r="M41" s="367">
        <f>+VLOOKUP(C41,Lista!B:D,3,0)</f>
        <v>0</v>
      </c>
      <c r="N41" s="164">
        <f t="shared" si="0"/>
        <v>6902.7027027027025</v>
      </c>
      <c r="O41" s="50">
        <f t="shared" si="1"/>
        <v>6</v>
      </c>
      <c r="P41" s="47">
        <f t="shared" si="2"/>
        <v>70.788990825688074</v>
      </c>
      <c r="Q41" s="49">
        <f t="shared" si="3"/>
        <v>93</v>
      </c>
      <c r="R41" s="51">
        <f t="shared" si="4"/>
        <v>70.788990825688074</v>
      </c>
      <c r="S41" s="46">
        <f t="shared" si="5"/>
        <v>38933.944954128441</v>
      </c>
      <c r="T41" t="str">
        <f t="shared" si="6"/>
        <v/>
      </c>
      <c r="U41">
        <f>+RANK(H41,$H$6:$H$1048576,1)</f>
        <v>36</v>
      </c>
      <c r="Y41" t="str">
        <f>TRIM(Tabla2[[#This Row],[CONDUCTOR]])</f>
        <v>RUA CHAVARRIA YEFERSON ANDREY</v>
      </c>
    </row>
    <row r="42" spans="2:25" x14ac:dyDescent="0.2">
      <c r="B42" s="136" t="s">
        <v>122</v>
      </c>
      <c r="C42" s="166">
        <v>42</v>
      </c>
      <c r="D42" s="151" t="s">
        <v>173</v>
      </c>
      <c r="E42" s="150">
        <v>9</v>
      </c>
      <c r="F42" s="150"/>
      <c r="G42" s="146">
        <v>93</v>
      </c>
      <c r="H42" s="226">
        <f>+G42/E42</f>
        <v>10.333333333333334</v>
      </c>
      <c r="I42" s="227">
        <f>+(SUM($G$7:$G$1048576)/SUM($E$7:$E$1048576))*E42</f>
        <v>115.18348623853211</v>
      </c>
      <c r="J42" s="363">
        <f>+Tabla2[[#This Row],[PROM DE USUARIOS]]-Tabla2[[#This Row],[USUARIOS]]</f>
        <v>22.183486238532112</v>
      </c>
      <c r="K42" s="151"/>
      <c r="L42" s="163">
        <f>P42*585</f>
        <v>62117.339449541287</v>
      </c>
      <c r="M42" s="367">
        <f>+VLOOKUP(C42,Lista!B:D,3,0)</f>
        <v>0</v>
      </c>
      <c r="N42" s="164">
        <f t="shared" si="0"/>
        <v>6902.7027027027025</v>
      </c>
      <c r="O42" s="50">
        <f t="shared" si="1"/>
        <v>9</v>
      </c>
      <c r="P42" s="47">
        <f t="shared" si="2"/>
        <v>106.18348623853211</v>
      </c>
      <c r="Q42" s="49">
        <f t="shared" si="3"/>
        <v>84</v>
      </c>
      <c r="R42" s="51">
        <f t="shared" si="4"/>
        <v>106.18348623853211</v>
      </c>
      <c r="S42" s="46">
        <f t="shared" si="5"/>
        <v>58400.917431192662</v>
      </c>
      <c r="T42" t="str">
        <f t="shared" si="6"/>
        <v/>
      </c>
      <c r="U42">
        <f>+RANK(H42,$H$6:$H$1048576,1)</f>
        <v>8</v>
      </c>
      <c r="Y42" t="str">
        <f>TRIM(Tabla2[[#This Row],[CONDUCTOR]])</f>
        <v>AGUDELO GARCIA DENIN ANGELO</v>
      </c>
    </row>
    <row r="43" spans="2:25" x14ac:dyDescent="0.2">
      <c r="B43" s="136" t="s">
        <v>122</v>
      </c>
      <c r="C43" s="166">
        <v>44</v>
      </c>
      <c r="D43" s="151" t="s">
        <v>162</v>
      </c>
      <c r="E43" s="150">
        <v>12</v>
      </c>
      <c r="F43" s="150">
        <v>0</v>
      </c>
      <c r="G43" s="165">
        <v>120</v>
      </c>
      <c r="H43" s="226">
        <f>+G43/E43</f>
        <v>10</v>
      </c>
      <c r="I43" s="227">
        <f>+(SUM($G$7:$G$1048576)/SUM($E$7:$E$1048576))*E43</f>
        <v>153.57798165137615</v>
      </c>
      <c r="J43" s="363">
        <f>+Tabla2[[#This Row],[PROM DE USUARIOS]]-Tabla2[[#This Row],[USUARIOS]]</f>
        <v>33.577981651376149</v>
      </c>
      <c r="K43" s="151"/>
      <c r="L43" s="163">
        <f>P43*585</f>
        <v>82823.119266055044</v>
      </c>
      <c r="M43" s="367">
        <f>+VLOOKUP(C43,Lista!B:D,3,0)</f>
        <v>0</v>
      </c>
      <c r="N43" s="164">
        <f t="shared" si="0"/>
        <v>6902.7027027027025</v>
      </c>
      <c r="O43" s="50">
        <f t="shared" si="1"/>
        <v>12</v>
      </c>
      <c r="P43" s="47">
        <f t="shared" si="2"/>
        <v>141.57798165137615</v>
      </c>
      <c r="Q43" s="49">
        <f t="shared" si="3"/>
        <v>108</v>
      </c>
      <c r="R43" s="51">
        <f t="shared" si="4"/>
        <v>141.57798165137615</v>
      </c>
      <c r="S43" s="46">
        <f t="shared" si="5"/>
        <v>77867.889908256882</v>
      </c>
      <c r="T43" t="str">
        <f t="shared" si="6"/>
        <v/>
      </c>
      <c r="U43">
        <f>+RANK(H43,$H$6:$H$1048576,1)</f>
        <v>6</v>
      </c>
      <c r="Y43" t="str">
        <f>TRIM(Tabla2[[#This Row],[CONDUCTOR]])</f>
        <v>MARIN ALZATE KEVIN ANDRES</v>
      </c>
    </row>
    <row r="44" spans="2:25" x14ac:dyDescent="0.2">
      <c r="B44" s="232"/>
      <c r="C44" s="239">
        <f>SUBTOTAL(102,Tabla2[VEH])</f>
        <v>37</v>
      </c>
      <c r="D44" s="233" t="s">
        <v>127</v>
      </c>
      <c r="E44" s="234">
        <f>SUBTOTAL(109,Tabla2[VIAJES])</f>
        <v>327</v>
      </c>
      <c r="F44" s="234">
        <f>SUBTOTAL(109,Tabla2[VIAJES PERD.])</f>
        <v>2</v>
      </c>
      <c r="G44" s="240">
        <f>SUBTOTAL(109,Tabla2[USUARIOS])</f>
        <v>4185</v>
      </c>
      <c r="H44" s="375">
        <f>+Tabla2[[#Totals],[USUARIOS]]/Tabla2[[#Totals],[VIAJES]]</f>
        <v>12.79816513761468</v>
      </c>
      <c r="I44" s="240">
        <f>SUBTOTAL(109,Tabla2[PROM DE USUARIOS])</f>
        <v>4184.9999999999991</v>
      </c>
      <c r="J44" s="374">
        <f>SUBTOTAL(109,Tabla2[RECIBE / ENTREGA])</f>
        <v>2.1316282072803006E-13</v>
      </c>
      <c r="K44" s="235" t="s">
        <v>187</v>
      </c>
      <c r="L44" s="236"/>
      <c r="M44" s="237"/>
      <c r="N44" s="238">
        <f>SUBTOTAL(109,Tabla2[DIFER. MICRO - BUS ])</f>
        <v>255399.99999999983</v>
      </c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ref="S44" si="7">+R44*550</f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49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8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9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0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1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55"/>
      <c r="D50" s="247"/>
      <c r="E50" s="248"/>
      <c r="F50" s="248"/>
      <c r="G50" s="199"/>
      <c r="H50" s="250"/>
      <c r="I50" s="251"/>
      <c r="J50" s="341"/>
      <c r="K50" s="247"/>
      <c r="L50" s="252"/>
      <c r="M50" s="253"/>
      <c r="N50" s="203"/>
      <c r="O50">
        <f>+(E107*1)-V50</f>
        <v>0</v>
      </c>
      <c r="P50" s="134">
        <f>+I107-O50-W50</f>
        <v>0</v>
      </c>
      <c r="Q50" s="11">
        <f>+G107-O50</f>
        <v>0</v>
      </c>
      <c r="R50">
        <f>+E107*$T$3</f>
        <v>0</v>
      </c>
      <c r="S50">
        <f t="shared" ref="S50:S55" si="13">+R50*550</f>
        <v>0</v>
      </c>
      <c r="T50" t="str">
        <f>+IF(K107&lt;&gt;"",K107,"")</f>
        <v/>
      </c>
      <c r="U50" t="e">
        <f>+RANK(H107,$H$6:$H$1048576,1)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+(E108*1)-V51</f>
        <v>0</v>
      </c>
      <c r="P51" s="134">
        <f>+I108-O51-W51</f>
        <v>0</v>
      </c>
      <c r="Q51" s="11">
        <f>+G108-O51</f>
        <v>0</v>
      </c>
      <c r="R51">
        <f>+E108*$T$3</f>
        <v>0</v>
      </c>
      <c r="S51">
        <f t="shared" si="13"/>
        <v>0</v>
      </c>
      <c r="T51" t="str">
        <f>+IF(K108&lt;&gt;"",K108,"")</f>
        <v/>
      </c>
      <c r="U51" t="e">
        <f>+RANK(H108,$H$6:$H$1048576,1)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+(E109*1)-V52</f>
        <v>0</v>
      </c>
      <c r="P52" s="134">
        <f>+I109-O52-W52</f>
        <v>0</v>
      </c>
      <c r="Q52" s="11">
        <f>+G109-O52</f>
        <v>0</v>
      </c>
      <c r="R52">
        <f>+E109*$T$3</f>
        <v>0</v>
      </c>
      <c r="S52">
        <f t="shared" si="13"/>
        <v>0</v>
      </c>
      <c r="T52" t="str">
        <f>+IF(K109&lt;&gt;"",K109,"")</f>
        <v/>
      </c>
      <c r="U52" t="e">
        <f>+RANK(H109,$H$6:$H$1048576,1)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+(E110*1)-V53</f>
        <v>0</v>
      </c>
      <c r="P53" s="134">
        <f>+I110-O53-W53</f>
        <v>0</v>
      </c>
      <c r="Q53" s="11">
        <f>+G110-O53</f>
        <v>0</v>
      </c>
      <c r="R53">
        <f>+E110*$T$3</f>
        <v>0</v>
      </c>
      <c r="S53">
        <f t="shared" si="13"/>
        <v>0</v>
      </c>
      <c r="T53" t="str">
        <f>+IF(K110&lt;&gt;"",K110,"")</f>
        <v/>
      </c>
      <c r="U53" t="e">
        <f>+RANK(H110,$H$6:$H$1048576,1)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+(E111*1)-V54</f>
        <v>0</v>
      </c>
      <c r="P54" s="134">
        <f>+I111-O54-W54</f>
        <v>0</v>
      </c>
      <c r="Q54" s="11">
        <f>+G111-O54</f>
        <v>0</v>
      </c>
      <c r="R54">
        <f>+E111*$T$3</f>
        <v>0</v>
      </c>
      <c r="S54">
        <f t="shared" si="13"/>
        <v>0</v>
      </c>
      <c r="T54" t="str">
        <f>+IF(K111&lt;&gt;"",K111,"")</f>
        <v/>
      </c>
      <c r="U54" t="e">
        <f>+RANK(H111,$H$6:$H$1048576,1)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+(E112*1)-V55</f>
        <v>0</v>
      </c>
      <c r="P55" s="134">
        <f>+I112-O55-W55</f>
        <v>0</v>
      </c>
      <c r="Q55" s="11">
        <f>+G112-O55</f>
        <v>0</v>
      </c>
      <c r="R55">
        <f>+E112*$T$3</f>
        <v>0</v>
      </c>
      <c r="S55">
        <f t="shared" si="13"/>
        <v>0</v>
      </c>
      <c r="T55" t="str">
        <f>+IF(K112&lt;&gt;"",K112,"")</f>
        <v/>
      </c>
      <c r="U55" t="e">
        <f>+RANK(H112,$H$6:$H$1048576,1)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4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4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4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4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+(E76*1)-V65</f>
        <v>0</v>
      </c>
      <c r="P65" s="134">
        <f>+I76-O65-W65</f>
        <v>0</v>
      </c>
      <c r="Q65" s="11">
        <f>+G76-O65</f>
        <v>0</v>
      </c>
      <c r="R65">
        <f>+E76*$T$3</f>
        <v>0</v>
      </c>
      <c r="S65">
        <f t="shared" si="14"/>
        <v>0</v>
      </c>
      <c r="T65" t="str">
        <f>+IF(K76&lt;&gt;"",K76,"")</f>
        <v/>
      </c>
      <c r="U65" t="e">
        <f>+RANK(H76,$H$6:$H$1048576,1)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+(E77*1)-V66</f>
        <v>0</v>
      </c>
      <c r="P66" s="134">
        <f>+I77-O66-W66</f>
        <v>0</v>
      </c>
      <c r="Q66" s="11">
        <f>+G77-O66</f>
        <v>0</v>
      </c>
      <c r="R66">
        <f>+E77*$T$3</f>
        <v>0</v>
      </c>
      <c r="S66">
        <f t="shared" si="14"/>
        <v>0</v>
      </c>
      <c r="T66" t="str">
        <f>+IF(K77&lt;&gt;"",K77,"")</f>
        <v/>
      </c>
      <c r="U66" t="e">
        <f>+RANK(H77,$H$6:$H$1048576,1)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+(E78*1)-V67</f>
        <v>0</v>
      </c>
      <c r="P67" s="134">
        <f>+I78-O67-W67</f>
        <v>0</v>
      </c>
      <c r="Q67" s="11">
        <f>+G78-O67</f>
        <v>0</v>
      </c>
      <c r="R67">
        <f>+E78*$T$3</f>
        <v>0</v>
      </c>
      <c r="S67">
        <f t="shared" si="14"/>
        <v>0</v>
      </c>
      <c r="T67" t="str">
        <f>+IF(K78&lt;&gt;"",K78,"")</f>
        <v/>
      </c>
      <c r="U67" t="e">
        <f>+RANK(H78,$H$6:$H$1048576,1)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+(E79*1)-V68</f>
        <v>0</v>
      </c>
      <c r="P68" s="134">
        <f>+I79-O68-W68</f>
        <v>0</v>
      </c>
      <c r="Q68" s="11">
        <f>+G79-O68</f>
        <v>0</v>
      </c>
      <c r="R68">
        <f>+E79*$T$3</f>
        <v>0</v>
      </c>
      <c r="S68">
        <f t="shared" si="14"/>
        <v>0</v>
      </c>
      <c r="T68" t="str">
        <f>+IF(K79&lt;&gt;"",K79,"")</f>
        <v/>
      </c>
      <c r="U68" t="e">
        <f>+RANK(H79,$H$6:$H$1048576,1)</f>
        <v>#N/A</v>
      </c>
    </row>
    <row r="69" spans="2:21" x14ac:dyDescent="0.2">
      <c r="B69" s="245"/>
      <c r="C69" s="255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03"/>
      <c r="O69">
        <f>+(E80*1)-V69</f>
        <v>0</v>
      </c>
      <c r="P69" s="134">
        <f>+I80-O69-W69</f>
        <v>0</v>
      </c>
      <c r="Q69" s="11">
        <f>+G80-O69</f>
        <v>0</v>
      </c>
      <c r="R69">
        <f>+E80*$T$3</f>
        <v>0</v>
      </c>
      <c r="S69">
        <f t="shared" si="14"/>
        <v>0</v>
      </c>
      <c r="T69" t="str">
        <f>+IF(K80&lt;&gt;"",K80,"")</f>
        <v/>
      </c>
      <c r="U69" t="e">
        <f>+RANK(H80,$H$6:$H$1048576,1)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58"/>
    </row>
    <row r="77" spans="2:21" x14ac:dyDescent="0.2">
      <c r="B77" s="245"/>
      <c r="C77" s="255"/>
      <c r="D77" s="247"/>
      <c r="E77" s="248"/>
      <c r="F77" s="248"/>
      <c r="G77" s="254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03"/>
      <c r="M89" s="253"/>
      <c r="N89" s="258"/>
    </row>
    <row r="90" spans="2:14" x14ac:dyDescent="0.2">
      <c r="B90" s="245"/>
      <c r="C90" s="255"/>
      <c r="D90" s="247"/>
      <c r="E90" s="248"/>
      <c r="F90" s="248"/>
      <c r="G90" s="199"/>
      <c r="H90" s="257"/>
      <c r="I90" s="222"/>
      <c r="J90" s="343"/>
      <c r="K90" s="247"/>
      <c r="L90" s="203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254"/>
      <c r="H95" s="259"/>
      <c r="I95" s="260"/>
      <c r="J95" s="344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6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6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55"/>
      <c r="D114" s="247"/>
      <c r="E114" s="248"/>
      <c r="F114" s="248"/>
      <c r="G114" s="199"/>
      <c r="H114" s="257"/>
      <c r="I114" s="222"/>
      <c r="J114" s="343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03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6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5"/>
      <c r="E120" s="248"/>
      <c r="F120" s="248"/>
      <c r="G120" s="261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57"/>
      <c r="I125" s="222"/>
      <c r="J125" s="343"/>
      <c r="K125" s="262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03"/>
      <c r="M134" s="253"/>
      <c r="N134" s="258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58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5"/>
      <c r="E140" s="248"/>
      <c r="F140" s="248"/>
      <c r="G140" s="201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55"/>
      <c r="D148" s="247"/>
      <c r="E148" s="248"/>
      <c r="F148" s="248"/>
      <c r="G148" s="199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51"/>
      <c r="J154" s="341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5"/>
      <c r="E159" s="248"/>
      <c r="F159" s="248"/>
      <c r="G159" s="201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58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55"/>
      <c r="D188" s="247"/>
      <c r="E188" s="248"/>
      <c r="F188" s="248"/>
      <c r="G188" s="199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58"/>
    </row>
    <row r="192" spans="2:14" x14ac:dyDescent="0.2">
      <c r="B192" s="245"/>
      <c r="C192" s="246"/>
      <c r="D192" s="247"/>
      <c r="E192" s="248"/>
      <c r="F192" s="248"/>
      <c r="G192" s="254"/>
      <c r="H192" s="250"/>
      <c r="I192" s="221"/>
      <c r="J192" s="342"/>
      <c r="K192" s="247"/>
      <c r="L192" s="252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199"/>
      <c r="H209" s="244"/>
      <c r="I209" s="222"/>
      <c r="J209" s="343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5"/>
      <c r="E216" s="248"/>
      <c r="F216" s="248"/>
      <c r="G216" s="261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55"/>
      <c r="D225" s="247"/>
      <c r="E225" s="248"/>
      <c r="F225" s="248"/>
      <c r="G225" s="261"/>
      <c r="H225" s="263"/>
      <c r="I225" s="260"/>
      <c r="J225" s="344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5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55"/>
      <c r="D235" s="247"/>
      <c r="E235" s="248"/>
      <c r="F235" s="248"/>
      <c r="G235" s="199"/>
      <c r="H235" s="244"/>
      <c r="I235" s="222"/>
      <c r="J235" s="343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03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261"/>
      <c r="H259" s="200"/>
      <c r="I259" s="221"/>
      <c r="J259" s="342"/>
      <c r="K259" s="245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62"/>
      <c r="L260" s="252"/>
      <c r="M260" s="253"/>
      <c r="N260" s="203"/>
    </row>
    <row r="261" spans="2:14" x14ac:dyDescent="0.2">
      <c r="B261" s="245"/>
      <c r="C261" s="255"/>
      <c r="D261" s="245"/>
      <c r="E261" s="248"/>
      <c r="F261" s="248"/>
      <c r="G261" s="201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5"/>
      <c r="E271" s="248"/>
      <c r="F271" s="248"/>
      <c r="G271" s="201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6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7"/>
      <c r="E276" s="248"/>
      <c r="F276" s="248"/>
      <c r="G276" s="199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5"/>
      <c r="E279" s="248"/>
      <c r="F279" s="248"/>
      <c r="G279" s="20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4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5"/>
      <c r="E300" s="248"/>
      <c r="F300" s="248"/>
      <c r="G300" s="261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4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7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5"/>
      <c r="E400" s="248"/>
      <c r="F400" s="248"/>
      <c r="G400" s="261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55"/>
      <c r="D406" s="247"/>
      <c r="E406" s="248"/>
      <c r="F406" s="248"/>
      <c r="G406" s="199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4"/>
      <c r="L426" s="252"/>
      <c r="M426" s="253"/>
      <c r="N426" s="265"/>
    </row>
    <row r="427" spans="2:14" x14ac:dyDescent="0.2">
      <c r="B427" s="245"/>
      <c r="C427" s="246"/>
      <c r="D427" s="245"/>
      <c r="E427" s="248"/>
      <c r="F427" s="248"/>
      <c r="G427" s="261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55"/>
      <c r="D441" s="247"/>
      <c r="E441" s="248"/>
      <c r="F441" s="248"/>
      <c r="G441" s="199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68"/>
      <c r="F448" s="268"/>
      <c r="G448" s="269"/>
      <c r="H448" s="270"/>
      <c r="I448" s="271"/>
      <c r="J448" s="346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261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199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5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4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55"/>
      <c r="D464" s="247"/>
      <c r="E464" s="248"/>
      <c r="F464" s="248"/>
      <c r="G464" s="199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5"/>
      <c r="E487" s="248"/>
      <c r="F487" s="248"/>
      <c r="G487" s="261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55"/>
      <c r="D500" s="247"/>
      <c r="E500" s="248"/>
      <c r="F500" s="248"/>
      <c r="G500" s="199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4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7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72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5"/>
      <c r="E537" s="248"/>
      <c r="F537" s="248"/>
      <c r="G537" s="261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55"/>
      <c r="D540" s="247"/>
      <c r="E540" s="248"/>
      <c r="F540" s="248"/>
      <c r="G540" s="199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5"/>
      <c r="E543" s="248"/>
      <c r="F543" s="248"/>
      <c r="G543" s="261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7"/>
      <c r="E546" s="248"/>
      <c r="F546" s="248"/>
      <c r="G546" s="199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5"/>
      <c r="E555" s="248"/>
      <c r="F555" s="248"/>
      <c r="G555" s="261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5"/>
      <c r="E563" s="248"/>
      <c r="F563" s="248"/>
      <c r="G563" s="201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55"/>
      <c r="D569" s="245"/>
      <c r="E569" s="248"/>
      <c r="F569" s="248"/>
      <c r="G569" s="201"/>
      <c r="H569" s="202"/>
      <c r="I569" s="223"/>
      <c r="J569" s="345"/>
      <c r="K569" s="264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7"/>
      <c r="E571" s="248"/>
      <c r="F571" s="248"/>
      <c r="G571" s="199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5"/>
      <c r="E591" s="248"/>
      <c r="F591" s="248"/>
      <c r="G591" s="261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5"/>
      <c r="E601" s="248"/>
      <c r="F601" s="248"/>
      <c r="G601" s="201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7"/>
      <c r="E607" s="248"/>
      <c r="F607" s="248"/>
      <c r="G607" s="199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4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5"/>
      <c r="E613" s="248"/>
      <c r="F613" s="248"/>
      <c r="G613" s="261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55"/>
      <c r="D620" s="245"/>
      <c r="E620" s="248"/>
      <c r="F620" s="248"/>
      <c r="G620" s="201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55"/>
      <c r="D631" s="247"/>
      <c r="E631" s="248"/>
      <c r="F631" s="248"/>
      <c r="G631" s="199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4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55"/>
      <c r="D670" s="247"/>
      <c r="E670" s="248"/>
      <c r="F670" s="248"/>
      <c r="G670" s="199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5"/>
      <c r="E674" s="248"/>
      <c r="F674" s="248"/>
      <c r="G674" s="261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55"/>
      <c r="D679" s="247"/>
      <c r="E679" s="248"/>
      <c r="F679" s="248"/>
      <c r="G679" s="199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5"/>
      <c r="E682" s="248"/>
      <c r="F682" s="248"/>
      <c r="G682" s="26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4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55"/>
      <c r="D698" s="245"/>
      <c r="E698" s="248"/>
      <c r="F698" s="248"/>
      <c r="G698" s="201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7"/>
      <c r="E702" s="248"/>
      <c r="F702" s="248"/>
      <c r="G702" s="199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4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73"/>
    </row>
    <row r="738" spans="2:14" x14ac:dyDescent="0.2">
      <c r="B738" s="245"/>
      <c r="C738" s="255"/>
      <c r="D738" s="245"/>
      <c r="E738" s="248"/>
      <c r="F738" s="248"/>
      <c r="G738" s="201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4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55"/>
      <c r="D752" s="247"/>
      <c r="E752" s="248"/>
      <c r="F752" s="248"/>
      <c r="G752" s="199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5"/>
      <c r="E757" s="248"/>
      <c r="F757" s="248"/>
      <c r="G757" s="261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0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5"/>
      <c r="E779" s="248"/>
      <c r="F779" s="248"/>
      <c r="G779" s="261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7"/>
      <c r="E782" s="248"/>
      <c r="F782" s="248"/>
      <c r="G782" s="199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4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5"/>
      <c r="E799" s="248"/>
      <c r="F799" s="248"/>
      <c r="G799" s="261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4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55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55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55"/>
      <c r="D823" s="247"/>
      <c r="E823" s="248"/>
      <c r="F823" s="248"/>
      <c r="G823" s="199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5"/>
      <c r="E834" s="248"/>
      <c r="F834" s="248"/>
      <c r="G834" s="261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4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5"/>
      <c r="E843" s="248"/>
      <c r="F843" s="248"/>
      <c r="G843" s="261"/>
      <c r="H843" s="202"/>
      <c r="I843" s="223"/>
      <c r="J843" s="345"/>
      <c r="K843" s="264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7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55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55"/>
      <c r="D865" s="247"/>
      <c r="E865" s="248"/>
      <c r="F865" s="248"/>
      <c r="G865" s="199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55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199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74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5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7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199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199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199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199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5"/>
      <c r="E1011" s="248"/>
      <c r="F1011" s="248"/>
      <c r="G1011" s="261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0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4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01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5"/>
      <c r="E1045" s="248"/>
      <c r="F1045" s="248"/>
      <c r="G1045" s="261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5"/>
      <c r="E1058" s="248"/>
      <c r="F1058" s="248"/>
      <c r="G1058" s="261"/>
      <c r="H1058" s="202"/>
      <c r="I1058" s="223"/>
      <c r="J1058" s="345"/>
      <c r="K1058" s="264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03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199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5"/>
      <c r="E1086" s="275"/>
      <c r="F1086" s="275"/>
      <c r="G1086" s="205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5"/>
      <c r="E1094" s="248"/>
      <c r="F1094" s="248"/>
      <c r="G1094" s="205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199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03"/>
      <c r="M1115" s="253"/>
      <c r="N1115" s="203"/>
    </row>
    <row r="1116" spans="2:14" x14ac:dyDescent="0.2">
      <c r="B1116" s="245"/>
      <c r="C1116" s="255"/>
      <c r="D1116" s="245"/>
      <c r="E1116" s="248"/>
      <c r="F1116" s="248"/>
      <c r="G1116" s="205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5"/>
      <c r="E1125" s="248"/>
      <c r="F1125" s="248"/>
      <c r="G1125" s="206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76"/>
      <c r="D1136" s="276"/>
      <c r="E1136" s="248"/>
      <c r="F1136" s="277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5"/>
      <c r="E1138" s="248"/>
      <c r="F1138" s="248"/>
      <c r="G1138" s="20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4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74"/>
      <c r="L1144" s="252"/>
      <c r="M1144" s="253"/>
      <c r="N1144" s="203"/>
    </row>
    <row r="1145" spans="2:14" x14ac:dyDescent="0.2">
      <c r="B1145" s="245"/>
      <c r="C1145" s="255"/>
      <c r="D1145" s="245"/>
      <c r="E1145" s="248"/>
      <c r="F1145" s="248"/>
      <c r="G1145" s="261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61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5"/>
      <c r="E1160" s="275"/>
      <c r="F1160" s="275"/>
      <c r="G1160" s="205"/>
      <c r="H1160" s="202"/>
      <c r="I1160" s="223"/>
      <c r="J1160" s="345"/>
      <c r="K1160" s="274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74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5"/>
      <c r="E1187" s="248"/>
      <c r="F1187" s="248"/>
      <c r="G1187" s="261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4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8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5"/>
      <c r="E1207" s="248"/>
      <c r="F1207" s="248"/>
      <c r="G1207" s="205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01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5"/>
      <c r="E1213" s="248"/>
      <c r="F1213" s="248"/>
      <c r="G1213" s="206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75"/>
      <c r="F1215" s="275"/>
      <c r="G1215" s="205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03"/>
      <c r="M1229" s="253"/>
      <c r="N1229" s="204"/>
    </row>
    <row r="1230" spans="2:14" x14ac:dyDescent="0.2">
      <c r="B1230" s="245"/>
      <c r="C1230" s="280"/>
      <c r="D1230" s="281"/>
      <c r="E1230" s="275"/>
      <c r="F1230" s="275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199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76"/>
      <c r="D1240" s="276"/>
      <c r="E1240" s="277"/>
      <c r="F1240" s="277"/>
      <c r="G1240" s="209"/>
      <c r="H1240" s="207"/>
      <c r="I1240" s="221"/>
      <c r="J1240" s="342"/>
      <c r="K1240" s="282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5"/>
      <c r="E1244" s="248"/>
      <c r="F1244" s="248"/>
      <c r="G1244" s="261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46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05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61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10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ht="15" x14ac:dyDescent="0.25">
      <c r="B1256" s="30"/>
      <c r="C1256" s="283"/>
      <c r="D1256" s="109"/>
      <c r="E1256" s="68"/>
      <c r="F1256" s="68"/>
      <c r="G1256" s="284"/>
      <c r="H1256" s="211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7"/>
      <c r="C1259" s="78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2">
      <c r="B1263" s="37"/>
      <c r="C1263" s="286"/>
      <c r="D1263" s="37"/>
      <c r="E1263" s="60"/>
      <c r="F1263" s="60"/>
      <c r="G1263" s="213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1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66"/>
      <c r="D1267" s="287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8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78"/>
      <c r="D1273" s="109"/>
      <c r="E1273" s="68"/>
      <c r="F1273" s="68"/>
      <c r="G1273" s="21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78"/>
      <c r="D1286" s="109"/>
      <c r="E1286" s="68"/>
      <c r="F1286" s="68"/>
      <c r="G1286" s="21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1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283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9"/>
      <c r="D1301" s="290"/>
      <c r="E1301" s="291"/>
      <c r="F1301" s="291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2">
      <c r="B1305" s="30"/>
      <c r="C1305" s="78"/>
      <c r="D1305" s="109"/>
      <c r="E1305" s="68"/>
      <c r="F1305" s="68"/>
      <c r="G1305" s="288"/>
      <c r="H1305" s="211"/>
      <c r="I1305" s="224"/>
      <c r="J1305" s="347"/>
      <c r="K1305" s="80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16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1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1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30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65"/>
      <c r="C1334" s="78"/>
      <c r="D1334" s="109"/>
      <c r="E1334" s="68"/>
      <c r="F1334" s="68"/>
      <c r="G1334" s="21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1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8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3"/>
      <c r="H1350" s="215"/>
      <c r="I1350" s="293"/>
      <c r="J1350" s="348"/>
      <c r="K1350" s="69"/>
      <c r="L1350" s="285"/>
      <c r="M1350" s="116"/>
      <c r="N1350" s="212"/>
    </row>
    <row r="1351" spans="2:14" x14ac:dyDescent="0.2">
      <c r="B1351" s="292"/>
      <c r="C1351" s="78"/>
      <c r="D1351" s="109"/>
      <c r="E1351" s="68"/>
      <c r="F1351" s="68"/>
      <c r="G1351" s="288"/>
      <c r="H1351" s="211"/>
      <c r="I1351" s="224"/>
      <c r="J1351" s="347"/>
      <c r="K1351" s="80"/>
      <c r="L1351" s="216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289"/>
      <c r="D1353" s="290"/>
      <c r="E1353" s="294"/>
      <c r="F1353" s="295"/>
      <c r="G1353" s="296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297"/>
      <c r="F1356" s="298"/>
      <c r="G1356" s="299"/>
      <c r="H1356" s="300"/>
      <c r="I1356" s="301"/>
      <c r="J1356" s="349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16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65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289"/>
      <c r="D1362" s="290"/>
      <c r="E1362" s="291"/>
      <c r="F1362" s="284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66"/>
      <c r="D1363" s="109"/>
      <c r="E1363" s="68"/>
      <c r="F1363" s="77"/>
      <c r="G1363" s="296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8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292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1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8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91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65"/>
      <c r="C1380" s="78"/>
      <c r="D1380" s="109"/>
      <c r="E1380" s="68"/>
      <c r="F1380" s="77"/>
      <c r="G1380" s="21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77"/>
      <c r="G1382" s="296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68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x14ac:dyDescent="0.2">
      <c r="B1385" s="65"/>
      <c r="C1385" s="78"/>
      <c r="D1385" s="109"/>
      <c r="E1385" s="68"/>
      <c r="F1385" s="77"/>
      <c r="G1385" s="302"/>
      <c r="H1385" s="211"/>
      <c r="I1385" s="224"/>
      <c r="J1385" s="347"/>
      <c r="K1385" s="80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78"/>
      <c r="D1398" s="109"/>
      <c r="E1398" s="68"/>
      <c r="F1398" s="68"/>
      <c r="G1398" s="214"/>
      <c r="H1398" s="215"/>
      <c r="I1398" s="293"/>
      <c r="J1398" s="348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289"/>
      <c r="D1409" s="290"/>
      <c r="E1409" s="291"/>
      <c r="F1409" s="304"/>
      <c r="G1409" s="28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91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68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78"/>
      <c r="D1426" s="109"/>
      <c r="E1426" s="68"/>
      <c r="F1426" s="77"/>
      <c r="G1426" s="21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23"/>
      <c r="D1430" s="37"/>
      <c r="E1430" s="60"/>
      <c r="F1430" s="26"/>
      <c r="G1430" s="2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305"/>
      <c r="H1432" s="215"/>
      <c r="I1432" s="293"/>
      <c r="J1432" s="348"/>
      <c r="K1432" s="69"/>
      <c r="L1432" s="216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302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23"/>
      <c r="D1440" s="37"/>
      <c r="E1440" s="60"/>
      <c r="F1440" s="26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23"/>
      <c r="D1443" s="290"/>
      <c r="E1443" s="291"/>
      <c r="F1443" s="304"/>
      <c r="G1443" s="28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80"/>
      <c r="L1446" s="285"/>
      <c r="M1446" s="116"/>
      <c r="N1446" s="212"/>
    </row>
    <row r="1447" spans="2:14" ht="15" x14ac:dyDescent="0.25">
      <c r="B1447" s="91"/>
      <c r="C1447" s="23"/>
      <c r="D1447" s="37"/>
      <c r="E1447" s="60"/>
      <c r="F1447" s="26"/>
      <c r="G1447" s="10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27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78"/>
      <c r="D1450" s="109"/>
      <c r="E1450" s="68"/>
      <c r="F1450" s="77"/>
      <c r="G1450" s="21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290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286"/>
      <c r="D1458" s="286"/>
      <c r="E1458" s="306"/>
      <c r="F1458" s="307"/>
      <c r="G1458" s="307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78"/>
      <c r="D1459" s="109"/>
      <c r="E1459" s="68"/>
      <c r="F1459" s="77"/>
      <c r="G1459" s="214"/>
      <c r="H1459" s="215"/>
      <c r="I1459" s="293"/>
      <c r="J1459" s="348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08"/>
      <c r="H1468" s="215"/>
      <c r="I1468" s="293"/>
      <c r="J1468" s="348"/>
      <c r="K1468" s="69"/>
      <c r="L1468" s="216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309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10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296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68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6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85"/>
      <c r="M1484" s="116"/>
      <c r="N1484" s="212"/>
    </row>
    <row r="1485" spans="2:14" ht="15" x14ac:dyDescent="0.25">
      <c r="B1485" s="6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78"/>
      <c r="D1490" s="109"/>
      <c r="E1490" s="68"/>
      <c r="F1490" s="77"/>
      <c r="G1490" s="311"/>
      <c r="H1490" s="312"/>
      <c r="I1490" s="313"/>
      <c r="J1490" s="352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.75" x14ac:dyDescent="0.25">
      <c r="B1497" s="314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126"/>
      <c r="M1498" s="116"/>
      <c r="N1498" s="217"/>
    </row>
    <row r="1499" spans="2:14" ht="15.75" x14ac:dyDescent="0.25">
      <c r="B1499" s="31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126"/>
      <c r="M1499" s="116"/>
      <c r="N1499" s="217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91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" x14ac:dyDescent="0.25">
      <c r="B1502" s="91"/>
      <c r="C1502" s="316"/>
      <c r="D1502" s="65"/>
      <c r="E1502" s="68"/>
      <c r="F1502" s="117"/>
      <c r="G1502" s="117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65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313"/>
      <c r="J1509" s="352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21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21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107"/>
      <c r="J1515" s="351"/>
      <c r="K1515" s="69"/>
      <c r="L1515" s="285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66"/>
      <c r="D1523" s="109"/>
      <c r="E1523" s="68"/>
      <c r="F1523" s="77"/>
      <c r="G1523" s="104"/>
      <c r="H1523" s="123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80"/>
      <c r="L1524" s="126"/>
      <c r="M1524" s="117"/>
      <c r="N1524" s="217"/>
    </row>
    <row r="1525" spans="2:14" ht="15" x14ac:dyDescent="0.25">
      <c r="B1525" s="37"/>
      <c r="C1525" s="66"/>
      <c r="D1525" s="109"/>
      <c r="E1525" s="68"/>
      <c r="F1525" s="77"/>
      <c r="G1525" s="104"/>
      <c r="H1525" s="123"/>
      <c r="I1525" s="107"/>
      <c r="J1525" s="351"/>
      <c r="K1525" s="80"/>
      <c r="L1525" s="126"/>
      <c r="M1525" s="116"/>
      <c r="N1525" s="217"/>
    </row>
    <row r="1526" spans="2:14" ht="15" x14ac:dyDescent="0.25">
      <c r="B1526" s="37"/>
      <c r="C1526" s="66"/>
      <c r="D1526" s="109"/>
      <c r="E1526" s="68"/>
      <c r="F1526" s="68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37"/>
      <c r="C1527" s="316"/>
      <c r="D1527" s="65"/>
      <c r="E1527" s="68"/>
      <c r="F1527" s="117"/>
      <c r="G1527" s="117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78"/>
      <c r="D1534" s="109"/>
      <c r="E1534" s="68"/>
      <c r="F1534" s="77"/>
      <c r="G1534" s="311"/>
      <c r="H1534" s="312"/>
      <c r="I1534" s="313"/>
      <c r="J1534" s="352"/>
      <c r="K1534" s="69"/>
      <c r="L1534" s="216"/>
      <c r="M1534" s="116"/>
      <c r="N1534" s="212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78"/>
      <c r="D1539" s="109"/>
      <c r="E1539" s="68"/>
      <c r="F1539" s="77"/>
      <c r="G1539" s="311"/>
      <c r="H1539" s="312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7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68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78"/>
      <c r="D1557" s="109"/>
      <c r="E1557" s="68"/>
      <c r="F1557" s="77"/>
      <c r="G1557" s="311"/>
      <c r="H1557" s="123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312"/>
      <c r="I1558" s="313"/>
      <c r="J1558" s="352"/>
      <c r="K1558" s="69"/>
      <c r="L1558" s="216"/>
      <c r="M1558" s="116"/>
      <c r="N1558" s="212"/>
    </row>
    <row r="1559" spans="2:14" x14ac:dyDescent="0.2">
      <c r="B1559" s="91"/>
      <c r="C1559" s="66"/>
      <c r="D1559" s="109"/>
      <c r="E1559" s="68"/>
      <c r="F1559" s="77"/>
      <c r="G1559" s="104"/>
      <c r="H1559" s="121"/>
      <c r="I1559" s="129"/>
      <c r="J1559" s="353"/>
      <c r="K1559" s="80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3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3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79"/>
      <c r="L1572" s="126"/>
      <c r="M1572" s="115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3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216"/>
      <c r="M1587" s="116"/>
      <c r="N1587" s="212"/>
    </row>
    <row r="1588" spans="2:14" ht="15" x14ac:dyDescent="0.25">
      <c r="B1588" s="91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68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318"/>
      <c r="M1595" s="116"/>
      <c r="N1595" s="3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18"/>
      <c r="M1598" s="116"/>
      <c r="N1598" s="318"/>
    </row>
    <row r="1599" spans="2:14" ht="15" x14ac:dyDescent="0.25">
      <c r="B1599" s="65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120"/>
      <c r="M1604" s="116"/>
      <c r="N1604" s="218"/>
    </row>
    <row r="1605" spans="2:14" ht="15" x14ac:dyDescent="0.25">
      <c r="B1605" s="65"/>
      <c r="C1605" s="66"/>
      <c r="D1605" s="109"/>
      <c r="E1605" s="68"/>
      <c r="F1605" s="77"/>
      <c r="G1605" s="104"/>
      <c r="H1605" s="123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311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1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318"/>
      <c r="M1619" s="116"/>
      <c r="N1619" s="318"/>
    </row>
    <row r="1620" spans="2:14" ht="15" x14ac:dyDescent="0.25">
      <c r="B1620" s="91"/>
      <c r="C1620" s="66"/>
      <c r="D1620" s="109"/>
      <c r="E1620" s="68"/>
      <c r="F1620" s="68"/>
      <c r="G1620" s="104"/>
      <c r="H1620" s="121"/>
      <c r="I1620" s="107"/>
      <c r="J1620" s="351"/>
      <c r="K1620" s="69"/>
      <c r="L1620" s="118"/>
      <c r="M1620" s="116"/>
      <c r="N1620" s="318"/>
    </row>
    <row r="1621" spans="2:14" ht="15" x14ac:dyDescent="0.25">
      <c r="B1621" s="65"/>
      <c r="C1621" s="78"/>
      <c r="D1621" s="109"/>
      <c r="E1621" s="68"/>
      <c r="F1621" s="77"/>
      <c r="G1621" s="311"/>
      <c r="H1621" s="312"/>
      <c r="I1621" s="313"/>
      <c r="J1621" s="352"/>
      <c r="K1621" s="69"/>
      <c r="L1621" s="3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9"/>
    </row>
    <row r="1628" spans="2:14" ht="15" x14ac:dyDescent="0.25">
      <c r="B1628" s="91"/>
      <c r="C1628" s="66"/>
      <c r="D1628" s="109"/>
      <c r="E1628" s="68"/>
      <c r="F1628" s="68"/>
      <c r="G1628" s="104"/>
      <c r="H1628" s="123"/>
      <c r="I1628" s="107"/>
      <c r="J1628" s="351"/>
      <c r="K1628" s="69"/>
      <c r="L1628" s="120"/>
      <c r="M1628" s="116"/>
      <c r="N1628" s="319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78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91"/>
      <c r="C1635" s="66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311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68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318"/>
      <c r="M1650" s="116"/>
      <c r="N1650" s="319"/>
    </row>
    <row r="1651" spans="2:14" ht="15" x14ac:dyDescent="0.25">
      <c r="B1651" s="37"/>
      <c r="C1651" s="78"/>
      <c r="D1651" s="109"/>
      <c r="E1651" s="68"/>
      <c r="F1651" s="77"/>
      <c r="G1651" s="311"/>
      <c r="H1651" s="123"/>
      <c r="I1651" s="107"/>
      <c r="J1651" s="351"/>
      <c r="K1651" s="69"/>
      <c r="L1651" s="1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20"/>
      <c r="M1657" s="116"/>
      <c r="N1657" s="2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20"/>
      <c r="M1659" s="116"/>
      <c r="N1659" s="219"/>
    </row>
    <row r="1660" spans="2:14" ht="15" x14ac:dyDescent="0.25">
      <c r="B1660" s="37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68"/>
      <c r="G1661" s="104"/>
      <c r="H1661" s="121"/>
      <c r="I1661" s="107"/>
      <c r="J1661" s="351"/>
      <c r="K1661" s="69"/>
      <c r="L1661" s="318"/>
      <c r="M1661" s="116"/>
      <c r="N1661" s="3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37"/>
      <c r="C1668" s="66"/>
      <c r="D1668" s="109"/>
      <c r="E1668" s="68"/>
      <c r="F1668" s="77"/>
      <c r="G1668" s="104"/>
      <c r="H1668" s="121"/>
      <c r="I1668" s="107"/>
      <c r="J1668" s="351"/>
      <c r="K1668" s="79"/>
      <c r="L1668" s="120"/>
      <c r="M1668" s="115"/>
      <c r="N1668" s="2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114"/>
      <c r="L1671" s="118"/>
      <c r="M1671" s="117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91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19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318"/>
      <c r="M1679" s="116"/>
      <c r="N1679" s="319"/>
    </row>
    <row r="1680" spans="2:14" ht="15" x14ac:dyDescent="0.25">
      <c r="B1680" s="91"/>
      <c r="C1680" s="78"/>
      <c r="D1680" s="109"/>
      <c r="E1680" s="68"/>
      <c r="F1680" s="77"/>
      <c r="G1680" s="311"/>
      <c r="H1680" s="312"/>
      <c r="I1680" s="313"/>
      <c r="J1680" s="352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66"/>
      <c r="D1682" s="109"/>
      <c r="E1682" s="68"/>
      <c r="F1682" s="68"/>
      <c r="G1682" s="104"/>
      <c r="H1682" s="121"/>
      <c r="I1682" s="107"/>
      <c r="J1682" s="351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65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216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82"/>
      <c r="N1688" s="319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19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78"/>
      <c r="D1698" s="100"/>
      <c r="E1698" s="101"/>
      <c r="F1698" s="77"/>
      <c r="G1698" s="311"/>
      <c r="H1698" s="321"/>
      <c r="I1698" s="313"/>
      <c r="J1698" s="352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9"/>
      <c r="E1702" s="101"/>
      <c r="F1702" s="77"/>
      <c r="G1702" s="104"/>
      <c r="H1702" s="106"/>
      <c r="I1702" s="107"/>
      <c r="J1702" s="351"/>
      <c r="K1702" s="69"/>
      <c r="L1702" s="322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107"/>
      <c r="J1709" s="351"/>
      <c r="K1709" s="69"/>
      <c r="L1709" s="84"/>
      <c r="M1709" s="82"/>
      <c r="N1709" s="323"/>
    </row>
    <row r="1710" spans="2:14" ht="15" x14ac:dyDescent="0.25">
      <c r="B1710" s="91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68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78"/>
      <c r="D1716" s="100"/>
      <c r="E1716" s="101"/>
      <c r="F1716" s="77"/>
      <c r="G1716" s="311"/>
      <c r="H1716" s="321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70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68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322"/>
      <c r="M1721" s="82"/>
      <c r="N1721" s="323"/>
    </row>
    <row r="1722" spans="2:14" ht="15" x14ac:dyDescent="0.25">
      <c r="B1722" s="65"/>
      <c r="C1722" s="78"/>
      <c r="D1722" s="100"/>
      <c r="E1722" s="101"/>
      <c r="F1722" s="77"/>
      <c r="G1722" s="311"/>
      <c r="H1722" s="321"/>
      <c r="I1722" s="313"/>
      <c r="J1722" s="352"/>
      <c r="K1722" s="69"/>
      <c r="L1722" s="322"/>
      <c r="M1722" s="82"/>
      <c r="N1722" s="323"/>
    </row>
    <row r="1723" spans="2:14" ht="15" x14ac:dyDescent="0.25">
      <c r="B1723" s="65"/>
      <c r="C1723" s="66"/>
      <c r="D1723" s="100"/>
      <c r="E1723" s="101"/>
      <c r="F1723" s="68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65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x14ac:dyDescent="0.2">
      <c r="B1727" s="65"/>
      <c r="C1727" s="78"/>
      <c r="D1727" s="100"/>
      <c r="E1727" s="101"/>
      <c r="F1727" s="77"/>
      <c r="G1727" s="311"/>
      <c r="H1727" s="321"/>
      <c r="I1727" s="324"/>
      <c r="J1727" s="354"/>
      <c r="K1727" s="69"/>
      <c r="L1727" s="84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ht="15" x14ac:dyDescent="0.25">
      <c r="B1729" s="65"/>
      <c r="C1729" s="78"/>
      <c r="D1729" s="100"/>
      <c r="E1729" s="101"/>
      <c r="F1729" s="77"/>
      <c r="G1729" s="311"/>
      <c r="H1729" s="321"/>
      <c r="I1729" s="313"/>
      <c r="J1729" s="352"/>
      <c r="K1729" s="69"/>
      <c r="L1729" s="322"/>
      <c r="M1729" s="82"/>
      <c r="N1729" s="323"/>
    </row>
    <row r="1730" spans="2:14" ht="15" x14ac:dyDescent="0.25">
      <c r="B1730" s="65"/>
      <c r="C1730" s="78"/>
      <c r="D1730" s="100"/>
      <c r="E1730" s="102"/>
      <c r="F1730" s="77"/>
      <c r="G1730" s="325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97"/>
      <c r="E1731" s="67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x14ac:dyDescent="0.2">
      <c r="B1735" s="65"/>
      <c r="C1735" s="66"/>
      <c r="D1735" s="90"/>
      <c r="E1735" s="67"/>
      <c r="F1735" s="77"/>
      <c r="G1735" s="77"/>
      <c r="H1735" s="106"/>
      <c r="I1735" s="94"/>
      <c r="J1735" s="356"/>
      <c r="K1735" s="80"/>
      <c r="L1735" s="84"/>
      <c r="M1735" s="82"/>
      <c r="N1735" s="327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7"/>
    </row>
    <row r="1737" spans="2:14" ht="15" x14ac:dyDescent="0.25">
      <c r="B1737" s="65"/>
      <c r="C1737" s="66"/>
      <c r="D1737" s="90"/>
      <c r="E1737" s="67"/>
      <c r="F1737" s="77"/>
      <c r="G1737" s="77"/>
      <c r="H1737" s="106"/>
      <c r="I1737" s="95"/>
      <c r="J1737" s="357"/>
      <c r="K1737" s="80"/>
      <c r="L1737" s="84"/>
      <c r="M1737" s="82"/>
      <c r="N1737" s="327"/>
    </row>
    <row r="1738" spans="2:14" ht="15" x14ac:dyDescent="0.25">
      <c r="B1738" s="91"/>
      <c r="C1738" s="66"/>
      <c r="D1738" s="90"/>
      <c r="E1738" s="67"/>
      <c r="F1738" s="77"/>
      <c r="G1738" s="77"/>
      <c r="H1738" s="106"/>
      <c r="I1738" s="95"/>
      <c r="J1738" s="357"/>
      <c r="K1738" s="69"/>
      <c r="L1738" s="84"/>
      <c r="M1738" s="82"/>
      <c r="N1738" s="327"/>
    </row>
    <row r="1739" spans="2:14" x14ac:dyDescent="0.2">
      <c r="B1739" s="91"/>
      <c r="C1739" s="66"/>
      <c r="D1739" s="90"/>
      <c r="E1739" s="67"/>
      <c r="F1739" s="77"/>
      <c r="G1739" s="77"/>
      <c r="H1739" s="106"/>
      <c r="I1739" s="94"/>
      <c r="J1739" s="356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ht="15" x14ac:dyDescent="0.25">
      <c r="B1743" s="91"/>
      <c r="C1743" s="78"/>
      <c r="D1743" s="90"/>
      <c r="E1743" s="67"/>
      <c r="F1743" s="77"/>
      <c r="G1743" s="328"/>
      <c r="H1743" s="321"/>
      <c r="I1743" s="326"/>
      <c r="J1743" s="355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3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322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3"/>
    </row>
    <row r="1750" spans="2:14" ht="15" x14ac:dyDescent="0.25">
      <c r="B1750" s="65"/>
      <c r="C1750" s="78"/>
      <c r="D1750" s="90"/>
      <c r="E1750" s="67"/>
      <c r="F1750" s="77"/>
      <c r="G1750" s="328"/>
      <c r="H1750" s="321"/>
      <c r="I1750" s="326"/>
      <c r="J1750" s="355"/>
      <c r="K1750" s="69"/>
      <c r="L1750" s="322"/>
      <c r="M1750" s="82"/>
      <c r="N1750" s="323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0"/>
      <c r="M1751" s="34"/>
      <c r="N1751" s="331"/>
    </row>
    <row r="1752" spans="2:14" ht="15" x14ac:dyDescent="0.25">
      <c r="B1752" s="37"/>
      <c r="C1752" s="53"/>
      <c r="D1752" s="24"/>
      <c r="E1752" s="25"/>
      <c r="F1752" s="26"/>
      <c r="G1752" s="325"/>
      <c r="H1752" s="332"/>
      <c r="I1752" s="333"/>
      <c r="J1752" s="359"/>
      <c r="K1752" s="27"/>
      <c r="L1752" s="33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0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0"/>
      <c r="C1760" s="2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60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0"/>
      <c r="M1770" s="34"/>
      <c r="N1770" s="35"/>
    </row>
    <row r="1771" spans="2:14" x14ac:dyDescent="0.2">
      <c r="B1771" s="37"/>
      <c r="C1771" s="23"/>
      <c r="D1771" s="24"/>
      <c r="E1771" s="25"/>
      <c r="F1771" s="60"/>
      <c r="G1771" s="26"/>
      <c r="H1771" s="329"/>
      <c r="I1771" s="42"/>
      <c r="J1771" s="36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3"/>
      <c r="D1774" s="24"/>
      <c r="E1774" s="25"/>
      <c r="F1774" s="26"/>
      <c r="G1774" s="325"/>
      <c r="H1774" s="332"/>
      <c r="I1774" s="333"/>
      <c r="J1774" s="359"/>
      <c r="K1774" s="27"/>
      <c r="L1774" s="330"/>
      <c r="M1774" s="34"/>
      <c r="N1774" s="35"/>
    </row>
    <row r="1775" spans="2:14" ht="15" x14ac:dyDescent="0.25">
      <c r="B1775" s="30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23"/>
      <c r="D1786" s="24"/>
      <c r="E1786" s="25"/>
      <c r="F1786" s="26"/>
      <c r="G1786" s="26"/>
      <c r="H1786" s="329"/>
      <c r="I1786" s="41"/>
      <c r="J1786" s="358"/>
      <c r="K1786" s="36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325"/>
      <c r="H1787" s="332"/>
      <c r="I1787" s="333"/>
      <c r="J1787" s="359"/>
      <c r="K1787" s="27"/>
      <c r="L1787" s="33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2">
      <c r="B1789" s="37"/>
      <c r="C1789" s="52"/>
      <c r="D1789" s="24"/>
      <c r="E1789" s="25"/>
      <c r="F1789" s="26"/>
      <c r="G1789" s="26"/>
      <c r="H1789" s="329"/>
      <c r="I1789" s="42"/>
      <c r="J1789" s="360"/>
      <c r="K1789" s="27"/>
      <c r="L1789" s="33"/>
      <c r="M1789" s="34"/>
      <c r="N1789" s="35"/>
    </row>
    <row r="1790" spans="2:14" ht="15" x14ac:dyDescent="0.25">
      <c r="B1790" s="37"/>
      <c r="C1790" s="52"/>
      <c r="D1790" s="24"/>
      <c r="E1790" s="25"/>
      <c r="F1790" s="60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x14ac:dyDescent="0.2">
      <c r="B1795" s="37"/>
      <c r="C1795" s="23"/>
      <c r="D1795" s="24"/>
      <c r="E1795" s="25"/>
      <c r="F1795" s="26"/>
      <c r="G1795" s="325"/>
      <c r="H1795" s="332"/>
      <c r="I1795" s="334"/>
      <c r="J1795" s="361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36"/>
      <c r="L1796" s="33"/>
      <c r="M1796" s="34"/>
      <c r="N1796" s="35"/>
    </row>
    <row r="1797" spans="2:14" x14ac:dyDescent="0.2">
      <c r="B1797" s="37"/>
      <c r="C1797" s="53"/>
      <c r="D1797" s="24"/>
      <c r="E1797" s="25"/>
      <c r="F1797" s="26"/>
      <c r="G1797" s="26"/>
      <c r="H1797" s="329"/>
      <c r="I1797" s="334"/>
      <c r="J1797" s="361"/>
      <c r="K1797" s="36"/>
      <c r="L1797" s="330"/>
      <c r="M1797" s="34"/>
      <c r="N1797" s="35"/>
    </row>
    <row r="1798" spans="2:14" ht="15" x14ac:dyDescent="0.25">
      <c r="B1798" s="37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7"/>
      <c r="C1800" s="53"/>
      <c r="D1800" s="24"/>
      <c r="E1800" s="25"/>
      <c r="F1800" s="26"/>
      <c r="G1800" s="26"/>
      <c r="H1800" s="329"/>
      <c r="I1800" s="333"/>
      <c r="J1800" s="359"/>
      <c r="K1800" s="36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325"/>
      <c r="H1801" s="332"/>
      <c r="I1801" s="333"/>
      <c r="J1801" s="359"/>
      <c r="K1801" s="27"/>
      <c r="L1801" s="330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36"/>
      <c r="L1809" s="33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23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3"/>
      <c r="D1816" s="24"/>
      <c r="E1816" s="25"/>
      <c r="F1816" s="26"/>
      <c r="G1816" s="325"/>
      <c r="H1816" s="332"/>
      <c r="I1816" s="333"/>
      <c r="J1816" s="359"/>
      <c r="K1816" s="36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36"/>
      <c r="L1818" s="33"/>
      <c r="M1818" s="34"/>
      <c r="N1818" s="35"/>
    </row>
    <row r="1819" spans="2:14" ht="15" x14ac:dyDescent="0.25">
      <c r="B1819" s="37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x14ac:dyDescent="0.2">
      <c r="B1820" s="37"/>
      <c r="C1820" s="23"/>
      <c r="D1820" s="24"/>
      <c r="E1820" s="25"/>
      <c r="F1820" s="26"/>
      <c r="G1820" s="26"/>
      <c r="H1820" s="329"/>
      <c r="I1820" s="42"/>
      <c r="J1820" s="360"/>
      <c r="K1820" s="36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ht="15" x14ac:dyDescent="0.25">
      <c r="B1822" s="37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52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0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325"/>
      <c r="H1828" s="332"/>
      <c r="I1828" s="334"/>
      <c r="J1828" s="361"/>
      <c r="K1828" s="27"/>
      <c r="L1828" s="33"/>
      <c r="M1828" s="34"/>
      <c r="N1828" s="35"/>
    </row>
    <row r="1829" spans="2:14" ht="15" x14ac:dyDescent="0.25">
      <c r="B1829" s="37"/>
      <c r="C1829" s="53"/>
      <c r="D1829" s="24"/>
      <c r="E1829" s="25"/>
      <c r="F1829" s="26"/>
      <c r="G1829" s="325"/>
      <c r="H1829" s="332"/>
      <c r="I1829" s="333"/>
      <c r="J1829" s="359"/>
      <c r="K1829" s="27"/>
      <c r="L1829" s="330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2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27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36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"/>
      <c r="M1840" s="34"/>
      <c r="N1840" s="35"/>
    </row>
    <row r="1841" spans="2:14" x14ac:dyDescent="0.2">
      <c r="B1841" s="30"/>
      <c r="C1841" s="23"/>
      <c r="D1841" s="24"/>
      <c r="E1841" s="25"/>
      <c r="F1841" s="26"/>
      <c r="G1841" s="26"/>
      <c r="H1841" s="329"/>
      <c r="I1841" s="42"/>
      <c r="J1841" s="360"/>
      <c r="K1841" s="27"/>
      <c r="L1841" s="33"/>
      <c r="M1841" s="34"/>
      <c r="N1841" s="35"/>
    </row>
    <row r="1842" spans="2:14" x14ac:dyDescent="0.2">
      <c r="B1842" s="37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334"/>
      <c r="J1848" s="361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0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42"/>
      <c r="J1851" s="360"/>
      <c r="K1851" s="27"/>
      <c r="L1851" s="33"/>
      <c r="M1851" s="34"/>
      <c r="N1851" s="35"/>
    </row>
    <row r="1852" spans="2:14" x14ac:dyDescent="0.2">
      <c r="B1852" s="30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325"/>
      <c r="H1853" s="332"/>
      <c r="I1853" s="333"/>
      <c r="J1853" s="359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0"/>
      <c r="C1856" s="23"/>
      <c r="D1856" s="24"/>
      <c r="E1856" s="25"/>
      <c r="F1856" s="26"/>
      <c r="G1856" s="26"/>
      <c r="H1856" s="329"/>
      <c r="I1856" s="41"/>
      <c r="J1856" s="358"/>
      <c r="K1856" s="27"/>
      <c r="L1856" s="33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x14ac:dyDescent="0.2">
      <c r="B1861" s="30"/>
      <c r="C1861" s="23"/>
      <c r="D1861" s="24"/>
      <c r="E1861" s="25"/>
      <c r="F1861" s="26"/>
      <c r="G1861" s="26"/>
      <c r="H1861" s="329"/>
      <c r="I1861" s="42"/>
      <c r="J1861" s="360"/>
      <c r="K1861" s="27"/>
      <c r="L1861" s="33"/>
      <c r="M1861" s="34"/>
      <c r="N1861" s="35"/>
    </row>
    <row r="1862" spans="2:14" x14ac:dyDescent="0.2">
      <c r="B1862" s="37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26"/>
      <c r="H1864" s="329"/>
      <c r="I1864" s="41"/>
      <c r="J1864" s="358"/>
      <c r="K1864" s="36"/>
      <c r="L1864" s="33"/>
      <c r="M1864" s="34"/>
      <c r="N1864" s="35"/>
    </row>
  </sheetData>
  <sortState xmlns:xlrd2="http://schemas.microsoft.com/office/spreadsheetml/2017/richdata2" ref="B7:I1048573">
    <sortCondition ref="C7:C43"/>
  </sortState>
  <mergeCells count="3">
    <mergeCell ref="D1:H1"/>
    <mergeCell ref="D2:K2"/>
    <mergeCell ref="B3:F4"/>
  </mergeCells>
  <phoneticPr fontId="19" type="noConversion"/>
  <conditionalFormatting sqref="H1837:H1860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7:H1859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7:H1858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7:E1864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7:E1864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7:E1864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7:E1864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7:E1864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7:E1864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7:E1864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7:E1864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7:H1864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7:H1864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7:H1864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7:E1864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7:H1864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7:E1864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7:H1864">
    <cfRule type="iconSet" priority="282941">
      <iconSet>
        <cfvo type="percent" val="0"/>
        <cfvo type="percent" val="23"/>
        <cfvo type="percent" val="70"/>
      </iconSet>
    </cfRule>
  </conditionalFormatting>
  <conditionalFormatting sqref="H1837:H1864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7:H1864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7:H1864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7:H1864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7:E1864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7:H1864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7:H1864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7:H1864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7:H1864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7:H1864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7:E1864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7:H1864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7:H1864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7:E1864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7:E1864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7:H1864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7:H1864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7:H1864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7:E1864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7:H1864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7:H1864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7:H1864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7:H1864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7:H1864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7:H1864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7:E1864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7:H1864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7:H1864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7:H1864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7:H1864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7:H1864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7:H1864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7:E1864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7:H1864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7:E1864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7:H1864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7:E1864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7:H1864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09">
      <iconSet>
        <cfvo type="percent" val="0"/>
        <cfvo type="num" val="22"/>
        <cfvo type="num" val="26"/>
      </iconSet>
    </cfRule>
  </conditionalFormatting>
  <conditionalFormatting sqref="H1837:H1864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15">
      <iconSet>
        <cfvo type="percent" val="0"/>
        <cfvo type="num" val="21"/>
        <cfvo type="num" val="25"/>
      </iconSet>
    </cfRule>
  </conditionalFormatting>
  <conditionalFormatting sqref="H1837:H1864">
    <cfRule type="iconSet" priority="283417">
      <iconSet>
        <cfvo type="percent" val="0"/>
        <cfvo type="num" val="19"/>
        <cfvo type="num" val="23"/>
      </iconSet>
    </cfRule>
  </conditionalFormatting>
  <conditionalFormatting sqref="H1837:H1864">
    <cfRule type="iconSet" priority="283419">
      <iconSet>
        <cfvo type="percent" val="0"/>
        <cfvo type="num" val="23"/>
        <cfvo type="num" val="27"/>
      </iconSet>
    </cfRule>
  </conditionalFormatting>
  <conditionalFormatting sqref="E1751:E1753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6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5:E1174 E7:E43">
    <cfRule type="cellIs" dxfId="18" priority="170" operator="greaterThan">
      <formula>7</formula>
    </cfRule>
  </conditionalFormatting>
  <conditionalFormatting sqref="E1484:E4762">
    <cfRule type="cellIs" dxfId="17" priority="137" operator="greaterThan">
      <formula>7</formula>
    </cfRule>
  </conditionalFormatting>
  <conditionalFormatting sqref="I45:I1246 G45:G47 I7:I43">
    <cfRule type="cellIs" dxfId="16" priority="41" operator="lessThan">
      <formula>E7</formula>
    </cfRule>
  </conditionalFormatting>
  <conditionalFormatting sqref="I1837:I1864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7:I1864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7:I1864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7:I1864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7:I1864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7:I1864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7:I1864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7:I1864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7:I1864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7:I1864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7:I1864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7:I1864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7:I1864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7:I1864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3:H1470 H1257:H1431 H45:H1246 H7:H43">
    <cfRule type="cellIs" dxfId="15" priority="297748" operator="greaterThan">
      <formula>$H$44</formula>
    </cfRule>
  </conditionalFormatting>
  <conditionalFormatting sqref="L7:L1246">
    <cfRule type="top10" dxfId="14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E1751:E1753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E1731:E1750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$H$44</xm:f>
              </x14:cfvo>
              <x14:cfIcon iconSet="NoIcons" iconId="0"/>
              <x14:cfIcon iconSet="NoIcons" iconId="0"/>
              <x14:cfIcon iconSet="3Stars" iconId="2"/>
            </x14:iconSet>
          </x14:cfRule>
          <xm:sqref>H1257:H1267 H45:H1246 H7:H43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2026-01-03T06:22:25Z</cp:lastPrinted>
  <dcterms:created xsi:type="dcterms:W3CDTF">2021-05-05T13:25:05Z</dcterms:created>
  <dcterms:modified xsi:type="dcterms:W3CDTF">2026-01-03T06:27:38Z</dcterms:modified>
</cp:coreProperties>
</file>