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EB5363DA-E54A-4B3D-BF61-68F1A710D31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Import!$B$6:$N$1850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Import!$B$1:$R$31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1" l="1"/>
  <c r="G30" i="1"/>
  <c r="I10" i="1" s="1"/>
  <c r="F30" i="1"/>
  <c r="E30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Q29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H25" i="1"/>
  <c r="H16" i="1"/>
  <c r="H10" i="1"/>
  <c r="H8" i="1"/>
  <c r="H9" i="1"/>
  <c r="H13" i="1"/>
  <c r="H14" i="1"/>
  <c r="H11" i="1"/>
  <c r="H15" i="1"/>
  <c r="H17" i="1"/>
  <c r="H12" i="1"/>
  <c r="H24" i="1"/>
  <c r="H18" i="1"/>
  <c r="H26" i="1"/>
  <c r="H19" i="1"/>
  <c r="H20" i="1"/>
  <c r="H21" i="1"/>
  <c r="H7" i="1"/>
  <c r="H22" i="1"/>
  <c r="H23" i="1"/>
  <c r="H27" i="1"/>
  <c r="H28" i="1"/>
  <c r="H29" i="1"/>
  <c r="P3" i="6"/>
  <c r="T30" i="1"/>
  <c r="T31" i="1"/>
  <c r="T32" i="1"/>
  <c r="T33" i="1"/>
  <c r="T34" i="1"/>
  <c r="T35" i="1"/>
  <c r="T36" i="1"/>
  <c r="T37" i="1"/>
  <c r="T38" i="1"/>
  <c r="T39" i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P36" i="1"/>
  <c r="T40" i="1"/>
  <c r="T41" i="1"/>
  <c r="T42" i="1"/>
  <c r="O40" i="1"/>
  <c r="Q40" i="1" s="1"/>
  <c r="O41" i="1"/>
  <c r="Q41" i="1" s="1"/>
  <c r="O42" i="1"/>
  <c r="Q42" i="1" s="1"/>
  <c r="T43" i="1"/>
  <c r="O43" i="1"/>
  <c r="Q43" i="1" s="1"/>
  <c r="T44" i="1"/>
  <c r="O44" i="1"/>
  <c r="Q44" i="1" s="1"/>
  <c r="T45" i="1"/>
  <c r="O45" i="1"/>
  <c r="P45" i="1" s="1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AP6" i="3"/>
  <c r="E13" i="3"/>
  <c r="D13" i="3"/>
  <c r="E12" i="3"/>
  <c r="H11" i="3"/>
  <c r="D12" i="3"/>
  <c r="I29" i="1" l="1"/>
  <c r="P29" i="1" s="1"/>
  <c r="I19" i="1"/>
  <c r="I14" i="1"/>
  <c r="P14" i="1" s="1"/>
  <c r="L14" i="1" s="1"/>
  <c r="I17" i="1"/>
  <c r="P16" i="1" s="1"/>
  <c r="L16" i="1" s="1"/>
  <c r="I28" i="1"/>
  <c r="P28" i="1" s="1"/>
  <c r="I26" i="1"/>
  <c r="I13" i="1"/>
  <c r="J13" i="1" s="1"/>
  <c r="I8" i="1"/>
  <c r="J10" i="1" s="1"/>
  <c r="I7" i="1"/>
  <c r="I16" i="1"/>
  <c r="I22" i="1"/>
  <c r="P22" i="1" s="1"/>
  <c r="L22" i="1" s="1"/>
  <c r="I12" i="1"/>
  <c r="J12" i="1" s="1"/>
  <c r="I27" i="1"/>
  <c r="J27" i="1" s="1"/>
  <c r="I21" i="1"/>
  <c r="I18" i="1"/>
  <c r="P18" i="1" s="1"/>
  <c r="L18" i="1" s="1"/>
  <c r="I15" i="1"/>
  <c r="J15" i="1" s="1"/>
  <c r="I9" i="1"/>
  <c r="I25" i="1"/>
  <c r="P25" i="1" s="1"/>
  <c r="L25" i="1" s="1"/>
  <c r="I23" i="1"/>
  <c r="P23" i="1" s="1"/>
  <c r="L23" i="1" s="1"/>
  <c r="I20" i="1"/>
  <c r="P20" i="1" s="1"/>
  <c r="L20" i="1" s="1"/>
  <c r="I24" i="1"/>
  <c r="P24" i="1" s="1"/>
  <c r="L24" i="1" s="1"/>
  <c r="I11" i="1"/>
  <c r="H30" i="1"/>
  <c r="U10" i="1" s="1"/>
  <c r="N8" i="1"/>
  <c r="P32" i="1"/>
  <c r="J26" i="1"/>
  <c r="P21" i="1"/>
  <c r="L21" i="1" s="1"/>
  <c r="P9" i="1"/>
  <c r="L9" i="1" s="1"/>
  <c r="N27" i="1"/>
  <c r="N23" i="1"/>
  <c r="N19" i="1"/>
  <c r="N15" i="1"/>
  <c r="N11" i="1"/>
  <c r="N7" i="1"/>
  <c r="N26" i="1"/>
  <c r="N22" i="1"/>
  <c r="N18" i="1"/>
  <c r="N14" i="1"/>
  <c r="N10" i="1"/>
  <c r="J19" i="1"/>
  <c r="J7" i="1"/>
  <c r="N29" i="1"/>
  <c r="N25" i="1"/>
  <c r="N21" i="1"/>
  <c r="N17" i="1"/>
  <c r="N13" i="1"/>
  <c r="N9" i="1"/>
  <c r="P33" i="1"/>
  <c r="N28" i="1"/>
  <c r="N24" i="1"/>
  <c r="N20" i="1"/>
  <c r="N16" i="1"/>
  <c r="N12" i="1"/>
  <c r="U7" i="1"/>
  <c r="P27" i="1"/>
  <c r="L27" i="1" s="1"/>
  <c r="P19" i="1"/>
  <c r="P11" i="1"/>
  <c r="L11" i="1" s="1"/>
  <c r="P7" i="1"/>
  <c r="L7" i="1" s="1"/>
  <c r="J29" i="1"/>
  <c r="J21" i="1"/>
  <c r="J9" i="1"/>
  <c r="P26" i="1"/>
  <c r="L26" i="1" s="1"/>
  <c r="P10" i="1"/>
  <c r="L10" i="1" s="1"/>
  <c r="J28" i="1"/>
  <c r="J24" i="1"/>
  <c r="J16" i="1"/>
  <c r="P37" i="1"/>
  <c r="L29" i="1"/>
  <c r="L28" i="1"/>
  <c r="U30" i="1"/>
  <c r="U34" i="1"/>
  <c r="U38" i="1"/>
  <c r="U31" i="1"/>
  <c r="U35" i="1"/>
  <c r="U39" i="1"/>
  <c r="U32" i="1"/>
  <c r="U36" i="1"/>
  <c r="U33" i="1"/>
  <c r="U37" i="1"/>
  <c r="P39" i="1"/>
  <c r="P35" i="1"/>
  <c r="P31" i="1"/>
  <c r="L19" i="1"/>
  <c r="P38" i="1"/>
  <c r="P34" i="1"/>
  <c r="P30" i="1"/>
  <c r="U40" i="1"/>
  <c r="U41" i="1"/>
  <c r="U42" i="1"/>
  <c r="P41" i="1"/>
  <c r="P40" i="1"/>
  <c r="P42" i="1"/>
  <c r="U43" i="1"/>
  <c r="P43" i="1"/>
  <c r="U44" i="1"/>
  <c r="P44" i="1"/>
  <c r="Q45" i="1"/>
  <c r="U45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18" i="1" l="1"/>
  <c r="P12" i="1"/>
  <c r="L12" i="1" s="1"/>
  <c r="J17" i="1"/>
  <c r="U16" i="1"/>
  <c r="J22" i="1"/>
  <c r="J14" i="1"/>
  <c r="U11" i="1"/>
  <c r="U13" i="1"/>
  <c r="U18" i="1"/>
  <c r="J25" i="1"/>
  <c r="U8" i="1"/>
  <c r="U27" i="1"/>
  <c r="U14" i="1"/>
  <c r="J11" i="1"/>
  <c r="P13" i="1"/>
  <c r="L13" i="1" s="1"/>
  <c r="J8" i="1"/>
  <c r="J30" i="1" s="1"/>
  <c r="U17" i="1"/>
  <c r="U20" i="1"/>
  <c r="U15" i="1"/>
  <c r="J23" i="1"/>
  <c r="P17" i="1"/>
  <c r="L17" i="1" s="1"/>
  <c r="P8" i="1"/>
  <c r="L8" i="1" s="1"/>
  <c r="I30" i="1"/>
  <c r="J20" i="1"/>
  <c r="P15" i="1"/>
  <c r="L15" i="1" s="1"/>
  <c r="U25" i="1"/>
  <c r="U28" i="1"/>
  <c r="U12" i="1"/>
  <c r="U23" i="1"/>
  <c r="U26" i="1"/>
  <c r="U9" i="1"/>
  <c r="U21" i="1"/>
  <c r="U24" i="1"/>
  <c r="U29" i="1"/>
  <c r="U19" i="1"/>
  <c r="U22" i="1"/>
  <c r="N30" i="1"/>
  <c r="U47" i="1"/>
  <c r="U46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R10" i="1" l="1"/>
  <c r="S10" i="1" s="1"/>
  <c r="R14" i="1"/>
  <c r="S14" i="1" s="1"/>
  <c r="R18" i="1"/>
  <c r="S18" i="1" s="1"/>
  <c r="R22" i="1"/>
  <c r="S22" i="1" s="1"/>
  <c r="R26" i="1"/>
  <c r="S26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0" i="1"/>
  <c r="S30" i="1" s="1"/>
  <c r="R34" i="1"/>
  <c r="S34" i="1" s="1"/>
  <c r="R38" i="1"/>
  <c r="S38" i="1" s="1"/>
  <c r="R31" i="1"/>
  <c r="S31" i="1" s="1"/>
  <c r="R35" i="1"/>
  <c r="S35" i="1" s="1"/>
  <c r="R39" i="1"/>
  <c r="S39" i="1" s="1"/>
  <c r="R32" i="1"/>
  <c r="S32" i="1" s="1"/>
  <c r="R36" i="1"/>
  <c r="S36" i="1" s="1"/>
  <c r="R33" i="1"/>
  <c r="S33" i="1" s="1"/>
  <c r="R37" i="1"/>
  <c r="S37" i="1" s="1"/>
  <c r="R42" i="1"/>
  <c r="S42" i="1" s="1"/>
  <c r="R40" i="1"/>
  <c r="S40" i="1" s="1"/>
  <c r="R41" i="1"/>
  <c r="S41" i="1" s="1"/>
  <c r="R43" i="1"/>
  <c r="S43" i="1" s="1"/>
  <c r="R44" i="1"/>
  <c r="S44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<sst xmlns="http://schemas.openxmlformats.org/spreadsheetml/2006/main" count="266" uniqueCount="177">
  <si>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</si>
  <si>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</si>
  <si>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</si>
  <si>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</si>
  <si>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</si>
  <si>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</si>
  <si>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</si>
  <si>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</si>
  <si>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</si>
  <si>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</si>
  <si>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</si>
  <si>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</si>
  <si>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</si>
  <si>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</si>
  <si>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</si>
  <si>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</si>
  <si>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</si>
  <si>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</si>
  <si>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</si>
  <si>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</si>
  <si>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</si>
  <si>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</si>
  <si>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</si>
  <si>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</si>
  <si>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</si>
  <si>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</si>
  <si>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</si>
  <si>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</si>
  <si>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</si>
  <si>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</si>
  <si>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</si>
  <si>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</si>
  <si>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</si>
  <si>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</si>
  <si>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</si>
  <si>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</si>
  <si>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</si>
  <si>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</si>
  <si>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</si>
  <si>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</si>
  <si>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</si>
  <si>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</si>
  <si>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</si>
  <si>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</si>
  <si>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</si>
  <si>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</si>
  <si>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</si>
  <si>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</si>
  <si>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</si>
  <si>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</si>
  <si>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</si>
  <si>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</si>
  <si>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</si>
  <si>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</si>
  <si>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</si>
  <si>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</si>
  <si>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</si>
  <si>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</si>
  <si>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</si>
  <si>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</si>
  <si>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</si>
  <si>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</si>
  <si>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</si>
  <si>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</si>
  <si>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</si>
  <si>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</si>
  <si>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</si>
  <si>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</si>
  <si>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</si>
  <si>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</si>
  <si>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</si>
  <si>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</si>
  <si>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</si>
  <si>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</si>
  <si>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</si>
  <si>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</si>
  <si>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</si>
  <si>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</si>
  <si>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</si>
  <si>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</si>
  <si>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</si>
  <si>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</si>
  <si>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</si>
  <si>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</si>
  <si>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</si>
  <si>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</si>
  <si>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</si>
  <si>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</si>
  <si>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</si>
  <si>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</si>
  <si>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</si>
  <si>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</si>
  <si>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</si>
  <si>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</si>
  <si>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</si>
  <si>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</si>
  <si>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</si>
  <si>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</si>
  <si>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</si>
  <si>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</si>
  <si>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</si>
  <si>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</si>
  <si>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</si>
  <si>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</si>
  <si>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</si>
  <si>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</si>
  <si>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</si>
  <si>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</si>
  <si>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</si>
  <si>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</si>
  <si>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</si>
  <si>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</si>
  <si>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</si>
  <si>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</si>
  <si>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</si>
  <si>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</si>
  <si>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</si>
  <si>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</si>
  <si>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</si>
  <si>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</si>
  <si>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</si>
  <si>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</si>
  <si>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</si>
  <si>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</si>
  <si>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</si>
  <si>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</si>
  <si>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</si>
  <si>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</si>
  <si>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</si>
  <si>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</si>
  <si>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</si>
  <si>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</si>
  <si>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</si>
  <si>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</si>
  <si>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</si>
  <si>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</si>
  <si>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</si>
  <si>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</si>
  <si>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</si>
  <si>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</si>
  <si>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</si>
  <si>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</si>
  <si>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</si>
  <si>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</si>
  <si>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</si>
  <si>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</si>
  <si>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</si>
  <si>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</si>
  <si>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AGUDELO GARCIA LLORDIN ELIAS</t>
  </si>
  <si>
    <t>ALBERTO ARISTIZABAL RAFAEL</t>
  </si>
  <si>
    <t>JIMENEZ HERNANDEZ ESTEBAN CAMILO</t>
  </si>
  <si>
    <t>GUTIERREZ ARICAPA DANIEL HUMBERTO</t>
  </si>
  <si>
    <t>PEREZ GARCIA JUAN ESTEBAN</t>
  </si>
  <si>
    <t>LAYOS JIMENEZ JOHAN CAMILO</t>
  </si>
  <si>
    <t>AGUDELO GARCIA DENIN ANGELO</t>
  </si>
  <si>
    <t>PARRA VILLA YUBER ALONSO</t>
  </si>
  <si>
    <t>MONTOYA OSPINA GILBERTO ANTONIO</t>
  </si>
  <si>
    <t>FRANCO CARVAJAL GERARDO ANTONIO</t>
  </si>
  <si>
    <t>PARIAS MURIEL JHON FREDY</t>
  </si>
  <si>
    <t>PALMAR PANA EDIXON JOSUE</t>
  </si>
  <si>
    <t>LOPEZ PINEDA DANIEL ESTIVEN</t>
  </si>
  <si>
    <t>SANCHEZ BETANCOURT FRANSCISCO</t>
  </si>
  <si>
    <t>VERENZUELA MARTINEZ ALEXANDER</t>
  </si>
  <si>
    <t>VALENCIA MENDOZA JHON</t>
  </si>
  <si>
    <t>88XM</t>
  </si>
  <si>
    <t>MARTINEZ CHAVERRA LUIS NORBERTO</t>
  </si>
  <si>
    <t>MACEA ARBELAEZ MATEO</t>
  </si>
  <si>
    <t>MACIAS HERNANDEZ JULIAN DAVID</t>
  </si>
  <si>
    <t>MIRANDA MACHADO ALVARO</t>
  </si>
  <si>
    <t>CIRO MARIN RODRIGO ALBERTO</t>
  </si>
  <si>
    <t>FLORES RINCON JORGE ALBERTO</t>
  </si>
  <si>
    <t xml:space="preserve">OCAMPO OCAMPO ANTONIO JOSE </t>
  </si>
  <si>
    <t xml:space="preserve">2 Descuentos (Usuarios desubicados) </t>
  </si>
  <si>
    <t xml:space="preserve">1 Descuento (Despachador) </t>
  </si>
  <si>
    <t xml:space="preserve">2 Descuentos (conducts) </t>
  </si>
  <si>
    <t xml:space="preserve">2 Descuentos (Despachador y conduct)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</si>
  <si>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24.2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</si>
</sst>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Import!$C$7:$C$30</c:f>
              <c:numCache>
                <c:formatCode>0</c:formatCode>
                <c:ptCount val="23"/>
                <c:pt idx="0" formatCode="General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12</c:v>
                </c:pt>
                <c:pt idx="5">
                  <c:v>13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22</c:v>
                </c:pt>
                <c:pt idx="11">
                  <c:v>24</c:v>
                </c:pt>
                <c:pt idx="12" formatCode="General">
                  <c:v>26</c:v>
                </c:pt>
                <c:pt idx="13" formatCode="General">
                  <c:v>27</c:v>
                </c:pt>
                <c:pt idx="14">
                  <c:v>30</c:v>
                </c:pt>
                <c:pt idx="15">
                  <c:v>31</c:v>
                </c:pt>
                <c:pt idx="16">
                  <c:v>32</c:v>
                </c:pt>
                <c:pt idx="17" formatCode="General">
                  <c:v>34</c:v>
                </c:pt>
                <c:pt idx="18">
                  <c:v>36</c:v>
                </c:pt>
                <c:pt idx="19">
                  <c:v>37</c:v>
                </c:pt>
                <c:pt idx="20">
                  <c:v>39</c:v>
                </c:pt>
                <c:pt idx="21">
                  <c:v>40</c:v>
                </c:pt>
                <c:pt idx="22">
                  <c:v>42</c:v>
                </c:pt>
              </c:numCache>
            </c:numRef>
          </c:cat>
          <c:val>
            <c:numRef>
              <c:f>Import!$H$7:$H$30</c:f>
              <c:numCache>
                <c:formatCode>_-* #,##0.0_-;\-* #,##0.0_-;_-* "-"??_-;_-@_-</c:formatCode>
                <c:ptCount val="23"/>
                <c:pt idx="0">
                  <c:v>21.375</c:v>
                </c:pt>
                <c:pt idx="1">
                  <c:v>27.8</c:v>
                </c:pt>
                <c:pt idx="2">
                  <c:v>18.333333333333332</c:v>
                </c:pt>
                <c:pt idx="3">
                  <c:v>27.444444444444443</c:v>
                </c:pt>
                <c:pt idx="4">
                  <c:v>18.111111111111111</c:v>
                </c:pt>
                <c:pt idx="5">
                  <c:v>31</c:v>
                </c:pt>
                <c:pt idx="6">
                  <c:v>24.555555555555557</c:v>
                </c:pt>
                <c:pt idx="7">
                  <c:v>22.555555555555557</c:v>
                </c:pt>
                <c:pt idx="8">
                  <c:v>26.3</c:v>
                </c:pt>
                <c:pt idx="9">
                  <c:v>21.5</c:v>
                </c:pt>
                <c:pt idx="10">
                  <c:v>23.4</c:v>
                </c:pt>
                <c:pt idx="11">
                  <c:v>26.875</c:v>
                </c:pt>
                <c:pt idx="12">
                  <c:v>20.5</c:v>
                </c:pt>
                <c:pt idx="13">
                  <c:v>22.153846153846153</c:v>
                </c:pt>
                <c:pt idx="14">
                  <c:v>26.777777777777779</c:v>
                </c:pt>
                <c:pt idx="15">
                  <c:v>26.555555555555557</c:v>
                </c:pt>
                <c:pt idx="16">
                  <c:v>19.5</c:v>
                </c:pt>
                <c:pt idx="17">
                  <c:v>27.666666666666668</c:v>
                </c:pt>
                <c:pt idx="18">
                  <c:v>27.5</c:v>
                </c:pt>
                <c:pt idx="19">
                  <c:v>24.2</c:v>
                </c:pt>
                <c:pt idx="20">
                  <c:v>23.555555555555557</c:v>
                </c:pt>
                <c:pt idx="21">
                  <c:v>26.888888888888889</c:v>
                </c:pt>
                <c:pt idx="2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30" totalsRowCount="1" headerRowDxfId="62" dataDxfId="61" totalsRowDxfId="60">
  <sortState xmlns:xlrd2="http://schemas.microsoft.com/office/spreadsheetml/2017/richdata2" ref="B7:N27">
    <sortCondition descending="1" ref="H7:H27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/>
    <tableColumn id="13" xr3:uid="{FCD2DCC9-9A34-483A-B1DC-9E398E7F3EDE}" name="RECIBE / ENTREGA" totalsRowFunction="sum" dataDxfId="17" totalsRowDxfId="4" dataCellStyle="Millares"/>
    <tableColumn id="8" xr3:uid="{00000000-0010-0000-0000-000008000000}" name="NOVEDADES" totalsRowLabel="PROMEDIO X VIAJE 24.2 USUARIOS" dataDxfId="16" totalsRowDxfId="3"/>
    <tableColumn id="9" xr3:uid="{00000000-0010-0000-0000-000009000000}" name="VALOR OPERACIÓN" dataDxfId="15" totalsRowDxfId="2"/>
    <tableColumn id="10" xr3:uid="{00000000-0010-0000-0000-00000A000000}" name="CLASIFIC." dataDxfId="14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+(SUMIFS(G:G,M:M,"MICRO",E:E,"&gt;0")*100)/COUNTIF($E$7:$E$29,"&gt;0")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50"/>
  <sheetViews>
    <sheetView showGridLines="0" tabSelected="1" showWhiteSpace="0" zoomScaleNormal="100" workbookViewId="0">
      <selection activeCell="J1" sqref="J1:J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hidden="1" customWidth="1"/>
    <col min="11" max="11" width="39.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+SUM(G6:G1841)/2</f>
        <v>4850</v>
      </c>
      <c r="R3" s="55">
        <f>+SUM(E6:E1841)/2</f>
        <v>200</v>
      </c>
      <c r="S3" s="55">
        <f>+Q3-R3</f>
        <v>4650</v>
      </c>
      <c r="T3" s="56">
        <f>+S3/R3</f>
        <v>23.25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45998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164</v>
      </c>
      <c r="C7" s="137">
        <v>2</v>
      </c>
      <c r="D7" s="151" t="s">
        <v>158</v>
      </c>
      <c r="E7" s="150">
        <v>8</v>
      </c>
      <c r="F7" s="150">
        <v>0</v>
      </c>
      <c r="G7" s="146">
        <v>171</v>
      </c>
      <c r="H7" s="226">
        <f t="shared" ref="H7:H29" si="0">+G7/E7</f>
        <v>21.375</v>
      </c>
      <c r="I7" s="227">
        <f>+(SUM($G$7:$G$1048576)/SUM($E$7:$E$1048576))*E7</f>
        <v>194</v>
      </c>
      <c r="J7" s="363">
        <f>+Tabla2[[#This Row],[PROM DE USUARIOS]]-Tabla2[[#This Row],[USUARIOS]]</f>
        <v>23</v>
      </c>
      <c r="K7" s="151"/>
      <c r="L7" s="163">
        <f t="shared" ref="L7:L29" si="1">P7*585</f>
        <v>108810</v>
      </c>
      <c r="M7" s="162">
        <f>+VLOOKUP(C7,Lista!B:D,3,0)</f>
        <v>0</v>
      </c>
      <c r="N7" s="366">
        <f>+(SUMIFS(G:G,M:M,"MICRO",E:E,"&gt;0")*100)/COUNTIF($E$7:$E$29,"&gt;0")</f>
        <v>13521.739130434782</v>
      </c>
      <c r="O7" s="50">
        <f t="shared" ref="O7:O29" si="2">+(E7*1)-V7</f>
        <v>8</v>
      </c>
      <c r="P7" s="47">
        <f t="shared" ref="P7:P29" si="3">+I7-O7-W7</f>
        <v>186</v>
      </c>
      <c r="Q7" s="49">
        <f t="shared" ref="Q7:Q29" si="4">+G7-O7</f>
        <v>163</v>
      </c>
      <c r="R7" s="51">
        <f t="shared" ref="R7:R29" si="5">+E7*$T$3</f>
        <v>186</v>
      </c>
      <c r="S7" s="46">
        <f t="shared" ref="S7:S29" si="6">+R7*550</f>
        <v>102300</v>
      </c>
      <c r="T7" t="str">
        <f t="shared" ref="T7:T29" si="7">+IF(K7&lt;&gt;"",K7,"")</f>
        <v/>
      </c>
      <c r="U7">
        <f>+RANK(H7,$H$6:$H$1048576,1)</f>
        <v>5</v>
      </c>
      <c r="V7"/>
      <c r="W7"/>
      <c r="Y7" t="str">
        <f>TRIM(Tabla2[[#This Row],[CONDUCTOR]])</f>
        <v>PARIAS MURIEL JHON FREDY</v>
      </c>
    </row>
    <row r="8" spans="1:32" x14ac:dyDescent="0.2">
      <c r="B8" s="136" t="s">
        <v>164</v>
      </c>
      <c r="C8" s="166">
        <v>4</v>
      </c>
      <c r="D8" s="151" t="s">
        <v>161</v>
      </c>
      <c r="E8" s="150">
        <v>5</v>
      </c>
      <c r="F8" s="150"/>
      <c r="G8" s="165">
        <v>139</v>
      </c>
      <c r="H8" s="226">
        <f t="shared" si="0"/>
        <v>27.8</v>
      </c>
      <c r="I8" s="227">
        <f>+(SUM($G$7:$G$1048576)/SUM($E$7:$E$1048576))*E8</f>
        <v>121.25</v>
      </c>
      <c r="J8" s="363">
        <f>+Tabla2[[#This Row],[PROM DE USUARIOS]]-Tabla2[[#This Row],[USUARIOS]]</f>
        <v>-17.75</v>
      </c>
      <c r="K8" s="151"/>
      <c r="L8" s="163">
        <f t="shared" si="1"/>
        <v>68006.25</v>
      </c>
      <c r="M8" s="162" t="str">
        <f>+VLOOKUP(C8,Lista!B:D,3,0)</f>
        <v>MICRO</v>
      </c>
      <c r="N8" s="366">
        <f>+(SUMIFS(G:G,M:M,"MICRO",E:E,"&gt;0")*100)/COUNTIF($E$7:$E$29,"&gt;0")</f>
        <v>13521.739130434782</v>
      </c>
      <c r="O8" s="50">
        <f t="shared" si="2"/>
        <v>5</v>
      </c>
      <c r="P8" s="47">
        <f t="shared" si="3"/>
        <v>116.25</v>
      </c>
      <c r="Q8" s="49">
        <f t="shared" si="4"/>
        <v>134</v>
      </c>
      <c r="R8" s="51">
        <f t="shared" si="5"/>
        <v>116.25</v>
      </c>
      <c r="S8" s="46">
        <f t="shared" si="6"/>
        <v>63937.5</v>
      </c>
      <c r="T8" t="str">
        <f t="shared" si="7"/>
        <v/>
      </c>
      <c r="U8">
        <f>+RANK(H8,$H$6:$H$1048576,1)</f>
        <v>23</v>
      </c>
      <c r="Y8" t="str">
        <f>TRIM(Tabla2[[#This Row],[CONDUCTOR]])</f>
        <v>SANCHEZ BETANCOURT FRANSCISCO</v>
      </c>
    </row>
    <row r="9" spans="1:32" x14ac:dyDescent="0.2">
      <c r="B9" s="136" t="s">
        <v>164</v>
      </c>
      <c r="C9" s="166">
        <v>6</v>
      </c>
      <c r="D9" s="151" t="s">
        <v>160</v>
      </c>
      <c r="E9" s="150">
        <v>6</v>
      </c>
      <c r="F9" s="150">
        <v>0</v>
      </c>
      <c r="G9" s="146">
        <v>110</v>
      </c>
      <c r="H9" s="226">
        <f t="shared" si="0"/>
        <v>18.333333333333332</v>
      </c>
      <c r="I9" s="227">
        <f>+(SUM($G$7:$G$1048576)/SUM($E$7:$E$1048576))*E9</f>
        <v>145.5</v>
      </c>
      <c r="J9" s="363">
        <f>+Tabla2[[#This Row],[PROM DE USUARIOS]]-Tabla2[[#This Row],[USUARIOS]]</f>
        <v>35.5</v>
      </c>
      <c r="K9" s="151"/>
      <c r="L9" s="163">
        <f t="shared" si="1"/>
        <v>81607.5</v>
      </c>
      <c r="M9" s="162" t="str">
        <f>+VLOOKUP(C9,Lista!B:D,3,0)</f>
        <v>MICRO</v>
      </c>
      <c r="N9" s="366">
        <f>+(SUMIFS(G:G,M:M,"MICRO",E:E,"&gt;0")*100)/COUNTIF($E$7:$E$29,"&gt;0")</f>
        <v>13521.739130434782</v>
      </c>
      <c r="O9" s="50">
        <f t="shared" si="2"/>
        <v>6</v>
      </c>
      <c r="P9" s="47">
        <f t="shared" si="3"/>
        <v>139.5</v>
      </c>
      <c r="Q9" s="49">
        <f t="shared" si="4"/>
        <v>104</v>
      </c>
      <c r="R9" s="51">
        <f t="shared" si="5"/>
        <v>139.5</v>
      </c>
      <c r="S9" s="46">
        <f t="shared" si="6"/>
        <v>76725</v>
      </c>
      <c r="T9" t="str">
        <f t="shared" si="7"/>
        <v/>
      </c>
      <c r="U9">
        <f>+RANK(H9,$H$6:$H$1048576,1)</f>
        <v>2</v>
      </c>
      <c r="Y9" t="str">
        <f>TRIM(Tabla2[[#This Row],[CONDUCTOR]])</f>
        <v>LOPEZ PINEDA DANIEL ESTIVEN</v>
      </c>
    </row>
    <row r="10" spans="1:32" x14ac:dyDescent="0.2">
      <c r="B10" s="136" t="s">
        <v>164</v>
      </c>
      <c r="C10" s="166">
        <v>8</v>
      </c>
      <c r="D10" s="151" t="s">
        <v>162</v>
      </c>
      <c r="E10" s="150">
        <v>9</v>
      </c>
      <c r="F10" s="150">
        <v>0</v>
      </c>
      <c r="G10" s="146">
        <v>247</v>
      </c>
      <c r="H10" s="226">
        <f t="shared" si="0"/>
        <v>27.444444444444443</v>
      </c>
      <c r="I10" s="227">
        <f>+(SUM($G$7:$G$1048576)/SUM($E$7:$E$1048576))*E10</f>
        <v>218.25</v>
      </c>
      <c r="J10" s="363">
        <f>+Tabla2[[#This Row],[PROM DE USUARIOS]]-Tabla2[[#This Row],[USUARIOS]]</f>
        <v>-28.75</v>
      </c>
      <c r="K10" s="151"/>
      <c r="L10" s="163">
        <f t="shared" si="1"/>
        <v>122411.25</v>
      </c>
      <c r="M10" s="162">
        <f>+VLOOKUP(C10,Lista!B:D,3,0)</f>
        <v>0</v>
      </c>
      <c r="N10" s="366">
        <f>+(SUMIFS(G:G,M:M,"MICRO",E:E,"&gt;0")*100)/COUNTIF($E$7:$E$29,"&gt;0")</f>
        <v>13521.739130434782</v>
      </c>
      <c r="O10" s="50">
        <f t="shared" si="2"/>
        <v>9</v>
      </c>
      <c r="P10" s="47">
        <f t="shared" si="3"/>
        <v>209.25</v>
      </c>
      <c r="Q10" s="49">
        <f t="shared" si="4"/>
        <v>238</v>
      </c>
      <c r="R10" s="51">
        <f t="shared" si="5"/>
        <v>209.25</v>
      </c>
      <c r="S10" s="46">
        <f t="shared" si="6"/>
        <v>115087.5</v>
      </c>
      <c r="T10" t="str">
        <f t="shared" si="7"/>
        <v/>
      </c>
      <c r="U10">
        <f>+RANK(H10,$H$6:$H$1048576,1)</f>
        <v>20</v>
      </c>
      <c r="Y10" t="str">
        <f>TRIM(Tabla2[[#This Row],[CONDUCTOR]])</f>
        <v>VERENZUELA MARTINEZ ALEXANDER</v>
      </c>
    </row>
    <row r="11" spans="1:32" x14ac:dyDescent="0.2">
      <c r="B11" s="136" t="s">
        <v>164</v>
      </c>
      <c r="C11" s="166">
        <v>12</v>
      </c>
      <c r="D11" s="151" t="s">
        <v>167</v>
      </c>
      <c r="E11" s="150">
        <v>9</v>
      </c>
      <c r="F11" s="150">
        <v>0</v>
      </c>
      <c r="G11" s="165">
        <v>163</v>
      </c>
      <c r="H11" s="226">
        <f t="shared" si="0"/>
        <v>18.111111111111111</v>
      </c>
      <c r="I11" s="227">
        <f>+(SUM($G$7:$G$1048576)/SUM($E$7:$E$1048576))*E11</f>
        <v>218.25</v>
      </c>
      <c r="J11" s="363">
        <f>+Tabla2[[#This Row],[PROM DE USUARIOS]]-Tabla2[[#This Row],[USUARIOS]]</f>
        <v>55.25</v>
      </c>
      <c r="K11" s="151"/>
      <c r="L11" s="163">
        <f t="shared" si="1"/>
        <v>122411.25</v>
      </c>
      <c r="M11" s="162">
        <f>+VLOOKUP(C11,Lista!B:D,3,0)</f>
        <v>0</v>
      </c>
      <c r="N11" s="366">
        <f>+(SUMIFS(G:G,M:M,"MICRO",E:E,"&gt;0")*100)/COUNTIF($E$7:$E$29,"&gt;0")</f>
        <v>13521.739130434782</v>
      </c>
      <c r="O11" s="50">
        <f t="shared" si="2"/>
        <v>9</v>
      </c>
      <c r="P11" s="47">
        <f t="shared" si="3"/>
        <v>209.25</v>
      </c>
      <c r="Q11" s="49">
        <f t="shared" si="4"/>
        <v>154</v>
      </c>
      <c r="R11" s="51">
        <f t="shared" si="5"/>
        <v>209.25</v>
      </c>
      <c r="S11" s="46">
        <f t="shared" si="6"/>
        <v>115087.5</v>
      </c>
      <c r="T11" t="str">
        <f t="shared" si="7"/>
        <v/>
      </c>
      <c r="U11">
        <f>+RANK(H11,$H$6:$H$1048576,1)</f>
        <v>1</v>
      </c>
      <c r="Y11" t="str">
        <f>TRIM(Tabla2[[#This Row],[CONDUCTOR]])</f>
        <v>MACIAS HERNANDEZ JULIAN DAVID</v>
      </c>
    </row>
    <row r="12" spans="1:32" x14ac:dyDescent="0.2">
      <c r="B12" s="136" t="s">
        <v>164</v>
      </c>
      <c r="C12" s="166">
        <v>13</v>
      </c>
      <c r="D12" s="151" t="s">
        <v>168</v>
      </c>
      <c r="E12" s="150">
        <v>8</v>
      </c>
      <c r="F12" s="150">
        <v>0</v>
      </c>
      <c r="G12" s="165">
        <v>248</v>
      </c>
      <c r="H12" s="226">
        <f t="shared" si="0"/>
        <v>31</v>
      </c>
      <c r="I12" s="227">
        <f>+(SUM($G$7:$G$1048576)/SUM($E$7:$E$1048576))*E12</f>
        <v>194</v>
      </c>
      <c r="J12" s="363">
        <f>+Tabla2[[#This Row],[PROM DE USUARIOS]]-Tabla2[[#This Row],[USUARIOS]]</f>
        <v>-54</v>
      </c>
      <c r="K12" s="151"/>
      <c r="L12" s="163">
        <f t="shared" si="1"/>
        <v>108810</v>
      </c>
      <c r="M12" s="162" t="str">
        <f>+VLOOKUP(C12,Lista!B:D,3,0)</f>
        <v>MICRO</v>
      </c>
      <c r="N12" s="366">
        <f>+(SUMIFS(G:G,M:M,"MICRO",E:E,"&gt;0")*100)/COUNTIF($E$7:$E$29,"&gt;0")</f>
        <v>13521.739130434782</v>
      </c>
      <c r="O12" s="50">
        <f t="shared" si="2"/>
        <v>8</v>
      </c>
      <c r="P12" s="47">
        <f t="shared" si="3"/>
        <v>186</v>
      </c>
      <c r="Q12" s="49">
        <f t="shared" si="4"/>
        <v>240</v>
      </c>
      <c r="R12" s="51">
        <f t="shared" si="5"/>
        <v>186</v>
      </c>
      <c r="S12" s="46">
        <f t="shared" si="6"/>
        <v>102300</v>
      </c>
      <c r="T12" t="str">
        <f t="shared" si="7"/>
        <v/>
      </c>
      <c r="U12">
        <f>+RANK(H12,$H$6:$H$1048576,1)</f>
        <v>24</v>
      </c>
      <c r="Y12" t="str">
        <f>TRIM(Tabla2[[#This Row],[CONDUCTOR]])</f>
        <v>MIRANDA MACHADO ALVARO</v>
      </c>
    </row>
    <row r="13" spans="1:32" x14ac:dyDescent="0.2">
      <c r="B13" s="136" t="s">
        <v>164</v>
      </c>
      <c r="C13" s="166">
        <v>16</v>
      </c>
      <c r="D13" s="151" t="s">
        <v>152</v>
      </c>
      <c r="E13" s="150">
        <v>9</v>
      </c>
      <c r="F13" s="150">
        <v>0</v>
      </c>
      <c r="G13" s="165">
        <v>221</v>
      </c>
      <c r="H13" s="226">
        <f t="shared" si="0"/>
        <v>24.555555555555557</v>
      </c>
      <c r="I13" s="227">
        <f>+(SUM($G$7:$G$1048576)/SUM($E$7:$E$1048576))*E13</f>
        <v>218.25</v>
      </c>
      <c r="J13" s="363">
        <f>+Tabla2[[#This Row],[PROM DE USUARIOS]]-Tabla2[[#This Row],[USUARIOS]]</f>
        <v>-2.75</v>
      </c>
      <c r="K13" s="151"/>
      <c r="L13" s="163">
        <f t="shared" si="1"/>
        <v>122411.25</v>
      </c>
      <c r="M13" s="162" t="str">
        <f>+VLOOKUP(C13,Lista!B:D,3,0)</f>
        <v>MICRO</v>
      </c>
      <c r="N13" s="366">
        <f>+(SUMIFS(G:G,M:M,"MICRO",E:E,"&gt;0")*100)/COUNTIF($E$7:$E$29,"&gt;0")</f>
        <v>13521.739130434782</v>
      </c>
      <c r="O13" s="50">
        <f t="shared" si="2"/>
        <v>9</v>
      </c>
      <c r="P13" s="47">
        <f t="shared" si="3"/>
        <v>209.25</v>
      </c>
      <c r="Q13" s="49">
        <f t="shared" si="4"/>
        <v>212</v>
      </c>
      <c r="R13" s="51">
        <f t="shared" si="5"/>
        <v>209.25</v>
      </c>
      <c r="S13" s="46">
        <f t="shared" si="6"/>
        <v>115087.5</v>
      </c>
      <c r="T13" t="str">
        <f t="shared" si="7"/>
        <v/>
      </c>
      <c r="U13">
        <f>+RANK(H13,$H$6:$H$1048576,1)</f>
        <v>14</v>
      </c>
      <c r="Y13" t="str">
        <f>TRIM(Tabla2[[#This Row],[CONDUCTOR]])</f>
        <v>PEREZ GARCIA JUAN ESTEBAN</v>
      </c>
    </row>
    <row r="14" spans="1:32" x14ac:dyDescent="0.2">
      <c r="B14" s="136" t="s">
        <v>164</v>
      </c>
      <c r="C14" s="166">
        <v>17</v>
      </c>
      <c r="D14" s="151" t="s">
        <v>155</v>
      </c>
      <c r="E14" s="150">
        <v>9</v>
      </c>
      <c r="F14" s="150">
        <v>0</v>
      </c>
      <c r="G14" s="165">
        <v>203</v>
      </c>
      <c r="H14" s="226">
        <f t="shared" si="0"/>
        <v>22.555555555555557</v>
      </c>
      <c r="I14" s="227">
        <f>+(SUM($G$7:$G$1048576)/SUM($E$7:$E$1048576))*E14</f>
        <v>218.25</v>
      </c>
      <c r="J14" s="363">
        <f>+Tabla2[[#This Row],[PROM DE USUARIOS]]-Tabla2[[#This Row],[USUARIOS]]</f>
        <v>15.25</v>
      </c>
      <c r="K14" s="151"/>
      <c r="L14" s="163">
        <f t="shared" si="1"/>
        <v>122411.25</v>
      </c>
      <c r="M14" s="162" t="str">
        <f>+VLOOKUP(C14,Lista!B:D,3,0)</f>
        <v>MICRO</v>
      </c>
      <c r="N14" s="366">
        <f>+(SUMIFS(G:G,M:M,"MICRO",E:E,"&gt;0")*100)/COUNTIF($E$7:$E$29,"&gt;0")</f>
        <v>13521.739130434782</v>
      </c>
      <c r="O14" s="50">
        <f t="shared" si="2"/>
        <v>9</v>
      </c>
      <c r="P14" s="47">
        <f t="shared" si="3"/>
        <v>209.25</v>
      </c>
      <c r="Q14" s="49">
        <f t="shared" si="4"/>
        <v>194</v>
      </c>
      <c r="R14" s="51">
        <f t="shared" si="5"/>
        <v>209.25</v>
      </c>
      <c r="S14" s="46">
        <f t="shared" si="6"/>
        <v>115087.5</v>
      </c>
      <c r="T14" t="str">
        <f t="shared" si="7"/>
        <v/>
      </c>
      <c r="U14">
        <f>+RANK(H14,$H$6:$H$1048576,1)</f>
        <v>9</v>
      </c>
      <c r="Y14" t="str">
        <f>TRIM(Tabla2[[#This Row],[CONDUCTOR]])</f>
        <v>PARRA VILLA YUBER ALONSO</v>
      </c>
    </row>
    <row r="15" spans="1:32" x14ac:dyDescent="0.2">
      <c r="B15" s="136" t="s">
        <v>164</v>
      </c>
      <c r="C15" s="166">
        <v>18</v>
      </c>
      <c r="D15" s="151" t="s">
        <v>149</v>
      </c>
      <c r="E15" s="150">
        <v>10</v>
      </c>
      <c r="F15" s="150">
        <v>0</v>
      </c>
      <c r="G15" s="165">
        <v>263</v>
      </c>
      <c r="H15" s="226">
        <f t="shared" si="0"/>
        <v>26.3</v>
      </c>
      <c r="I15" s="227">
        <f>+(SUM($G$7:$G$1048576)/SUM($E$7:$E$1048576))*E15</f>
        <v>242.5</v>
      </c>
      <c r="J15" s="363">
        <f>+Tabla2[[#This Row],[PROM DE USUARIOS]]-Tabla2[[#This Row],[USUARIOS]]</f>
        <v>-20.5</v>
      </c>
      <c r="K15" s="151" t="s">
        <v>172</v>
      </c>
      <c r="L15" s="163">
        <f t="shared" si="1"/>
        <v>136012.5</v>
      </c>
      <c r="M15" s="162" t="str">
        <f>+VLOOKUP(C15,Lista!B:D,3,0)</f>
        <v>MICRO</v>
      </c>
      <c r="N15" s="366">
        <f>+(SUMIFS(G:G,M:M,"MICRO",E:E,"&gt;0")*100)/COUNTIF($E$7:$E$29,"&gt;0")</f>
        <v>13521.739130434782</v>
      </c>
      <c r="O15" s="50">
        <f t="shared" si="2"/>
        <v>10</v>
      </c>
      <c r="P15" s="47">
        <f t="shared" si="3"/>
        <v>232.5</v>
      </c>
      <c r="Q15" s="49">
        <f t="shared" si="4"/>
        <v>253</v>
      </c>
      <c r="R15" s="51">
        <f t="shared" si="5"/>
        <v>232.5</v>
      </c>
      <c r="S15" s="46">
        <f t="shared" si="6"/>
        <v>127875</v>
      </c>
      <c r="T15" t="str">
        <f t="shared" si="7"/>
        <v xml:space="preserve">2 Descuentos (Usuarios desubicados) </v>
      </c>
      <c r="U15">
        <f>+RANK(H15,$H$6:$H$1048576,1)</f>
        <v>15</v>
      </c>
      <c r="Y15" t="str">
        <f>TRIM(Tabla2[[#This Row],[CONDUCTOR]])</f>
        <v>ALBERTO ARISTIZABAL RAFAEL</v>
      </c>
    </row>
    <row r="16" spans="1:32" x14ac:dyDescent="0.2">
      <c r="B16" s="136" t="s">
        <v>164</v>
      </c>
      <c r="C16" s="166">
        <v>19</v>
      </c>
      <c r="D16" s="151" t="s">
        <v>166</v>
      </c>
      <c r="E16" s="150">
        <v>8</v>
      </c>
      <c r="F16" s="150">
        <v>0</v>
      </c>
      <c r="G16" s="146">
        <v>172</v>
      </c>
      <c r="H16" s="226">
        <f t="shared" si="0"/>
        <v>21.5</v>
      </c>
      <c r="I16" s="364">
        <f>+(SUM($G$7:$G$1048576)/SUM($E$7:$E$1048576))*E16</f>
        <v>194</v>
      </c>
      <c r="J16" s="363">
        <f>+Tabla2[[#This Row],[PROM DE USUARIOS]]-Tabla2[[#This Row],[USUARIOS]]</f>
        <v>22</v>
      </c>
      <c r="K16" s="151" t="s">
        <v>173</v>
      </c>
      <c r="L16" s="163">
        <f t="shared" si="1"/>
        <v>108810</v>
      </c>
      <c r="M16" s="162" t="str">
        <f>+VLOOKUP(C16,Lista!B:D,3,0)</f>
        <v>MICRO</v>
      </c>
      <c r="N16" s="366">
        <f>+(SUMIFS(G:G,M:M,"MICRO",E:E,"&gt;0")*100)/COUNTIF($E$7:$E$29,"&gt;0")</f>
        <v>13521.739130434782</v>
      </c>
      <c r="O16" s="50">
        <f t="shared" si="2"/>
        <v>8</v>
      </c>
      <c r="P16" s="47">
        <f t="shared" si="3"/>
        <v>186</v>
      </c>
      <c r="Q16" s="49">
        <f t="shared" si="4"/>
        <v>164</v>
      </c>
      <c r="R16" s="51">
        <f t="shared" si="5"/>
        <v>186</v>
      </c>
      <c r="S16" s="46">
        <f t="shared" si="6"/>
        <v>102300</v>
      </c>
      <c r="T16" t="str">
        <f t="shared" si="7"/>
        <v xml:space="preserve">1 Descuento (Despachador) </v>
      </c>
      <c r="U16">
        <f>+RANK(H16,$H$6:$H$1048576,1)</f>
        <v>6</v>
      </c>
      <c r="Y16" t="str">
        <f>TRIM(Tabla2[[#This Row],[CONDUCTOR]])</f>
        <v>MACEA ARBELAEZ MATEO</v>
      </c>
    </row>
    <row r="17" spans="2:25" x14ac:dyDescent="0.2">
      <c r="B17" s="136" t="s">
        <v>164</v>
      </c>
      <c r="C17" s="166">
        <v>22</v>
      </c>
      <c r="D17" s="151" t="s">
        <v>163</v>
      </c>
      <c r="E17" s="150">
        <v>10</v>
      </c>
      <c r="F17" s="150">
        <v>0</v>
      </c>
      <c r="G17" s="165">
        <v>234</v>
      </c>
      <c r="H17" s="226">
        <f t="shared" si="0"/>
        <v>23.4</v>
      </c>
      <c r="I17" s="227">
        <f>+(SUM($G$7:$G$1048576)/SUM($E$7:$E$1048576))*E17</f>
        <v>242.5</v>
      </c>
      <c r="J17" s="363">
        <f>+Tabla2[[#This Row],[PROM DE USUARIOS]]-Tabla2[[#This Row],[USUARIOS]]</f>
        <v>8.5</v>
      </c>
      <c r="K17" s="151"/>
      <c r="L17" s="163">
        <f t="shared" si="1"/>
        <v>136012.5</v>
      </c>
      <c r="M17" s="162">
        <f>+VLOOKUP(C17,Lista!B:D,3,0)</f>
        <v>0</v>
      </c>
      <c r="N17" s="366">
        <f>+(SUMIFS(G:G,M:M,"MICRO",E:E,"&gt;0")*100)/COUNTIF($E$7:$E$29,"&gt;0")</f>
        <v>13521.739130434782</v>
      </c>
      <c r="O17" s="50">
        <f t="shared" si="2"/>
        <v>10</v>
      </c>
      <c r="P17" s="47">
        <f t="shared" si="3"/>
        <v>232.5</v>
      </c>
      <c r="Q17" s="49">
        <f t="shared" si="4"/>
        <v>224</v>
      </c>
      <c r="R17" s="51">
        <f t="shared" si="5"/>
        <v>232.5</v>
      </c>
      <c r="S17" s="46">
        <f t="shared" si="6"/>
        <v>127875</v>
      </c>
      <c r="T17" t="str">
        <f t="shared" si="7"/>
        <v/>
      </c>
      <c r="U17">
        <f>+RANK(H17,$H$6:$H$1048576,1)</f>
        <v>10</v>
      </c>
      <c r="Y17" t="str">
        <f>TRIM(Tabla2[[#This Row],[CONDUCTOR]])</f>
        <v>VALENCIA MENDOZA JHON</v>
      </c>
    </row>
    <row r="18" spans="2:25" x14ac:dyDescent="0.2">
      <c r="B18" s="136" t="s">
        <v>164</v>
      </c>
      <c r="C18" s="166">
        <v>24</v>
      </c>
      <c r="D18" s="151" t="s">
        <v>150</v>
      </c>
      <c r="E18" s="150">
        <v>8</v>
      </c>
      <c r="F18" s="150">
        <v>0</v>
      </c>
      <c r="G18" s="165">
        <v>215</v>
      </c>
      <c r="H18" s="226">
        <f t="shared" si="0"/>
        <v>26.875</v>
      </c>
      <c r="I18" s="227">
        <f>+(SUM($G$7:$G$1048576)/SUM($E$7:$E$1048576))*E18</f>
        <v>194</v>
      </c>
      <c r="J18" s="363">
        <f>+Tabla2[[#This Row],[PROM DE USUARIOS]]-Tabla2[[#This Row],[USUARIOS]]</f>
        <v>-21</v>
      </c>
      <c r="K18" s="151"/>
      <c r="L18" s="163">
        <f t="shared" si="1"/>
        <v>108810</v>
      </c>
      <c r="M18" s="162" t="str">
        <f>+VLOOKUP(C18,Lista!B:D,3,0)</f>
        <v>MICRO</v>
      </c>
      <c r="N18" s="366">
        <f>+(SUMIFS(G:G,M:M,"MICRO",E:E,"&gt;0")*100)/COUNTIF($E$7:$E$29,"&gt;0")</f>
        <v>13521.739130434782</v>
      </c>
      <c r="O18" s="50">
        <f t="shared" si="2"/>
        <v>8</v>
      </c>
      <c r="P18" s="47">
        <f t="shared" si="3"/>
        <v>186</v>
      </c>
      <c r="Q18" s="49">
        <f t="shared" si="4"/>
        <v>207</v>
      </c>
      <c r="R18" s="51">
        <f t="shared" si="5"/>
        <v>186</v>
      </c>
      <c r="S18" s="46">
        <f t="shared" si="6"/>
        <v>102300</v>
      </c>
      <c r="T18" t="str">
        <f t="shared" si="7"/>
        <v/>
      </c>
      <c r="U18">
        <f>+RANK(H18,$H$6:$H$1048576,1)</f>
        <v>18</v>
      </c>
      <c r="Y18" t="str">
        <f>TRIM(Tabla2[[#This Row],[CONDUCTOR]])</f>
        <v>JIMENEZ HERNANDEZ ESTEBAN CAMILO</v>
      </c>
    </row>
    <row r="19" spans="2:25" x14ac:dyDescent="0.2">
      <c r="B19" s="136" t="s">
        <v>164</v>
      </c>
      <c r="C19" s="137">
        <v>26</v>
      </c>
      <c r="D19" s="151" t="s">
        <v>169</v>
      </c>
      <c r="E19" s="150">
        <v>10</v>
      </c>
      <c r="F19" s="150">
        <v>0</v>
      </c>
      <c r="G19" s="146">
        <v>205</v>
      </c>
      <c r="H19" s="226">
        <f t="shared" si="0"/>
        <v>20.5</v>
      </c>
      <c r="I19" s="227">
        <f>+(SUM($G$7:$G$1048576)/SUM($E$7:$E$1048576))*E19</f>
        <v>242.5</v>
      </c>
      <c r="J19" s="363">
        <f>+Tabla2[[#This Row],[PROM DE USUARIOS]]-Tabla2[[#This Row],[USUARIOS]]</f>
        <v>37.5</v>
      </c>
      <c r="K19" s="151" t="s">
        <v>174</v>
      </c>
      <c r="L19" s="163">
        <f t="shared" si="1"/>
        <v>136012.5</v>
      </c>
      <c r="M19" s="162" t="str">
        <f>+VLOOKUP(C19,Lista!B:D,3,0)</f>
        <v>MICRO</v>
      </c>
      <c r="N19" s="366">
        <f>+(SUMIFS(G:G,M:M,"MICRO",E:E,"&gt;0")*100)/COUNTIF($E$7:$E$29,"&gt;0")</f>
        <v>13521.739130434782</v>
      </c>
      <c r="O19" s="50">
        <f t="shared" si="2"/>
        <v>10</v>
      </c>
      <c r="P19" s="47">
        <f t="shared" si="3"/>
        <v>232.5</v>
      </c>
      <c r="Q19" s="49">
        <f t="shared" si="4"/>
        <v>195</v>
      </c>
      <c r="R19" s="51">
        <f t="shared" si="5"/>
        <v>232.5</v>
      </c>
      <c r="S19" s="46">
        <f t="shared" si="6"/>
        <v>127875</v>
      </c>
      <c r="T19" t="str">
        <f t="shared" si="7"/>
        <v xml:space="preserve">2 Descuentos (conducts) </v>
      </c>
      <c r="U19">
        <f>+RANK(H19,$H$6:$H$1048576,1)</f>
        <v>4</v>
      </c>
      <c r="Y19" t="str">
        <f>TRIM(Tabla2[[#This Row],[CONDUCTOR]])</f>
        <v>CIRO MARIN RODRIGO ALBERTO</v>
      </c>
    </row>
    <row r="20" spans="2:25" x14ac:dyDescent="0.2">
      <c r="B20" s="136" t="s">
        <v>164</v>
      </c>
      <c r="C20" s="137">
        <v>27</v>
      </c>
      <c r="D20" s="151" t="s">
        <v>170</v>
      </c>
      <c r="E20" s="150">
        <v>13</v>
      </c>
      <c r="F20" s="150">
        <v>0</v>
      </c>
      <c r="G20" s="146">
        <v>288</v>
      </c>
      <c r="H20" s="226">
        <f t="shared" si="0"/>
        <v>22.153846153846153</v>
      </c>
      <c r="I20" s="227">
        <f>+(SUM($G$7:$G$1048576)/SUM($E$7:$E$1048576))*E20</f>
        <v>315.25</v>
      </c>
      <c r="J20" s="363">
        <f>+Tabla2[[#This Row],[PROM DE USUARIOS]]-Tabla2[[#This Row],[USUARIOS]]</f>
        <v>27.25</v>
      </c>
      <c r="K20" s="151"/>
      <c r="L20" s="163">
        <f t="shared" si="1"/>
        <v>176816.25</v>
      </c>
      <c r="M20" s="162">
        <f>+VLOOKUP(C20,Lista!B:D,3,0)</f>
        <v>0</v>
      </c>
      <c r="N20" s="366">
        <f>+(SUMIFS(G:G,M:M,"MICRO",E:E,"&gt;0")*100)/COUNTIF($E$7:$E$29,"&gt;0")</f>
        <v>13521.739130434782</v>
      </c>
      <c r="O20" s="50">
        <f t="shared" si="2"/>
        <v>13</v>
      </c>
      <c r="P20" s="47">
        <f t="shared" si="3"/>
        <v>302.25</v>
      </c>
      <c r="Q20" s="49">
        <f t="shared" si="4"/>
        <v>275</v>
      </c>
      <c r="R20" s="51">
        <f t="shared" si="5"/>
        <v>302.25</v>
      </c>
      <c r="S20" s="46">
        <f t="shared" si="6"/>
        <v>166237.5</v>
      </c>
      <c r="T20" t="str">
        <f t="shared" si="7"/>
        <v/>
      </c>
      <c r="U20">
        <f>+RANK(H20,$H$6:$H$1048576,1)</f>
        <v>8</v>
      </c>
      <c r="Y20" t="str">
        <f>TRIM(Tabla2[[#This Row],[CONDUCTOR]])</f>
        <v>FLORES RINCON JORGE ALBERTO</v>
      </c>
    </row>
    <row r="21" spans="2:25" x14ac:dyDescent="0.2">
      <c r="B21" s="136" t="s">
        <v>164</v>
      </c>
      <c r="C21" s="166">
        <v>30</v>
      </c>
      <c r="D21" s="151" t="s">
        <v>148</v>
      </c>
      <c r="E21" s="150">
        <v>9</v>
      </c>
      <c r="F21" s="150">
        <v>0</v>
      </c>
      <c r="G21" s="146">
        <v>241</v>
      </c>
      <c r="H21" s="226">
        <f t="shared" si="0"/>
        <v>26.777777777777779</v>
      </c>
      <c r="I21" s="364">
        <f>+(SUM($G$7:$G$1048576)/SUM($E$7:$E$1048576))*E21</f>
        <v>218.25</v>
      </c>
      <c r="J21" s="363">
        <f>+Tabla2[[#This Row],[PROM DE USUARIOS]]-Tabla2[[#This Row],[USUARIOS]]</f>
        <v>-22.75</v>
      </c>
      <c r="K21" s="151" t="s">
        <v>175</v>
      </c>
      <c r="L21" s="163">
        <f t="shared" si="1"/>
        <v>122411.25</v>
      </c>
      <c r="M21" s="162">
        <f>+VLOOKUP(C21,Lista!B:D,3,0)</f>
        <v>0</v>
      </c>
      <c r="N21" s="366">
        <f>+(SUMIFS(G:G,M:M,"MICRO",E:E,"&gt;0")*100)/COUNTIF($E$7:$E$29,"&gt;0")</f>
        <v>13521.739130434782</v>
      </c>
      <c r="O21" s="50">
        <f t="shared" si="2"/>
        <v>9</v>
      </c>
      <c r="P21" s="47">
        <f t="shared" si="3"/>
        <v>209.25</v>
      </c>
      <c r="Q21" s="49">
        <f t="shared" si="4"/>
        <v>232</v>
      </c>
      <c r="R21" s="51">
        <f t="shared" si="5"/>
        <v>209.25</v>
      </c>
      <c r="S21" s="46">
        <f t="shared" si="6"/>
        <v>115087.5</v>
      </c>
      <c r="T21" t="str">
        <f t="shared" si="7"/>
        <v xml:space="preserve">2 Descuentos (Despachador y conduct) </v>
      </c>
      <c r="U21">
        <f>+RANK(H21,$H$6:$H$1048576,1)</f>
        <v>17</v>
      </c>
      <c r="Y21" t="str">
        <f>TRIM(Tabla2[[#This Row],[CONDUCTOR]])</f>
        <v>AGUDELO GARCIA LLORDIN ELIAS</v>
      </c>
    </row>
    <row r="22" spans="2:25" x14ac:dyDescent="0.2">
      <c r="B22" s="136" t="s">
        <v>164</v>
      </c>
      <c r="C22" s="166">
        <v>31</v>
      </c>
      <c r="D22" s="151" t="s">
        <v>157</v>
      </c>
      <c r="E22" s="150">
        <v>9</v>
      </c>
      <c r="F22" s="150">
        <v>0</v>
      </c>
      <c r="G22" s="165">
        <v>239</v>
      </c>
      <c r="H22" s="226">
        <f t="shared" si="0"/>
        <v>26.555555555555557</v>
      </c>
      <c r="I22" s="227">
        <f>+(SUM($G$7:$G$1048576)/SUM($E$7:$E$1048576))*E22</f>
        <v>218.25</v>
      </c>
      <c r="J22" s="363">
        <f>+Tabla2[[#This Row],[PROM DE USUARIOS]]-Tabla2[[#This Row],[USUARIOS]]</f>
        <v>-20.75</v>
      </c>
      <c r="K22" s="151"/>
      <c r="L22" s="163">
        <f t="shared" si="1"/>
        <v>122411.25</v>
      </c>
      <c r="M22" s="162" t="str">
        <f>+VLOOKUP(C22,Lista!B:D,3,0)</f>
        <v>MICRO</v>
      </c>
      <c r="N22" s="366">
        <f>+(SUMIFS(G:G,M:M,"MICRO",E:E,"&gt;0")*100)/COUNTIF($E$7:$E$29,"&gt;0")</f>
        <v>13521.739130434782</v>
      </c>
      <c r="O22" s="50">
        <f t="shared" si="2"/>
        <v>9</v>
      </c>
      <c r="P22" s="47">
        <f t="shared" si="3"/>
        <v>209.25</v>
      </c>
      <c r="Q22" s="49">
        <f t="shared" si="4"/>
        <v>230</v>
      </c>
      <c r="R22" s="51">
        <f t="shared" si="5"/>
        <v>209.25</v>
      </c>
      <c r="S22" s="46">
        <f t="shared" si="6"/>
        <v>115087.5</v>
      </c>
      <c r="T22" t="str">
        <f t="shared" si="7"/>
        <v/>
      </c>
      <c r="U22">
        <f>+RANK(H22,$H$6:$H$1048576,1)</f>
        <v>16</v>
      </c>
      <c r="Y22" t="str">
        <f>TRIM(Tabla2[[#This Row],[CONDUCTOR]])</f>
        <v>FRANCO CARVAJAL GERARDO ANTONIO</v>
      </c>
    </row>
    <row r="23" spans="2:25" x14ac:dyDescent="0.2">
      <c r="B23" s="136" t="s">
        <v>164</v>
      </c>
      <c r="C23" s="166">
        <v>32</v>
      </c>
      <c r="D23" s="151" t="s">
        <v>153</v>
      </c>
      <c r="E23" s="150">
        <v>6</v>
      </c>
      <c r="F23" s="150">
        <v>0</v>
      </c>
      <c r="G23" s="146">
        <v>117</v>
      </c>
      <c r="H23" s="226">
        <f t="shared" si="0"/>
        <v>19.5</v>
      </c>
      <c r="I23" s="364">
        <f>+(SUM($G$7:$G$1048576)/SUM($E$7:$E$1048576))*E23</f>
        <v>145.5</v>
      </c>
      <c r="J23" s="363">
        <f>+Tabla2[[#This Row],[PROM DE USUARIOS]]-Tabla2[[#This Row],[USUARIOS]]</f>
        <v>28.5</v>
      </c>
      <c r="K23" s="151"/>
      <c r="L23" s="163">
        <f t="shared" si="1"/>
        <v>81607.5</v>
      </c>
      <c r="M23" s="162" t="str">
        <f>+VLOOKUP(C23,Lista!B:D,3,0)</f>
        <v>MICRO</v>
      </c>
      <c r="N23" s="366">
        <f>+(SUMIFS(G:G,M:M,"MICRO",E:E,"&gt;0")*100)/COUNTIF($E$7:$E$29,"&gt;0")</f>
        <v>13521.739130434782</v>
      </c>
      <c r="O23" s="50">
        <f t="shared" si="2"/>
        <v>6</v>
      </c>
      <c r="P23" s="47">
        <f t="shared" si="3"/>
        <v>139.5</v>
      </c>
      <c r="Q23" s="49">
        <f t="shared" si="4"/>
        <v>111</v>
      </c>
      <c r="R23" s="51">
        <f t="shared" si="5"/>
        <v>139.5</v>
      </c>
      <c r="S23" s="46">
        <f t="shared" si="6"/>
        <v>76725</v>
      </c>
      <c r="T23" t="str">
        <f t="shared" si="7"/>
        <v/>
      </c>
      <c r="U23">
        <f>+RANK(H23,$H$6:$H$1048576,1)</f>
        <v>3</v>
      </c>
      <c r="Y23" t="str">
        <f>TRIM(Tabla2[[#This Row],[CONDUCTOR]])</f>
        <v>LAYOS JIMENEZ JOHAN CAMILO</v>
      </c>
    </row>
    <row r="24" spans="2:25" x14ac:dyDescent="0.2">
      <c r="B24" s="136" t="s">
        <v>164</v>
      </c>
      <c r="C24" s="137">
        <v>34</v>
      </c>
      <c r="D24" s="151" t="s">
        <v>156</v>
      </c>
      <c r="E24" s="150">
        <v>9</v>
      </c>
      <c r="F24" s="150">
        <v>0</v>
      </c>
      <c r="G24" s="165">
        <v>249</v>
      </c>
      <c r="H24" s="226">
        <f t="shared" si="0"/>
        <v>27.666666666666668</v>
      </c>
      <c r="I24" s="227">
        <f>+(SUM($G$7:$G$1048576)/SUM($E$7:$E$1048576))*E24</f>
        <v>218.25</v>
      </c>
      <c r="J24" s="363">
        <f>+Tabla2[[#This Row],[PROM DE USUARIOS]]-Tabla2[[#This Row],[USUARIOS]]</f>
        <v>-30.75</v>
      </c>
      <c r="K24" s="151"/>
      <c r="L24" s="163">
        <f t="shared" si="1"/>
        <v>122411.25</v>
      </c>
      <c r="M24" s="162" t="str">
        <f>+VLOOKUP(C24,Lista!B:D,3,0)</f>
        <v>MICRO</v>
      </c>
      <c r="N24" s="366">
        <f>+(SUMIFS(G:G,M:M,"MICRO",E:E,"&gt;0")*100)/COUNTIF($E$7:$E$29,"&gt;0")</f>
        <v>13521.739130434782</v>
      </c>
      <c r="O24" s="50">
        <f t="shared" si="2"/>
        <v>9</v>
      </c>
      <c r="P24" s="47">
        <f t="shared" si="3"/>
        <v>209.25</v>
      </c>
      <c r="Q24" s="49">
        <f t="shared" si="4"/>
        <v>240</v>
      </c>
      <c r="R24" s="51">
        <f t="shared" si="5"/>
        <v>209.25</v>
      </c>
      <c r="S24" s="46">
        <f t="shared" si="6"/>
        <v>115087.5</v>
      </c>
      <c r="T24" t="str">
        <f t="shared" si="7"/>
        <v/>
      </c>
      <c r="U24">
        <f>+RANK(H24,$H$6:$H$1048576,1)</f>
        <v>22</v>
      </c>
      <c r="Y24" t="str">
        <f>TRIM(Tabla2[[#This Row],[CONDUCTOR]])</f>
        <v>MONTOYA OSPINA GILBERTO ANTONIO</v>
      </c>
    </row>
    <row r="25" spans="2:25" x14ac:dyDescent="0.2">
      <c r="B25" s="136" t="s">
        <v>164</v>
      </c>
      <c r="C25" s="166">
        <v>36</v>
      </c>
      <c r="D25" s="151" t="s">
        <v>165</v>
      </c>
      <c r="E25" s="150">
        <v>10</v>
      </c>
      <c r="F25" s="150">
        <v>0</v>
      </c>
      <c r="G25" s="165">
        <v>275</v>
      </c>
      <c r="H25" s="226">
        <f t="shared" si="0"/>
        <v>27.5</v>
      </c>
      <c r="I25" s="227">
        <f>+(SUM($G$7:$G$1048576)/SUM($E$7:$E$1048576))*E25</f>
        <v>242.5</v>
      </c>
      <c r="J25" s="363">
        <f>+Tabla2[[#This Row],[PROM DE USUARIOS]]-Tabla2[[#This Row],[USUARIOS]]</f>
        <v>-32.5</v>
      </c>
      <c r="K25" s="151"/>
      <c r="L25" s="163">
        <f t="shared" si="1"/>
        <v>136012.5</v>
      </c>
      <c r="M25" s="162" t="str">
        <f>+VLOOKUP(C25,Lista!B:D,3,0)</f>
        <v>MICRO</v>
      </c>
      <c r="N25" s="366">
        <f>+(SUMIFS(G:G,M:M,"MICRO",E:E,"&gt;0")*100)/COUNTIF($E$7:$E$29,"&gt;0")</f>
        <v>13521.739130434782</v>
      </c>
      <c r="O25" s="50">
        <f t="shared" si="2"/>
        <v>10</v>
      </c>
      <c r="P25" s="47">
        <f t="shared" si="3"/>
        <v>232.5</v>
      </c>
      <c r="Q25" s="49">
        <f t="shared" si="4"/>
        <v>265</v>
      </c>
      <c r="R25" s="51">
        <f t="shared" si="5"/>
        <v>232.5</v>
      </c>
      <c r="S25" s="46">
        <f t="shared" si="6"/>
        <v>127875</v>
      </c>
      <c r="T25" t="str">
        <f t="shared" si="7"/>
        <v/>
      </c>
      <c r="U25">
        <f>+RANK(H25,$H$6:$H$1048576,1)</f>
        <v>21</v>
      </c>
      <c r="Y25" t="str">
        <f>TRIM(Tabla2[[#This Row],[CONDUCTOR]])</f>
        <v>MARTINEZ CHAVERRA LUIS NORBERTO</v>
      </c>
    </row>
    <row r="26" spans="2:25" x14ac:dyDescent="0.2">
      <c r="B26" s="136" t="s">
        <v>164</v>
      </c>
      <c r="C26" s="166">
        <v>37</v>
      </c>
      <c r="D26" s="151" t="s">
        <v>151</v>
      </c>
      <c r="E26" s="150">
        <v>10</v>
      </c>
      <c r="F26" s="150">
        <v>0</v>
      </c>
      <c r="G26" s="165">
        <v>242</v>
      </c>
      <c r="H26" s="226">
        <f t="shared" si="0"/>
        <v>24.2</v>
      </c>
      <c r="I26" s="227">
        <f>+(SUM($G$7:$G$1048576)/SUM($E$7:$E$1048576))*E26</f>
        <v>242.5</v>
      </c>
      <c r="J26" s="363">
        <f>+Tabla2[[#This Row],[PROM DE USUARIOS]]-Tabla2[[#This Row],[USUARIOS]]</f>
        <v>0.5</v>
      </c>
      <c r="K26" s="151"/>
      <c r="L26" s="163">
        <f t="shared" si="1"/>
        <v>136012.5</v>
      </c>
      <c r="M26" s="162">
        <f>+VLOOKUP(C26,Lista!B:D,3,0)</f>
        <v>0</v>
      </c>
      <c r="N26" s="366">
        <f>+(SUMIFS(G:G,M:M,"MICRO",E:E,"&gt;0")*100)/COUNTIF($E$7:$E$29,"&gt;0")</f>
        <v>13521.739130434782</v>
      </c>
      <c r="O26" s="50">
        <f t="shared" si="2"/>
        <v>10</v>
      </c>
      <c r="P26" s="47">
        <f t="shared" si="3"/>
        <v>232.5</v>
      </c>
      <c r="Q26" s="49">
        <f t="shared" si="4"/>
        <v>232</v>
      </c>
      <c r="R26" s="51">
        <f t="shared" si="5"/>
        <v>232.5</v>
      </c>
      <c r="S26" s="46">
        <f t="shared" si="6"/>
        <v>127875</v>
      </c>
      <c r="T26" t="str">
        <f t="shared" si="7"/>
        <v/>
      </c>
      <c r="U26">
        <f>+RANK(H26,$H$6:$H$1048576,1)</f>
        <v>12</v>
      </c>
      <c r="Y26" t="str">
        <f>TRIM(Tabla2[[#This Row],[CONDUCTOR]])</f>
        <v>GUTIERREZ ARICAPA DANIEL HUMBERTO</v>
      </c>
    </row>
    <row r="27" spans="2:25" x14ac:dyDescent="0.2">
      <c r="B27" s="136" t="s">
        <v>164</v>
      </c>
      <c r="C27" s="166">
        <v>39</v>
      </c>
      <c r="D27" s="151" t="s">
        <v>159</v>
      </c>
      <c r="E27" s="150">
        <v>9</v>
      </c>
      <c r="F27" s="150">
        <v>0</v>
      </c>
      <c r="G27" s="165">
        <v>212</v>
      </c>
      <c r="H27" s="226">
        <f t="shared" si="0"/>
        <v>23.555555555555557</v>
      </c>
      <c r="I27" s="227">
        <f>+(SUM($G$7:$G$1048576)/SUM($E$7:$E$1048576))*E27</f>
        <v>218.25</v>
      </c>
      <c r="J27" s="363">
        <f>+Tabla2[[#This Row],[PROM DE USUARIOS]]-Tabla2[[#This Row],[USUARIOS]]</f>
        <v>6.25</v>
      </c>
      <c r="K27" s="151"/>
      <c r="L27" s="163">
        <f t="shared" si="1"/>
        <v>122411.25</v>
      </c>
      <c r="M27" s="162" t="str">
        <f>+VLOOKUP(C27,Lista!B:D,3,0)</f>
        <v>MICRO</v>
      </c>
      <c r="N27" s="366">
        <f>+(SUMIFS(G:G,M:M,"MICRO",E:E,"&gt;0")*100)/COUNTIF($E$7:$E$29,"&gt;0")</f>
        <v>13521.739130434782</v>
      </c>
      <c r="O27" s="50">
        <f t="shared" si="2"/>
        <v>9</v>
      </c>
      <c r="P27" s="47">
        <f t="shared" si="3"/>
        <v>209.25</v>
      </c>
      <c r="Q27" s="49">
        <f t="shared" si="4"/>
        <v>203</v>
      </c>
      <c r="R27" s="51">
        <f t="shared" si="5"/>
        <v>209.25</v>
      </c>
      <c r="S27" s="46">
        <f t="shared" si="6"/>
        <v>115087.5</v>
      </c>
      <c r="T27" t="str">
        <f t="shared" si="7"/>
        <v/>
      </c>
      <c r="U27">
        <f>+RANK(H27,$H$6:$H$1048576,1)</f>
        <v>11</v>
      </c>
      <c r="Y27" t="str">
        <f>TRIM(Tabla2[[#This Row],[CONDUCTOR]])</f>
        <v>PALMAR PANA EDIXON JOSUE</v>
      </c>
    </row>
    <row r="28" spans="2:25" x14ac:dyDescent="0.2">
      <c r="B28" s="136" t="s">
        <v>164</v>
      </c>
      <c r="C28" s="166">
        <v>40</v>
      </c>
      <c r="D28" s="151" t="s">
        <v>171</v>
      </c>
      <c r="E28" s="150">
        <v>9</v>
      </c>
      <c r="F28" s="150">
        <v>0</v>
      </c>
      <c r="G28" s="165">
        <v>242</v>
      </c>
      <c r="H28" s="226">
        <f t="shared" si="0"/>
        <v>26.888888888888889</v>
      </c>
      <c r="I28" s="227">
        <f>+(SUM($G$7:$G$1048576)/SUM($E$7:$E$1048576))*E28</f>
        <v>218.25</v>
      </c>
      <c r="J28" s="363">
        <f>+Tabla2[[#This Row],[PROM DE USUARIOS]]-Tabla2[[#This Row],[USUARIOS]]</f>
        <v>-23.75</v>
      </c>
      <c r="K28" s="151"/>
      <c r="L28" s="163">
        <f t="shared" si="1"/>
        <v>122411.25</v>
      </c>
      <c r="M28" s="162" t="str">
        <f>+VLOOKUP(C28,Lista!B:D,3,0)</f>
        <v>MICRO</v>
      </c>
      <c r="N28" s="366">
        <f>+(SUMIFS(G:G,M:M,"MICRO",E:E,"&gt;0")*100)/COUNTIF($E$7:$E$29,"&gt;0")</f>
        <v>13521.739130434782</v>
      </c>
      <c r="O28" s="50">
        <f t="shared" si="2"/>
        <v>9</v>
      </c>
      <c r="P28" s="47">
        <f t="shared" si="3"/>
        <v>209.25</v>
      </c>
      <c r="Q28" s="49">
        <f t="shared" si="4"/>
        <v>233</v>
      </c>
      <c r="R28" s="51">
        <f t="shared" si="5"/>
        <v>209.25</v>
      </c>
      <c r="S28" s="46">
        <f t="shared" si="6"/>
        <v>115087.5</v>
      </c>
      <c r="T28" t="str">
        <f t="shared" si="7"/>
        <v/>
      </c>
      <c r="U28">
        <f>+RANK(H28,$H$6:$H$1048576,1)</f>
        <v>19</v>
      </c>
      <c r="Y28" t="str">
        <f>TRIM(Tabla2[[#This Row],[CONDUCTOR]])</f>
        <v>OCAMPO OCAMPO ANTONIO JOSE</v>
      </c>
    </row>
    <row r="29" spans="2:25" x14ac:dyDescent="0.2">
      <c r="B29" s="136" t="s">
        <v>164</v>
      </c>
      <c r="C29" s="166">
        <v>42</v>
      </c>
      <c r="D29" s="151" t="s">
        <v>154</v>
      </c>
      <c r="E29" s="150">
        <v>7</v>
      </c>
      <c r="F29" s="150">
        <v>0</v>
      </c>
      <c r="G29" s="146">
        <v>154</v>
      </c>
      <c r="H29" s="226">
        <f t="shared" si="0"/>
        <v>22</v>
      </c>
      <c r="I29" s="364">
        <f>+(SUM($G$7:$G$1048576)/SUM($E$7:$E$1048576))*E29</f>
        <v>169.75</v>
      </c>
      <c r="J29" s="363">
        <f>+Tabla2[[#This Row],[PROM DE USUARIOS]]-Tabla2[[#This Row],[USUARIOS]]</f>
        <v>15.75</v>
      </c>
      <c r="K29" s="151"/>
      <c r="L29" s="163">
        <f t="shared" si="1"/>
        <v>95208.75</v>
      </c>
      <c r="M29" s="162">
        <f>+VLOOKUP(C29,Lista!B:D,3,0)</f>
        <v>0</v>
      </c>
      <c r="N29" s="366">
        <f>+(SUMIFS(G:G,M:M,"MICRO",E:E,"&gt;0")*100)/COUNTIF($E$7:$E$29,"&gt;0")</f>
        <v>13521.739130434782</v>
      </c>
      <c r="O29" s="50">
        <f t="shared" si="2"/>
        <v>7</v>
      </c>
      <c r="P29" s="47">
        <f t="shared" si="3"/>
        <v>162.75</v>
      </c>
      <c r="Q29" s="49">
        <f t="shared" si="4"/>
        <v>147</v>
      </c>
      <c r="R29" s="51">
        <f t="shared" si="5"/>
        <v>162.75</v>
      </c>
      <c r="S29" s="46">
        <f t="shared" si="6"/>
        <v>89512.5</v>
      </c>
      <c r="T29" t="str">
        <f t="shared" si="7"/>
        <v/>
      </c>
      <c r="U29">
        <f>+RANK(H29,$H$6:$H$1048576,1)</f>
        <v>7</v>
      </c>
      <c r="Y29" t="str">
        <f>TRIM(Tabla2[[#This Row],[CONDUCTOR]])</f>
        <v>AGUDELO GARCIA DENIN ANGELO</v>
      </c>
    </row>
    <row r="30" spans="2:25" s="2" customFormat="1" x14ac:dyDescent="0.2">
      <c r="B30" s="232"/>
      <c r="C30" s="239">
        <f>SUBTOTAL(102,Tabla2[VEH])</f>
        <v>23</v>
      </c>
      <c r="D30" s="233" t="s">
        <v>127</v>
      </c>
      <c r="E30" s="234">
        <f>SUBTOTAL(109,Tabla2[VIAJES])</f>
        <v>200</v>
      </c>
      <c r="F30" s="234">
        <f>SUBTOTAL(109,Tabla2[VIAJES PERD.])</f>
        <v>0</v>
      </c>
      <c r="G30" s="240">
        <f>SUBTOTAL(109,Tabla2[USUARIOS])</f>
        <v>4850</v>
      </c>
      <c r="H30" s="374">
        <f>+Tabla2[[#Totals],[USUARIOS]]/Tabla2[[#Totals],[VIAJES]]</f>
        <v>24.25</v>
      </c>
      <c r="I30" s="240">
        <f>SUBTOTAL(109,Tabla2[PROM DE USUARIOS])</f>
        <v>4850</v>
      </c>
      <c r="J30" s="373">
        <f>SUBTOTAL(109,Tabla2[RECIBE / ENTREGA])</f>
        <v>0</v>
      </c>
      <c r="K30" s="235" t="s">
        <v>176</v>
      </c>
      <c r="L30" s="236"/>
      <c r="M30" s="237"/>
      <c r="N30" s="238">
        <f>SUBTOTAL(109,Tabla2[DIFER. MICRO - BUS ])</f>
        <v>310999.99999999988</v>
      </c>
      <c r="O30" s="50" t="e">
        <f>+(#REF!*1)-V30</f>
        <v>#REF!</v>
      </c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ref="S30:S39" si="8">+R30*550</f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5" x14ac:dyDescent="0.2">
      <c r="B31" s="245"/>
      <c r="C31" s="246"/>
      <c r="D31" s="247"/>
      <c r="E31" s="248"/>
      <c r="F31" s="248"/>
      <c r="G31" s="249"/>
      <c r="H31" s="250"/>
      <c r="I31" s="251"/>
      <c r="J31" s="341"/>
      <c r="K31" s="247"/>
      <c r="L31" s="252"/>
      <c r="M31" s="253"/>
      <c r="N31" s="203"/>
      <c r="O31" s="50" t="e">
        <f>+(#REF!*1)-V31</f>
        <v>#REF!</v>
      </c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8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5" x14ac:dyDescent="0.2">
      <c r="B32" s="245"/>
      <c r="C32" s="246"/>
      <c r="D32" s="247"/>
      <c r="E32" s="248"/>
      <c r="F32" s="248"/>
      <c r="G32" s="249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8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2">
      <c r="B33" s="245"/>
      <c r="C33" s="246"/>
      <c r="D33" s="247"/>
      <c r="E33" s="248"/>
      <c r="F33" s="248"/>
      <c r="G33" s="249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8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2">
      <c r="B34" s="245"/>
      <c r="C34" s="246"/>
      <c r="D34" s="247"/>
      <c r="E34" s="248"/>
      <c r="F34" s="248"/>
      <c r="G34" s="254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8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2">
      <c r="B35" s="245"/>
      <c r="C35" s="246"/>
      <c r="D35" s="247"/>
      <c r="E35" s="248"/>
      <c r="F35" s="248"/>
      <c r="G35" s="254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8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2">
      <c r="B36" s="245"/>
      <c r="C36" s="255"/>
      <c r="D36" s="247"/>
      <c r="E36" s="248"/>
      <c r="F36" s="248"/>
      <c r="G36" s="199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8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2">
      <c r="B37" s="245"/>
      <c r="C37" s="255"/>
      <c r="D37" s="247"/>
      <c r="E37" s="248"/>
      <c r="F37" s="248"/>
      <c r="G37" s="199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8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2">
      <c r="B38" s="245"/>
      <c r="C38" s="246"/>
      <c r="D38" s="247"/>
      <c r="E38" s="248"/>
      <c r="F38" s="248"/>
      <c r="G38" s="254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8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2">
      <c r="B39" s="245"/>
      <c r="C39" s="255"/>
      <c r="D39" s="247"/>
      <c r="E39" s="248"/>
      <c r="F39" s="248"/>
      <c r="G39" s="199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8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2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ref="S40:S42" si="9">+R40*550</f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2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9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2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9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2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ref="S43" si="10">+R43*550</f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2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ref="S44" si="11">+R44*550</f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12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13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4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5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6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+(E93*1)-V50</f>
        <v>0</v>
      </c>
      <c r="P50" s="134">
        <f>+I93-O50-W50</f>
        <v>0</v>
      </c>
      <c r="Q50" s="11">
        <f>+G93-O50</f>
        <v>0</v>
      </c>
      <c r="R50">
        <f>+E93*$T$3</f>
        <v>0</v>
      </c>
      <c r="S50">
        <f t="shared" ref="S50:S55" si="17">+R50*550</f>
        <v>0</v>
      </c>
      <c r="T50" t="str">
        <f>+IF(K93&lt;&gt;"",K93,"")</f>
        <v/>
      </c>
      <c r="U50" t="e">
        <f>+RANK(H93,$H$6:$H$1048576,1)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+(E94*1)-V51</f>
        <v>0</v>
      </c>
      <c r="P51" s="134">
        <f>+I94-O51-W51</f>
        <v>0</v>
      </c>
      <c r="Q51" s="11">
        <f>+G94-O51</f>
        <v>0</v>
      </c>
      <c r="R51">
        <f>+E94*$T$3</f>
        <v>0</v>
      </c>
      <c r="S51">
        <f t="shared" si="17"/>
        <v>0</v>
      </c>
      <c r="T51" t="str">
        <f>+IF(K94&lt;&gt;"",K94,"")</f>
        <v/>
      </c>
      <c r="U51" t="e">
        <f>+RANK(H94,$H$6:$H$1048576,1)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+(E95*1)-V52</f>
        <v>0</v>
      </c>
      <c r="P52" s="134">
        <f>+I95-O52-W52</f>
        <v>0</v>
      </c>
      <c r="Q52" s="11">
        <f>+G95-O52</f>
        <v>0</v>
      </c>
      <c r="R52">
        <f>+E95*$T$3</f>
        <v>0</v>
      </c>
      <c r="S52">
        <f t="shared" si="17"/>
        <v>0</v>
      </c>
      <c r="T52" t="str">
        <f>+IF(K95&lt;&gt;"",K95,"")</f>
        <v/>
      </c>
      <c r="U52" t="e">
        <f>+RANK(H95,$H$6:$H$1048576,1)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+(E96*1)-V53</f>
        <v>0</v>
      </c>
      <c r="P53" s="134">
        <f>+I96-O53-W53</f>
        <v>0</v>
      </c>
      <c r="Q53" s="11">
        <f>+G96-O53</f>
        <v>0</v>
      </c>
      <c r="R53">
        <f>+E96*$T$3</f>
        <v>0</v>
      </c>
      <c r="S53">
        <f t="shared" si="17"/>
        <v>0</v>
      </c>
      <c r="T53" t="str">
        <f>+IF(K96&lt;&gt;"",K96,"")</f>
        <v/>
      </c>
      <c r="U53" t="e">
        <f>+RANK(H96,$H$6:$H$1048576,1)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+(E97*1)-V54</f>
        <v>0</v>
      </c>
      <c r="P54" s="134">
        <f>+I97-O54-W54</f>
        <v>0</v>
      </c>
      <c r="Q54" s="11">
        <f>+G97-O54</f>
        <v>0</v>
      </c>
      <c r="R54">
        <f>+E97*$T$3</f>
        <v>0</v>
      </c>
      <c r="S54">
        <f t="shared" si="17"/>
        <v>0</v>
      </c>
      <c r="T54" t="str">
        <f>+IF(K97&lt;&gt;"",K97,"")</f>
        <v/>
      </c>
      <c r="U54" t="e">
        <f>+RANK(H97,$H$6:$H$1048576,1)</f>
        <v>#N/A</v>
      </c>
    </row>
    <row r="55" spans="2:21" x14ac:dyDescent="0.2">
      <c r="B55" s="245"/>
      <c r="C55" s="255"/>
      <c r="D55" s="247"/>
      <c r="E55" s="248"/>
      <c r="F55" s="248"/>
      <c r="G55" s="256"/>
      <c r="H55" s="250"/>
      <c r="I55" s="221"/>
      <c r="J55" s="342"/>
      <c r="K55" s="247"/>
      <c r="L55" s="252"/>
      <c r="M55" s="253"/>
      <c r="N55" s="203"/>
      <c r="O55">
        <f>+(E98*1)-V55</f>
        <v>0</v>
      </c>
      <c r="P55" s="134">
        <f>+I98-O55-W55</f>
        <v>0</v>
      </c>
      <c r="Q55" s="11">
        <f>+G98-O55</f>
        <v>0</v>
      </c>
      <c r="R55">
        <f>+E98*$T$3</f>
        <v>0</v>
      </c>
      <c r="S55">
        <f t="shared" si="17"/>
        <v>0</v>
      </c>
      <c r="T55" t="str">
        <f>+IF(K98&lt;&gt;"",K98,"")</f>
        <v/>
      </c>
      <c r="U55" t="e">
        <f>+RANK(H98,$H$6:$H$1048576,1)</f>
        <v>#N/A</v>
      </c>
    </row>
    <row r="56" spans="2:21" x14ac:dyDescent="0.2">
      <c r="B56" s="245"/>
      <c r="C56" s="246"/>
      <c r="D56" s="247"/>
      <c r="E56" s="248"/>
      <c r="F56" s="248"/>
      <c r="G56" s="256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21"/>
      <c r="J57" s="342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21"/>
      <c r="J58" s="342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21"/>
      <c r="J59" s="342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55"/>
      <c r="D60" s="247"/>
      <c r="E60" s="248"/>
      <c r="F60" s="248"/>
      <c r="G60" s="199"/>
      <c r="H60" s="257"/>
      <c r="I60" s="222"/>
      <c r="J60" s="343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21"/>
      <c r="J61" s="342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8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55"/>
      <c r="D62" s="247"/>
      <c r="E62" s="248"/>
      <c r="F62" s="248"/>
      <c r="G62" s="199"/>
      <c r="H62" s="257"/>
      <c r="I62" s="222"/>
      <c r="J62" s="343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8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55"/>
      <c r="D63" s="247"/>
      <c r="E63" s="248"/>
      <c r="F63" s="248"/>
      <c r="G63" s="254"/>
      <c r="H63" s="257"/>
      <c r="I63" s="222"/>
      <c r="J63" s="343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8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21"/>
      <c r="J64" s="342"/>
      <c r="K64" s="247"/>
      <c r="L64" s="252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8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21"/>
      <c r="J65" s="342"/>
      <c r="K65" s="247"/>
      <c r="L65" s="252"/>
      <c r="M65" s="253"/>
      <c r="N65" s="258"/>
      <c r="O65">
        <f>+(E62*1)-V65</f>
        <v>0</v>
      </c>
      <c r="P65" s="134">
        <f>+I62-O65-W65</f>
        <v>0</v>
      </c>
      <c r="Q65" s="11">
        <f>+G62-O65</f>
        <v>0</v>
      </c>
      <c r="R65">
        <f>+E62*$T$3</f>
        <v>0</v>
      </c>
      <c r="S65">
        <f t="shared" si="18"/>
        <v>0</v>
      </c>
      <c r="T65" t="str">
        <f>+IF(K62&lt;&gt;"",K62,"")</f>
        <v/>
      </c>
      <c r="U65" t="e">
        <f>+RANK(H62,$H$6:$H$1048576,1)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21"/>
      <c r="J66" s="342"/>
      <c r="K66" s="247"/>
      <c r="L66" s="252"/>
      <c r="M66" s="253"/>
      <c r="N66" s="258"/>
      <c r="O66">
        <f>+(E63*1)-V66</f>
        <v>0</v>
      </c>
      <c r="P66" s="134">
        <f>+I63-O66-W66</f>
        <v>0</v>
      </c>
      <c r="Q66" s="11">
        <f>+G63-O66</f>
        <v>0</v>
      </c>
      <c r="R66">
        <f>+E63*$T$3</f>
        <v>0</v>
      </c>
      <c r="S66">
        <f t="shared" si="18"/>
        <v>0</v>
      </c>
      <c r="T66" t="str">
        <f>+IF(K63&lt;&gt;"",K63,"")</f>
        <v/>
      </c>
      <c r="U66" t="e">
        <f>+RANK(H63,$H$6:$H$1048576,1)</f>
        <v>#N/A</v>
      </c>
    </row>
    <row r="67" spans="2:21" x14ac:dyDescent="0.2">
      <c r="B67" s="245"/>
      <c r="C67" s="255"/>
      <c r="D67" s="247"/>
      <c r="E67" s="248"/>
      <c r="F67" s="248"/>
      <c r="G67" s="199"/>
      <c r="H67" s="257"/>
      <c r="I67" s="222"/>
      <c r="J67" s="343"/>
      <c r="K67" s="247"/>
      <c r="L67" s="203"/>
      <c r="M67" s="253"/>
      <c r="N67" s="258"/>
      <c r="O67">
        <f>+(E64*1)-V67</f>
        <v>0</v>
      </c>
      <c r="P67" s="134">
        <f>+I64-O67-W67</f>
        <v>0</v>
      </c>
      <c r="Q67" s="11">
        <f>+G64-O67</f>
        <v>0</v>
      </c>
      <c r="R67">
        <f>+E64*$T$3</f>
        <v>0</v>
      </c>
      <c r="S67">
        <f t="shared" si="18"/>
        <v>0</v>
      </c>
      <c r="T67" t="str">
        <f>+IF(K64&lt;&gt;"",K64,"")</f>
        <v/>
      </c>
      <c r="U67" t="e">
        <f>+RANK(H64,$H$6:$H$1048576,1)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21"/>
      <c r="J68" s="342"/>
      <c r="K68" s="247"/>
      <c r="L68" s="252"/>
      <c r="M68" s="253"/>
      <c r="N68" s="258"/>
      <c r="O68">
        <f>+(E65*1)-V68</f>
        <v>0</v>
      </c>
      <c r="P68" s="134">
        <f>+I65-O68-W68</f>
        <v>0</v>
      </c>
      <c r="Q68" s="11">
        <f>+G65-O68</f>
        <v>0</v>
      </c>
      <c r="R68">
        <f>+E65*$T$3</f>
        <v>0</v>
      </c>
      <c r="S68">
        <f t="shared" si="18"/>
        <v>0</v>
      </c>
      <c r="T68" t="str">
        <f>+IF(K65&lt;&gt;"",K65,"")</f>
        <v/>
      </c>
      <c r="U68" t="e">
        <f>+RANK(H65,$H$6:$H$1048576,1)</f>
        <v>#N/A</v>
      </c>
    </row>
    <row r="69" spans="2:21" x14ac:dyDescent="0.2">
      <c r="B69" s="245"/>
      <c r="C69" s="246"/>
      <c r="D69" s="247"/>
      <c r="E69" s="248"/>
      <c r="F69" s="248"/>
      <c r="G69" s="256"/>
      <c r="H69" s="250"/>
      <c r="I69" s="221"/>
      <c r="J69" s="342"/>
      <c r="K69" s="247"/>
      <c r="L69" s="252"/>
      <c r="M69" s="253"/>
      <c r="N69" s="258"/>
      <c r="O69">
        <f>+(E66*1)-V69</f>
        <v>0</v>
      </c>
      <c r="P69" s="134">
        <f>+I66-O69-W69</f>
        <v>0</v>
      </c>
      <c r="Q69" s="11">
        <f>+G66-O69</f>
        <v>0</v>
      </c>
      <c r="R69">
        <f>+E66*$T$3</f>
        <v>0</v>
      </c>
      <c r="S69">
        <f t="shared" si="18"/>
        <v>0</v>
      </c>
      <c r="T69" t="str">
        <f>+IF(K66&lt;&gt;"",K66,"")</f>
        <v/>
      </c>
      <c r="U69" t="e">
        <f>+RANK(H66,$H$6:$H$1048576,1)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21"/>
      <c r="J70" s="342"/>
      <c r="K70" s="247"/>
      <c r="L70" s="252"/>
      <c r="M70" s="253"/>
      <c r="N70" s="258"/>
    </row>
    <row r="71" spans="2:21" x14ac:dyDescent="0.2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52"/>
      <c r="M71" s="253"/>
      <c r="N71" s="258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58"/>
    </row>
    <row r="73" spans="2:21" x14ac:dyDescent="0.2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58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58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03"/>
      <c r="M75" s="253"/>
      <c r="N75" s="258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03"/>
      <c r="M76" s="253"/>
      <c r="N76" s="258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03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03"/>
      <c r="M80" s="253"/>
      <c r="N80" s="258"/>
    </row>
    <row r="81" spans="2:14" x14ac:dyDescent="0.2">
      <c r="B81" s="245"/>
      <c r="C81" s="255"/>
      <c r="D81" s="247"/>
      <c r="E81" s="248"/>
      <c r="F81" s="248"/>
      <c r="G81" s="254"/>
      <c r="H81" s="259"/>
      <c r="I81" s="260"/>
      <c r="J81" s="344"/>
      <c r="K81" s="247"/>
      <c r="L81" s="203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55"/>
      <c r="D86" s="247"/>
      <c r="E86" s="248"/>
      <c r="F86" s="248"/>
      <c r="G86" s="199"/>
      <c r="H86" s="257"/>
      <c r="I86" s="222"/>
      <c r="J86" s="343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6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6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55"/>
      <c r="D100" s="247"/>
      <c r="E100" s="248"/>
      <c r="F100" s="248"/>
      <c r="G100" s="199"/>
      <c r="H100" s="257"/>
      <c r="I100" s="222"/>
      <c r="J100" s="343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03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03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03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03"/>
    </row>
    <row r="106" spans="2:14" x14ac:dyDescent="0.2">
      <c r="B106" s="245"/>
      <c r="C106" s="246"/>
      <c r="D106" s="245"/>
      <c r="E106" s="248"/>
      <c r="F106" s="248"/>
      <c r="G106" s="261"/>
      <c r="H106" s="250"/>
      <c r="I106" s="221"/>
      <c r="J106" s="342"/>
      <c r="K106" s="247"/>
      <c r="L106" s="252"/>
      <c r="M106" s="253"/>
      <c r="N106" s="203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03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03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03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03"/>
    </row>
    <row r="111" spans="2:14" x14ac:dyDescent="0.2">
      <c r="B111" s="245"/>
      <c r="C111" s="255"/>
      <c r="D111" s="247"/>
      <c r="E111" s="248"/>
      <c r="F111" s="248"/>
      <c r="G111" s="199"/>
      <c r="H111" s="257"/>
      <c r="I111" s="222"/>
      <c r="J111" s="343"/>
      <c r="K111" s="262"/>
      <c r="L111" s="252"/>
      <c r="M111" s="253"/>
      <c r="N111" s="203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03"/>
    </row>
    <row r="113" spans="2:14" x14ac:dyDescent="0.2">
      <c r="B113" s="245"/>
      <c r="C113" s="255"/>
      <c r="D113" s="247"/>
      <c r="E113" s="248"/>
      <c r="F113" s="248"/>
      <c r="G113" s="199"/>
      <c r="H113" s="250"/>
      <c r="I113" s="221"/>
      <c r="J113" s="342"/>
      <c r="K113" s="247"/>
      <c r="L113" s="252"/>
      <c r="M113" s="253"/>
      <c r="N113" s="203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03"/>
    </row>
    <row r="115" spans="2:14" x14ac:dyDescent="0.2">
      <c r="B115" s="245"/>
      <c r="C115" s="246"/>
      <c r="D115" s="247"/>
      <c r="E115" s="248"/>
      <c r="F115" s="248"/>
      <c r="G115" s="254"/>
      <c r="H115" s="200"/>
      <c r="I115" s="221"/>
      <c r="J115" s="342"/>
      <c r="K115" s="247"/>
      <c r="L115" s="252"/>
      <c r="M115" s="253"/>
      <c r="N115" s="203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03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03"/>
    </row>
    <row r="118" spans="2:14" x14ac:dyDescent="0.2">
      <c r="B118" s="245"/>
      <c r="C118" s="246"/>
      <c r="D118" s="247"/>
      <c r="E118" s="248"/>
      <c r="F118" s="248"/>
      <c r="G118" s="254"/>
      <c r="H118" s="200"/>
      <c r="I118" s="221"/>
      <c r="J118" s="342"/>
      <c r="K118" s="247"/>
      <c r="L118" s="252"/>
      <c r="M118" s="253"/>
      <c r="N118" s="203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55"/>
      <c r="D120" s="247"/>
      <c r="E120" s="248"/>
      <c r="F120" s="248"/>
      <c r="G120" s="199"/>
      <c r="H120" s="20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00"/>
      <c r="I121" s="221"/>
      <c r="J121" s="342"/>
      <c r="K121" s="247"/>
      <c r="L121" s="252"/>
      <c r="M121" s="253"/>
      <c r="N121" s="258"/>
    </row>
    <row r="122" spans="2:14" x14ac:dyDescent="0.2">
      <c r="B122" s="245"/>
      <c r="C122" s="255"/>
      <c r="D122" s="247"/>
      <c r="E122" s="248"/>
      <c r="F122" s="248"/>
      <c r="G122" s="199"/>
      <c r="H122" s="200"/>
      <c r="I122" s="221"/>
      <c r="J122" s="342"/>
      <c r="K122" s="247"/>
      <c r="L122" s="203"/>
      <c r="M122" s="253"/>
      <c r="N122" s="258"/>
    </row>
    <row r="123" spans="2:14" x14ac:dyDescent="0.2">
      <c r="B123" s="245"/>
      <c r="C123" s="246"/>
      <c r="D123" s="247"/>
      <c r="E123" s="248"/>
      <c r="F123" s="248"/>
      <c r="G123" s="254"/>
      <c r="H123" s="20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55"/>
      <c r="D124" s="247"/>
      <c r="E124" s="248"/>
      <c r="F124" s="248"/>
      <c r="G124" s="199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55"/>
      <c r="D125" s="247"/>
      <c r="E125" s="248"/>
      <c r="F125" s="248"/>
      <c r="G125" s="199"/>
      <c r="H125" s="20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5"/>
      <c r="E126" s="248"/>
      <c r="F126" s="248"/>
      <c r="G126" s="201"/>
      <c r="H126" s="20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55"/>
      <c r="D134" s="247"/>
      <c r="E134" s="248"/>
      <c r="F134" s="248"/>
      <c r="G134" s="199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5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51"/>
      <c r="J140" s="341"/>
      <c r="K140" s="247"/>
      <c r="L140" s="252"/>
      <c r="M140" s="253"/>
      <c r="N140" s="203"/>
    </row>
    <row r="141" spans="2:14" x14ac:dyDescent="0.2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55"/>
      <c r="D145" s="245"/>
      <c r="E145" s="248"/>
      <c r="F145" s="248"/>
      <c r="G145" s="201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55"/>
      <c r="D146" s="247"/>
      <c r="E146" s="248"/>
      <c r="F146" s="248"/>
      <c r="G146" s="199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58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0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0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0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55"/>
      <c r="D166" s="247"/>
      <c r="E166" s="248"/>
      <c r="F166" s="248"/>
      <c r="G166" s="199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03"/>
      <c r="M177" s="253"/>
      <c r="N177" s="258"/>
    </row>
    <row r="178" spans="2:14" x14ac:dyDescent="0.2">
      <c r="B178" s="245"/>
      <c r="C178" s="246"/>
      <c r="D178" s="247"/>
      <c r="E178" s="248"/>
      <c r="F178" s="248"/>
      <c r="G178" s="254"/>
      <c r="H178" s="250"/>
      <c r="I178" s="221"/>
      <c r="J178" s="342"/>
      <c r="K178" s="247"/>
      <c r="L178" s="252"/>
      <c r="M178" s="253"/>
      <c r="N178" s="258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44"/>
      <c r="I180" s="222"/>
      <c r="J180" s="343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44"/>
      <c r="I182" s="222"/>
      <c r="J182" s="343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44"/>
      <c r="I184" s="222"/>
      <c r="J184" s="343"/>
      <c r="K184" s="247"/>
      <c r="L184" s="203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03"/>
      <c r="M185" s="253"/>
      <c r="N185" s="203"/>
    </row>
    <row r="186" spans="2:14" x14ac:dyDescent="0.2">
      <c r="B186" s="245"/>
      <c r="C186" s="255"/>
      <c r="D186" s="247"/>
      <c r="E186" s="248"/>
      <c r="F186" s="248"/>
      <c r="G186" s="199"/>
      <c r="H186" s="244"/>
      <c r="I186" s="222"/>
      <c r="J186" s="343"/>
      <c r="K186" s="247"/>
      <c r="L186" s="203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03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44"/>
      <c r="I189" s="222"/>
      <c r="J189" s="343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03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03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03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03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46"/>
      <c r="D202" s="245"/>
      <c r="E202" s="248"/>
      <c r="F202" s="248"/>
      <c r="G202" s="261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5"/>
      <c r="E206" s="248"/>
      <c r="F206" s="248"/>
      <c r="G206" s="261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5"/>
      <c r="E208" s="248"/>
      <c r="F208" s="248"/>
      <c r="G208" s="261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261"/>
      <c r="H211" s="263"/>
      <c r="I211" s="260"/>
      <c r="J211" s="344"/>
      <c r="K211" s="247"/>
      <c r="L211" s="252"/>
      <c r="M211" s="253"/>
      <c r="N211" s="203"/>
    </row>
    <row r="212" spans="2:14" x14ac:dyDescent="0.2">
      <c r="B212" s="245"/>
      <c r="C212" s="246"/>
      <c r="D212" s="245"/>
      <c r="E212" s="248"/>
      <c r="F212" s="248"/>
      <c r="G212" s="261"/>
      <c r="H212" s="200"/>
      <c r="I212" s="221"/>
      <c r="J212" s="342"/>
      <c r="K212" s="245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55"/>
      <c r="D221" s="247"/>
      <c r="E221" s="248"/>
      <c r="F221" s="248"/>
      <c r="G221" s="199"/>
      <c r="H221" s="244"/>
      <c r="I221" s="222"/>
      <c r="J221" s="343"/>
      <c r="K221" s="247"/>
      <c r="L221" s="252"/>
      <c r="M221" s="253"/>
      <c r="N221" s="203"/>
    </row>
    <row r="222" spans="2:14" x14ac:dyDescent="0.2">
      <c r="B222" s="245"/>
      <c r="C222" s="255"/>
      <c r="D222" s="247"/>
      <c r="E222" s="248"/>
      <c r="F222" s="248"/>
      <c r="G222" s="199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03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55"/>
      <c r="D245" s="247"/>
      <c r="E245" s="248"/>
      <c r="F245" s="248"/>
      <c r="G245" s="261"/>
      <c r="H245" s="200"/>
      <c r="I245" s="221"/>
      <c r="J245" s="342"/>
      <c r="K245" s="245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62"/>
      <c r="L246" s="252"/>
      <c r="M246" s="253"/>
      <c r="N246" s="203"/>
    </row>
    <row r="247" spans="2:14" x14ac:dyDescent="0.2">
      <c r="B247" s="245"/>
      <c r="C247" s="255"/>
      <c r="D247" s="245"/>
      <c r="E247" s="248"/>
      <c r="F247" s="248"/>
      <c r="G247" s="201"/>
      <c r="H247" s="200"/>
      <c r="I247" s="221"/>
      <c r="J247" s="342"/>
      <c r="K247" s="262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5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5"/>
      <c r="E251" s="248"/>
      <c r="F251" s="248"/>
      <c r="G251" s="261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55"/>
      <c r="D252" s="247"/>
      <c r="E252" s="248"/>
      <c r="F252" s="248"/>
      <c r="G252" s="199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55"/>
      <c r="D257" s="245"/>
      <c r="E257" s="248"/>
      <c r="F257" s="248"/>
      <c r="G257" s="201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55"/>
      <c r="D258" s="245"/>
      <c r="E258" s="248"/>
      <c r="F258" s="248"/>
      <c r="G258" s="261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199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46"/>
      <c r="D263" s="245"/>
      <c r="E263" s="248"/>
      <c r="F263" s="248"/>
      <c r="G263" s="261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55"/>
      <c r="D265" s="245"/>
      <c r="E265" s="248"/>
      <c r="F265" s="248"/>
      <c r="G265" s="201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55"/>
      <c r="D266" s="247"/>
      <c r="E266" s="248"/>
      <c r="F266" s="248"/>
      <c r="G266" s="199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2"/>
      <c r="I271" s="223"/>
      <c r="J271" s="345"/>
      <c r="K271" s="264"/>
      <c r="L271" s="252"/>
      <c r="M271" s="253"/>
      <c r="N271" s="265"/>
    </row>
    <row r="272" spans="2:14" x14ac:dyDescent="0.2">
      <c r="B272" s="245"/>
      <c r="C272" s="246"/>
      <c r="D272" s="247"/>
      <c r="E272" s="248"/>
      <c r="F272" s="248"/>
      <c r="G272" s="254"/>
      <c r="H272" s="202"/>
      <c r="I272" s="223"/>
      <c r="J272" s="345"/>
      <c r="K272" s="264"/>
      <c r="L272" s="252"/>
      <c r="M272" s="253"/>
      <c r="N272" s="265"/>
    </row>
    <row r="273" spans="2:14" x14ac:dyDescent="0.2">
      <c r="B273" s="245"/>
      <c r="C273" s="246"/>
      <c r="D273" s="247"/>
      <c r="E273" s="248"/>
      <c r="F273" s="248"/>
      <c r="G273" s="254"/>
      <c r="H273" s="202"/>
      <c r="I273" s="223"/>
      <c r="J273" s="345"/>
      <c r="K273" s="264"/>
      <c r="L273" s="252"/>
      <c r="M273" s="253"/>
      <c r="N273" s="265"/>
    </row>
    <row r="274" spans="2:14" x14ac:dyDescent="0.2">
      <c r="B274" s="245"/>
      <c r="C274" s="246"/>
      <c r="D274" s="247"/>
      <c r="E274" s="248"/>
      <c r="F274" s="248"/>
      <c r="G274" s="254"/>
      <c r="H274" s="202"/>
      <c r="I274" s="223"/>
      <c r="J274" s="345"/>
      <c r="K274" s="266"/>
      <c r="L274" s="252"/>
      <c r="M274" s="253"/>
      <c r="N274" s="265"/>
    </row>
    <row r="275" spans="2:14" x14ac:dyDescent="0.2">
      <c r="B275" s="245"/>
      <c r="C275" s="246"/>
      <c r="D275" s="247"/>
      <c r="E275" s="248"/>
      <c r="F275" s="248"/>
      <c r="G275" s="254"/>
      <c r="H275" s="202"/>
      <c r="I275" s="223"/>
      <c r="J275" s="345"/>
      <c r="K275" s="266"/>
      <c r="L275" s="252"/>
      <c r="M275" s="253"/>
      <c r="N275" s="265"/>
    </row>
    <row r="276" spans="2:14" x14ac:dyDescent="0.2">
      <c r="B276" s="245"/>
      <c r="C276" s="246"/>
      <c r="D276" s="247"/>
      <c r="E276" s="248"/>
      <c r="F276" s="248"/>
      <c r="G276" s="254"/>
      <c r="H276" s="202"/>
      <c r="I276" s="223"/>
      <c r="J276" s="345"/>
      <c r="K276" s="266"/>
      <c r="L276" s="252"/>
      <c r="M276" s="253"/>
      <c r="N276" s="265"/>
    </row>
    <row r="277" spans="2:14" x14ac:dyDescent="0.2">
      <c r="B277" s="245"/>
      <c r="C277" s="246"/>
      <c r="D277" s="247"/>
      <c r="E277" s="248"/>
      <c r="F277" s="248"/>
      <c r="G277" s="254"/>
      <c r="H277" s="202"/>
      <c r="I277" s="223"/>
      <c r="J277" s="345"/>
      <c r="K277" s="266"/>
      <c r="L277" s="252"/>
      <c r="M277" s="253"/>
      <c r="N277" s="265"/>
    </row>
    <row r="278" spans="2:14" x14ac:dyDescent="0.2">
      <c r="B278" s="245"/>
      <c r="C278" s="246"/>
      <c r="D278" s="247"/>
      <c r="E278" s="248"/>
      <c r="F278" s="248"/>
      <c r="G278" s="254"/>
      <c r="H278" s="202"/>
      <c r="I278" s="223"/>
      <c r="J278" s="345"/>
      <c r="K278" s="264"/>
      <c r="L278" s="252"/>
      <c r="M278" s="253"/>
      <c r="N278" s="265"/>
    </row>
    <row r="279" spans="2:14" x14ac:dyDescent="0.2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2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2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2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2">
      <c r="B283" s="245"/>
      <c r="C283" s="246"/>
      <c r="D283" s="247"/>
      <c r="E283" s="248"/>
      <c r="F283" s="248"/>
      <c r="G283" s="254"/>
      <c r="H283" s="202"/>
      <c r="I283" s="223"/>
      <c r="J283" s="345"/>
      <c r="K283" s="266"/>
      <c r="L283" s="252"/>
      <c r="M283" s="253"/>
      <c r="N283" s="265"/>
    </row>
    <row r="284" spans="2:14" x14ac:dyDescent="0.2">
      <c r="B284" s="245"/>
      <c r="C284" s="246"/>
      <c r="D284" s="247"/>
      <c r="E284" s="248"/>
      <c r="F284" s="248"/>
      <c r="G284" s="254"/>
      <c r="H284" s="202"/>
      <c r="I284" s="223"/>
      <c r="J284" s="345"/>
      <c r="K284" s="266"/>
      <c r="L284" s="252"/>
      <c r="M284" s="253"/>
      <c r="N284" s="265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6"/>
      <c r="L285" s="252"/>
      <c r="M285" s="253"/>
      <c r="N285" s="265"/>
    </row>
    <row r="286" spans="2:14" x14ac:dyDescent="0.2">
      <c r="B286" s="245"/>
      <c r="C286" s="246"/>
      <c r="D286" s="245"/>
      <c r="E286" s="248"/>
      <c r="F286" s="248"/>
      <c r="G286" s="261"/>
      <c r="H286" s="202"/>
      <c r="I286" s="223"/>
      <c r="J286" s="345"/>
      <c r="K286" s="266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4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4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4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7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7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7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7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55"/>
      <c r="D359" s="247"/>
      <c r="E359" s="248"/>
      <c r="F359" s="248"/>
      <c r="G359" s="199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55"/>
      <c r="D363" s="247"/>
      <c r="E363" s="248"/>
      <c r="F363" s="248"/>
      <c r="G363" s="199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55"/>
      <c r="D364" s="247"/>
      <c r="E364" s="248"/>
      <c r="F364" s="248"/>
      <c r="G364" s="199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55"/>
      <c r="D365" s="247"/>
      <c r="E365" s="248"/>
      <c r="F365" s="248"/>
      <c r="G365" s="199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55"/>
      <c r="D370" s="247"/>
      <c r="E370" s="248"/>
      <c r="F370" s="248"/>
      <c r="G370" s="199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5"/>
      <c r="E386" s="248"/>
      <c r="F386" s="248"/>
      <c r="G386" s="261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5"/>
      <c r="E387" s="248"/>
      <c r="F387" s="248"/>
      <c r="G387" s="261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5"/>
      <c r="E390" s="248"/>
      <c r="F390" s="248"/>
      <c r="G390" s="261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5"/>
      <c r="E391" s="248"/>
      <c r="F391" s="248"/>
      <c r="G391" s="261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55"/>
      <c r="D399" s="247"/>
      <c r="E399" s="248"/>
      <c r="F399" s="248"/>
      <c r="G399" s="199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55"/>
      <c r="D401" s="247"/>
      <c r="E401" s="248"/>
      <c r="F401" s="248"/>
      <c r="G401" s="199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4"/>
      <c r="L412" s="252"/>
      <c r="M412" s="253"/>
      <c r="N412" s="265"/>
    </row>
    <row r="413" spans="2:14" x14ac:dyDescent="0.2">
      <c r="B413" s="245"/>
      <c r="C413" s="246"/>
      <c r="D413" s="245"/>
      <c r="E413" s="248"/>
      <c r="F413" s="248"/>
      <c r="G413" s="261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4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55"/>
      <c r="D427" s="247"/>
      <c r="E427" s="248"/>
      <c r="F427" s="248"/>
      <c r="G427" s="199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55"/>
      <c r="D430" s="247"/>
      <c r="E430" s="248"/>
      <c r="F430" s="248"/>
      <c r="G430" s="199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68"/>
      <c r="F434" s="268"/>
      <c r="G434" s="269"/>
      <c r="H434" s="270"/>
      <c r="I434" s="271"/>
      <c r="J434" s="346"/>
      <c r="K434" s="266"/>
      <c r="L434" s="252"/>
      <c r="M434" s="253"/>
      <c r="N434" s="265"/>
    </row>
    <row r="435" spans="2:14" x14ac:dyDescent="0.2">
      <c r="B435" s="245"/>
      <c r="C435" s="255"/>
      <c r="D435" s="247"/>
      <c r="E435" s="248"/>
      <c r="F435" s="248"/>
      <c r="G435" s="261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55"/>
      <c r="D437" s="247"/>
      <c r="E437" s="248"/>
      <c r="F437" s="248"/>
      <c r="G437" s="199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4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199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5"/>
      <c r="E473" s="248"/>
      <c r="F473" s="248"/>
      <c r="G473" s="261"/>
      <c r="H473" s="202"/>
      <c r="I473" s="223"/>
      <c r="J473" s="345"/>
      <c r="K473" s="264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4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4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4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4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55"/>
      <c r="D486" s="247"/>
      <c r="E486" s="248"/>
      <c r="F486" s="248"/>
      <c r="G486" s="199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7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5"/>
      <c r="E506" s="248"/>
      <c r="F506" s="272"/>
      <c r="G506" s="261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55"/>
      <c r="D510" s="247"/>
      <c r="E510" s="248"/>
      <c r="F510" s="248"/>
      <c r="G510" s="199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55"/>
      <c r="D512" s="247"/>
      <c r="E512" s="248"/>
      <c r="F512" s="248"/>
      <c r="G512" s="199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55"/>
      <c r="D513" s="247"/>
      <c r="E513" s="248"/>
      <c r="F513" s="248"/>
      <c r="G513" s="199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5"/>
      <c r="E523" s="248"/>
      <c r="F523" s="248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5"/>
      <c r="E529" s="248"/>
      <c r="F529" s="248"/>
      <c r="G529" s="261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55"/>
      <c r="D532" s="247"/>
      <c r="E532" s="248"/>
      <c r="F532" s="248"/>
      <c r="G532" s="199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5"/>
      <c r="E541" s="248"/>
      <c r="F541" s="248"/>
      <c r="G541" s="261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55"/>
      <c r="D549" s="245"/>
      <c r="E549" s="248"/>
      <c r="F549" s="248"/>
      <c r="G549" s="201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55"/>
      <c r="D555" s="245"/>
      <c r="E555" s="248"/>
      <c r="F555" s="248"/>
      <c r="G555" s="201"/>
      <c r="H555" s="202"/>
      <c r="I555" s="223"/>
      <c r="J555" s="345"/>
      <c r="K555" s="264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55"/>
      <c r="D557" s="247"/>
      <c r="E557" s="248"/>
      <c r="F557" s="248"/>
      <c r="G557" s="199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55"/>
      <c r="D560" s="247"/>
      <c r="E560" s="248"/>
      <c r="F560" s="248"/>
      <c r="G560" s="199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55"/>
      <c r="D561" s="247"/>
      <c r="E561" s="248"/>
      <c r="F561" s="248"/>
      <c r="G561" s="199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55"/>
      <c r="D562" s="247"/>
      <c r="E562" s="248"/>
      <c r="F562" s="248"/>
      <c r="G562" s="199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7"/>
      <c r="E565" s="248"/>
      <c r="F565" s="248"/>
      <c r="G565" s="199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55"/>
      <c r="D568" s="247"/>
      <c r="E568" s="248"/>
      <c r="F568" s="248"/>
      <c r="G568" s="199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5"/>
      <c r="E577" s="248"/>
      <c r="F577" s="248"/>
      <c r="G577" s="261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55"/>
      <c r="D587" s="245"/>
      <c r="E587" s="248"/>
      <c r="F587" s="248"/>
      <c r="G587" s="201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55"/>
      <c r="D593" s="247"/>
      <c r="E593" s="248"/>
      <c r="F593" s="248"/>
      <c r="G593" s="199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55"/>
      <c r="D594" s="247"/>
      <c r="E594" s="248"/>
      <c r="F594" s="248"/>
      <c r="G594" s="199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55"/>
      <c r="D595" s="247"/>
      <c r="E595" s="248"/>
      <c r="F595" s="248"/>
      <c r="G595" s="199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4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5"/>
      <c r="E599" s="248"/>
      <c r="F599" s="248"/>
      <c r="G599" s="261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4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55"/>
      <c r="D606" s="245"/>
      <c r="E606" s="248"/>
      <c r="F606" s="248"/>
      <c r="G606" s="201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55"/>
      <c r="D617" s="247"/>
      <c r="E617" s="248"/>
      <c r="F617" s="248"/>
      <c r="G617" s="199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4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55"/>
      <c r="D624" s="247"/>
      <c r="E624" s="248"/>
      <c r="F624" s="248"/>
      <c r="G624" s="199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55"/>
      <c r="D625" s="247"/>
      <c r="E625" s="248"/>
      <c r="F625" s="248"/>
      <c r="G625" s="199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5"/>
      <c r="E660" s="248"/>
      <c r="F660" s="248"/>
      <c r="G660" s="261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55"/>
      <c r="D665" s="247"/>
      <c r="E665" s="248"/>
      <c r="F665" s="248"/>
      <c r="G665" s="199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5"/>
      <c r="E668" s="248"/>
      <c r="F668" s="248"/>
      <c r="G668" s="261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4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4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4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55"/>
      <c r="D684" s="245"/>
      <c r="E684" s="248"/>
      <c r="F684" s="248"/>
      <c r="G684" s="20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55"/>
      <c r="D688" s="247"/>
      <c r="E688" s="248"/>
      <c r="F688" s="248"/>
      <c r="G688" s="199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55"/>
      <c r="D689" s="247"/>
      <c r="E689" s="248"/>
      <c r="F689" s="248"/>
      <c r="G689" s="199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55"/>
      <c r="D691" s="247"/>
      <c r="E691" s="248"/>
      <c r="F691" s="248"/>
      <c r="G691" s="199"/>
      <c r="H691" s="202"/>
      <c r="I691" s="223"/>
      <c r="J691" s="345"/>
      <c r="K691" s="264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4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55"/>
      <c r="D711" s="247"/>
      <c r="E711" s="248"/>
      <c r="F711" s="248"/>
      <c r="G711" s="199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55"/>
      <c r="D723" s="247"/>
      <c r="E723" s="248"/>
      <c r="F723" s="248"/>
      <c r="G723" s="199"/>
      <c r="H723" s="202"/>
      <c r="I723" s="223"/>
      <c r="J723" s="345"/>
      <c r="K723" s="266"/>
      <c r="L723" s="252"/>
      <c r="M723" s="253"/>
      <c r="N723" s="273"/>
    </row>
    <row r="724" spans="2:14" x14ac:dyDescent="0.2">
      <c r="B724" s="245"/>
      <c r="C724" s="255"/>
      <c r="D724" s="245"/>
      <c r="E724" s="248"/>
      <c r="F724" s="248"/>
      <c r="G724" s="201"/>
      <c r="H724" s="202"/>
      <c r="I724" s="223"/>
      <c r="J724" s="345"/>
      <c r="K724" s="266"/>
      <c r="L724" s="252"/>
      <c r="M724" s="253"/>
      <c r="N724" s="203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03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03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03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03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03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03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03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4"/>
      <c r="L736" s="252"/>
      <c r="M736" s="253"/>
      <c r="N736" s="203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03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5"/>
      <c r="E743" s="248"/>
      <c r="F743" s="248"/>
      <c r="G743" s="261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5"/>
      <c r="E748" s="248"/>
      <c r="F748" s="248"/>
      <c r="G748" s="261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55"/>
      <c r="D749" s="245"/>
      <c r="E749" s="248"/>
      <c r="F749" s="248"/>
      <c r="G749" s="201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55"/>
      <c r="D761" s="247"/>
      <c r="E761" s="248"/>
      <c r="F761" s="248"/>
      <c r="G761" s="254"/>
      <c r="H761" s="202"/>
      <c r="I761" s="223"/>
      <c r="J761" s="345"/>
      <c r="K761" s="264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6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55"/>
      <c r="D768" s="247"/>
      <c r="E768" s="248"/>
      <c r="F768" s="248"/>
      <c r="G768" s="199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55"/>
      <c r="D769" s="247"/>
      <c r="E769" s="248"/>
      <c r="F769" s="248"/>
      <c r="G769" s="199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55"/>
      <c r="D774" s="247"/>
      <c r="E774" s="248"/>
      <c r="F774" s="248"/>
      <c r="G774" s="199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55"/>
      <c r="D775" s="247"/>
      <c r="E775" s="248"/>
      <c r="F775" s="248"/>
      <c r="G775" s="199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5"/>
      <c r="E785" s="248"/>
      <c r="F785" s="248"/>
      <c r="G785" s="261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4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5"/>
      <c r="E788" s="248"/>
      <c r="F788" s="248"/>
      <c r="G788" s="261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5"/>
      <c r="E791" s="248"/>
      <c r="F791" s="248"/>
      <c r="G791" s="261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55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55"/>
      <c r="D809" s="247"/>
      <c r="E809" s="248"/>
      <c r="F809" s="248"/>
      <c r="G809" s="199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5"/>
      <c r="E820" s="248"/>
      <c r="F820" s="248"/>
      <c r="G820" s="261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4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5"/>
      <c r="E829" s="248"/>
      <c r="F829" s="248"/>
      <c r="G829" s="261"/>
      <c r="H829" s="202"/>
      <c r="I829" s="223"/>
      <c r="J829" s="345"/>
      <c r="K829" s="264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7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7"/>
      <c r="L838" s="252"/>
      <c r="M838" s="253"/>
      <c r="N838" s="203"/>
    </row>
    <row r="839" spans="2:14" x14ac:dyDescent="0.2">
      <c r="B839" s="245"/>
      <c r="C839" s="255"/>
      <c r="D839" s="247"/>
      <c r="E839" s="248"/>
      <c r="F839" s="248"/>
      <c r="G839" s="254"/>
      <c r="H839" s="202"/>
      <c r="I839" s="223"/>
      <c r="J839" s="345"/>
      <c r="K839" s="267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55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55"/>
      <c r="D851" s="247"/>
      <c r="E851" s="248"/>
      <c r="F851" s="248"/>
      <c r="G851" s="199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55"/>
      <c r="D852" s="247"/>
      <c r="E852" s="248"/>
      <c r="F852" s="248"/>
      <c r="G852" s="199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55"/>
      <c r="D861" s="247"/>
      <c r="E861" s="248"/>
      <c r="F861" s="248"/>
      <c r="G861" s="199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55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74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5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199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55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55"/>
      <c r="D885" s="247"/>
      <c r="E885" s="248"/>
      <c r="F885" s="248"/>
      <c r="G885" s="254"/>
      <c r="H885" s="202"/>
      <c r="I885" s="223"/>
      <c r="J885" s="345"/>
      <c r="K885" s="267"/>
      <c r="L885" s="252"/>
      <c r="M885" s="253"/>
      <c r="N885" s="203"/>
    </row>
    <row r="886" spans="2:14" x14ac:dyDescent="0.2">
      <c r="B886" s="245"/>
      <c r="C886" s="255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55"/>
      <c r="D887" s="247"/>
      <c r="E887" s="248"/>
      <c r="F887" s="248"/>
      <c r="G887" s="199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55"/>
      <c r="D888" s="247"/>
      <c r="E888" s="248"/>
      <c r="F888" s="248"/>
      <c r="G888" s="199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55"/>
      <c r="D889" s="247"/>
      <c r="E889" s="248"/>
      <c r="F889" s="248"/>
      <c r="G889" s="199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46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46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199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199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199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199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199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199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199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199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5"/>
      <c r="E997" s="248"/>
      <c r="F997" s="248"/>
      <c r="G997" s="261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5"/>
      <c r="E998" s="248"/>
      <c r="F998" s="248"/>
      <c r="G998" s="261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01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4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01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5"/>
      <c r="E1031" s="248"/>
      <c r="F1031" s="248"/>
      <c r="G1031" s="261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5"/>
      <c r="E1044" s="248"/>
      <c r="F1044" s="248"/>
      <c r="G1044" s="261"/>
      <c r="H1044" s="202"/>
      <c r="I1044" s="223"/>
      <c r="J1044" s="345"/>
      <c r="K1044" s="264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03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199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5"/>
      <c r="E1072" s="275"/>
      <c r="F1072" s="275"/>
      <c r="G1072" s="205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199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5"/>
      <c r="E1080" s="248"/>
      <c r="F1080" s="248"/>
      <c r="G1080" s="205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199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199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199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03"/>
      <c r="M1101" s="253"/>
      <c r="N1101" s="203"/>
    </row>
    <row r="1102" spans="2:14" x14ac:dyDescent="0.2">
      <c r="B1102" s="245"/>
      <c r="C1102" s="255"/>
      <c r="D1102" s="245"/>
      <c r="E1102" s="248"/>
      <c r="F1102" s="248"/>
      <c r="G1102" s="205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199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199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5"/>
      <c r="E1111" s="248"/>
      <c r="F1111" s="248"/>
      <c r="G1111" s="206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76"/>
      <c r="D1122" s="276"/>
      <c r="E1122" s="248"/>
      <c r="F1122" s="277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5"/>
      <c r="E1124" s="248"/>
      <c r="F1124" s="248"/>
      <c r="G1124" s="201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4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74"/>
      <c r="L1130" s="252"/>
      <c r="M1130" s="253"/>
      <c r="N1130" s="203"/>
    </row>
    <row r="1131" spans="2:14" x14ac:dyDescent="0.2">
      <c r="B1131" s="245"/>
      <c r="C1131" s="255"/>
      <c r="D1131" s="245"/>
      <c r="E1131" s="248"/>
      <c r="F1131" s="248"/>
      <c r="G1131" s="261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74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199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61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4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4"/>
    </row>
    <row r="1141" spans="2:14" x14ac:dyDescent="0.2">
      <c r="B1141" s="245"/>
      <c r="C1141" s="255"/>
      <c r="D1141" s="247"/>
      <c r="E1141" s="248"/>
      <c r="F1141" s="248"/>
      <c r="G1141" s="199"/>
      <c r="H1141" s="202"/>
      <c r="I1141" s="223"/>
      <c r="J1141" s="345"/>
      <c r="K1141" s="266"/>
      <c r="L1141" s="252"/>
      <c r="M1141" s="253"/>
      <c r="N1141" s="204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4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4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4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4"/>
    </row>
    <row r="1146" spans="2:14" x14ac:dyDescent="0.2">
      <c r="B1146" s="245"/>
      <c r="C1146" s="255"/>
      <c r="D1146" s="245"/>
      <c r="E1146" s="275"/>
      <c r="F1146" s="275"/>
      <c r="G1146" s="205"/>
      <c r="H1146" s="202"/>
      <c r="I1146" s="223"/>
      <c r="J1146" s="345"/>
      <c r="K1146" s="274"/>
      <c r="L1146" s="252"/>
      <c r="M1146" s="253"/>
      <c r="N1146" s="204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4"/>
    </row>
    <row r="1148" spans="2:14" x14ac:dyDescent="0.2">
      <c r="B1148" s="245"/>
      <c r="C1148" s="255"/>
      <c r="D1148" s="247"/>
      <c r="E1148" s="248"/>
      <c r="F1148" s="248"/>
      <c r="G1148" s="199"/>
      <c r="H1148" s="202"/>
      <c r="I1148" s="223"/>
      <c r="J1148" s="345"/>
      <c r="K1148" s="266"/>
      <c r="L1148" s="252"/>
      <c r="M1148" s="253"/>
      <c r="N1148" s="204"/>
    </row>
    <row r="1149" spans="2:14" x14ac:dyDescent="0.2">
      <c r="B1149" s="245"/>
      <c r="C1149" s="255"/>
      <c r="D1149" s="247"/>
      <c r="E1149" s="248"/>
      <c r="F1149" s="248"/>
      <c r="G1149" s="199"/>
      <c r="H1149" s="202"/>
      <c r="I1149" s="223"/>
      <c r="J1149" s="345"/>
      <c r="K1149" s="266"/>
      <c r="L1149" s="252"/>
      <c r="M1149" s="253"/>
      <c r="N1149" s="204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4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4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4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74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199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199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5"/>
      <c r="E1173" s="248"/>
      <c r="F1173" s="248"/>
      <c r="G1173" s="261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74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78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78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78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78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78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78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78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199"/>
      <c r="H1184" s="202"/>
      <c r="I1184" s="223"/>
      <c r="J1184" s="345"/>
      <c r="K1184" s="278"/>
      <c r="L1184" s="252"/>
      <c r="M1184" s="253"/>
      <c r="N1184" s="204"/>
    </row>
    <row r="1185" spans="2:14" x14ac:dyDescent="0.2">
      <c r="B1185" s="245"/>
      <c r="C1185" s="255"/>
      <c r="D1185" s="245"/>
      <c r="E1185" s="275"/>
      <c r="F1185" s="275"/>
      <c r="G1185" s="205"/>
      <c r="H1185" s="202"/>
      <c r="I1185" s="223"/>
      <c r="J1185" s="345"/>
      <c r="K1185" s="279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79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79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79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79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9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9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9"/>
      <c r="L1192" s="252"/>
      <c r="M1192" s="253"/>
      <c r="N1192" s="204"/>
    </row>
    <row r="1193" spans="2:14" x14ac:dyDescent="0.2">
      <c r="B1193" s="245"/>
      <c r="C1193" s="255"/>
      <c r="D1193" s="245"/>
      <c r="E1193" s="248"/>
      <c r="F1193" s="248"/>
      <c r="G1193" s="205"/>
      <c r="H1193" s="202"/>
      <c r="I1193" s="223"/>
      <c r="J1193" s="345"/>
      <c r="K1193" s="279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9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01"/>
      <c r="H1195" s="202"/>
      <c r="I1195" s="223"/>
      <c r="J1195" s="345"/>
      <c r="K1195" s="279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9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9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9"/>
      <c r="L1198" s="252"/>
      <c r="M1198" s="253"/>
      <c r="N1198" s="204"/>
    </row>
    <row r="1199" spans="2:14" x14ac:dyDescent="0.2">
      <c r="B1199" s="245"/>
      <c r="C1199" s="255"/>
      <c r="D1199" s="245"/>
      <c r="E1199" s="248"/>
      <c r="F1199" s="248"/>
      <c r="G1199" s="206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199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199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199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03"/>
      <c r="M1215" s="253"/>
      <c r="N1215" s="204"/>
    </row>
    <row r="1216" spans="2:14" x14ac:dyDescent="0.2">
      <c r="B1216" s="245"/>
      <c r="C1216" s="280"/>
      <c r="D1216" s="281"/>
      <c r="E1216" s="275"/>
      <c r="F1216" s="275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03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2">
      <c r="B1222" s="245"/>
      <c r="C1222" s="255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2">
      <c r="B1223" s="245"/>
      <c r="C1223" s="255"/>
      <c r="D1223" s="247"/>
      <c r="E1223" s="248"/>
      <c r="F1223" s="248"/>
      <c r="G1223" s="254"/>
      <c r="H1223" s="207"/>
      <c r="I1223" s="221"/>
      <c r="J1223" s="342"/>
      <c r="K1223" s="279"/>
      <c r="L1223" s="252"/>
      <c r="M1223" s="253"/>
      <c r="N1223" s="208"/>
    </row>
    <row r="1224" spans="2:14" x14ac:dyDescent="0.2">
      <c r="B1224" s="245"/>
      <c r="C1224" s="246"/>
      <c r="D1224" s="247"/>
      <c r="E1224" s="248"/>
      <c r="F1224" s="248"/>
      <c r="G1224" s="254"/>
      <c r="H1224" s="207"/>
      <c r="I1224" s="221"/>
      <c r="J1224" s="342"/>
      <c r="K1224" s="279"/>
      <c r="L1224" s="252"/>
      <c r="M1224" s="253"/>
      <c r="N1224" s="208"/>
    </row>
    <row r="1225" spans="2:14" x14ac:dyDescent="0.2">
      <c r="B1225" s="245"/>
      <c r="C1225" s="255"/>
      <c r="D1225" s="247"/>
      <c r="E1225" s="248"/>
      <c r="F1225" s="248"/>
      <c r="G1225" s="254"/>
      <c r="H1225" s="207"/>
      <c r="I1225" s="221"/>
      <c r="J1225" s="342"/>
      <c r="K1225" s="279"/>
      <c r="L1225" s="252"/>
      <c r="M1225" s="253"/>
      <c r="N1225" s="208"/>
    </row>
    <row r="1226" spans="2:14" x14ac:dyDescent="0.2">
      <c r="B1226" s="245"/>
      <c r="C1226" s="276"/>
      <c r="D1226" s="276"/>
      <c r="E1226" s="277"/>
      <c r="F1226" s="277"/>
      <c r="G1226" s="209"/>
      <c r="H1226" s="207"/>
      <c r="I1226" s="221"/>
      <c r="J1226" s="342"/>
      <c r="K1226" s="282"/>
      <c r="L1226" s="252"/>
      <c r="M1226" s="253"/>
      <c r="N1226" s="208"/>
    </row>
    <row r="1227" spans="2:14" x14ac:dyDescent="0.2">
      <c r="B1227" s="245"/>
      <c r="C1227" s="255"/>
      <c r="D1227" s="247"/>
      <c r="E1227" s="248"/>
      <c r="F1227" s="248"/>
      <c r="G1227" s="254"/>
      <c r="H1227" s="207"/>
      <c r="I1227" s="221"/>
      <c r="J1227" s="342"/>
      <c r="K1227" s="279"/>
      <c r="L1227" s="252"/>
      <c r="M1227" s="253"/>
      <c r="N1227" s="208"/>
    </row>
    <row r="1228" spans="2:14" x14ac:dyDescent="0.2">
      <c r="B1228" s="245"/>
      <c r="C1228" s="255"/>
      <c r="D1228" s="247"/>
      <c r="E1228" s="248"/>
      <c r="F1228" s="248"/>
      <c r="G1228" s="254"/>
      <c r="H1228" s="207"/>
      <c r="I1228" s="221"/>
      <c r="J1228" s="342"/>
      <c r="K1228" s="279"/>
      <c r="L1228" s="252"/>
      <c r="M1228" s="253"/>
      <c r="N1228" s="208"/>
    </row>
    <row r="1229" spans="2:14" x14ac:dyDescent="0.2">
      <c r="B1229" s="245"/>
      <c r="C1229" s="255"/>
      <c r="D1229" s="247"/>
      <c r="E1229" s="248"/>
      <c r="F1229" s="248"/>
      <c r="G1229" s="254"/>
      <c r="H1229" s="207"/>
      <c r="I1229" s="221"/>
      <c r="J1229" s="342"/>
      <c r="K1229" s="279"/>
      <c r="L1229" s="252"/>
      <c r="M1229" s="253"/>
      <c r="N1229" s="208"/>
    </row>
    <row r="1230" spans="2:14" x14ac:dyDescent="0.2">
      <c r="B1230" s="245"/>
      <c r="C1230" s="255"/>
      <c r="D1230" s="245"/>
      <c r="E1230" s="248"/>
      <c r="F1230" s="248"/>
      <c r="G1230" s="261"/>
      <c r="H1230" s="207"/>
      <c r="I1230" s="221"/>
      <c r="J1230" s="342"/>
      <c r="K1230" s="279"/>
      <c r="L1230" s="252"/>
      <c r="M1230" s="253"/>
      <c r="N1230" s="208"/>
    </row>
    <row r="1231" spans="2:14" x14ac:dyDescent="0.2">
      <c r="B1231" s="245"/>
      <c r="C1231" s="255"/>
      <c r="D1231" s="247"/>
      <c r="E1231" s="248"/>
      <c r="F1231" s="248"/>
      <c r="G1231" s="254"/>
      <c r="H1231" s="207"/>
      <c r="I1231" s="221"/>
      <c r="J1231" s="342"/>
      <c r="K1231" s="279"/>
      <c r="L1231" s="252"/>
      <c r="M1231" s="253"/>
      <c r="N1231" s="208"/>
    </row>
    <row r="1232" spans="2:14" x14ac:dyDescent="0.2">
      <c r="B1232" s="245"/>
      <c r="C1232" s="255"/>
      <c r="D1232" s="247"/>
      <c r="E1232" s="248"/>
      <c r="F1232" s="248"/>
      <c r="G1232" s="254"/>
      <c r="H1232" s="207"/>
      <c r="I1232" s="221"/>
      <c r="J1232" s="342"/>
      <c r="K1232" s="279"/>
      <c r="L1232" s="252"/>
      <c r="M1232" s="253"/>
      <c r="N1232" s="208"/>
    </row>
    <row r="1233" spans="2:14" x14ac:dyDescent="0.2">
      <c r="B1233" s="245"/>
      <c r="C1233" s="255"/>
      <c r="D1233" s="247"/>
      <c r="E1233" s="248"/>
      <c r="F1233" s="248"/>
      <c r="G1233" s="254"/>
      <c r="H1233" s="207"/>
      <c r="I1233" s="221"/>
      <c r="J1233" s="342"/>
      <c r="K1233" s="279"/>
      <c r="L1233" s="252"/>
      <c r="M1233" s="253"/>
      <c r="N1233" s="208"/>
    </row>
    <row r="1234" spans="2:14" x14ac:dyDescent="0.2">
      <c r="B1234" s="245"/>
      <c r="C1234" s="246"/>
      <c r="D1234" s="247"/>
      <c r="E1234" s="248"/>
      <c r="F1234" s="248"/>
      <c r="G1234" s="254"/>
      <c r="H1234" s="207"/>
      <c r="I1234" s="221"/>
      <c r="J1234" s="342"/>
      <c r="K1234" s="279"/>
      <c r="L1234" s="252"/>
      <c r="M1234" s="253"/>
      <c r="N1234" s="208"/>
    </row>
    <row r="1235" spans="2:14" x14ac:dyDescent="0.2">
      <c r="B1235" s="245"/>
      <c r="C1235" s="255"/>
      <c r="D1235" s="247"/>
      <c r="E1235" s="248"/>
      <c r="F1235" s="248"/>
      <c r="G1235" s="205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46"/>
      <c r="D1236" s="247"/>
      <c r="E1236" s="248"/>
      <c r="F1236" s="248"/>
      <c r="G1236" s="261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10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61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61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ht="15" x14ac:dyDescent="0.25">
      <c r="B1242" s="30"/>
      <c r="C1242" s="283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ht="15" x14ac:dyDescent="0.25">
      <c r="B1243" s="30"/>
      <c r="C1243" s="283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ht="15" x14ac:dyDescent="0.25">
      <c r="B1244" s="30"/>
      <c r="C1244" s="283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ht="15" x14ac:dyDescent="0.25">
      <c r="B1245" s="37"/>
      <c r="C1245" s="78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ht="15" x14ac:dyDescent="0.25">
      <c r="B1246" s="37"/>
      <c r="C1246" s="283"/>
      <c r="D1246" s="109"/>
      <c r="E1246" s="68"/>
      <c r="F1246" s="68"/>
      <c r="G1246" s="284"/>
      <c r="H1246" s="211"/>
      <c r="I1246" s="224"/>
      <c r="J1246" s="347"/>
      <c r="K1246" s="69"/>
      <c r="L1246" s="285"/>
      <c r="M1246" s="116"/>
      <c r="N1246" s="212"/>
    </row>
    <row r="1247" spans="2:14" ht="15" x14ac:dyDescent="0.25">
      <c r="B1247" s="37"/>
      <c r="C1247" s="78"/>
      <c r="D1247" s="109"/>
      <c r="E1247" s="68"/>
      <c r="F1247" s="68"/>
      <c r="G1247" s="284"/>
      <c r="H1247" s="211"/>
      <c r="I1247" s="224"/>
      <c r="J1247" s="347"/>
      <c r="K1247" s="69"/>
      <c r="L1247" s="285"/>
      <c r="M1247" s="116"/>
      <c r="N1247" s="212"/>
    </row>
    <row r="1248" spans="2:14" ht="15" x14ac:dyDescent="0.25">
      <c r="B1248" s="37"/>
      <c r="C1248" s="283"/>
      <c r="D1248" s="109"/>
      <c r="E1248" s="68"/>
      <c r="F1248" s="68"/>
      <c r="G1248" s="284"/>
      <c r="H1248" s="211"/>
      <c r="I1248" s="224"/>
      <c r="J1248" s="347"/>
      <c r="K1248" s="69"/>
      <c r="L1248" s="285"/>
      <c r="M1248" s="116"/>
      <c r="N1248" s="212"/>
    </row>
    <row r="1249" spans="2:14" x14ac:dyDescent="0.2">
      <c r="B1249" s="37"/>
      <c r="C1249" s="286"/>
      <c r="D1249" s="37"/>
      <c r="E1249" s="60"/>
      <c r="F1249" s="60"/>
      <c r="G1249" s="213"/>
      <c r="H1249" s="211"/>
      <c r="I1249" s="224"/>
      <c r="J1249" s="347"/>
      <c r="K1249" s="69"/>
      <c r="L1249" s="285"/>
      <c r="M1249" s="116"/>
      <c r="N1249" s="212"/>
    </row>
    <row r="1250" spans="2:14" ht="15" x14ac:dyDescent="0.25">
      <c r="B1250" s="37"/>
      <c r="C1250" s="78"/>
      <c r="D1250" s="109"/>
      <c r="E1250" s="68"/>
      <c r="F1250" s="68"/>
      <c r="G1250" s="214"/>
      <c r="H1250" s="211"/>
      <c r="I1250" s="224"/>
      <c r="J1250" s="347"/>
      <c r="K1250" s="69"/>
      <c r="L1250" s="285"/>
      <c r="M1250" s="116"/>
      <c r="N1250" s="212"/>
    </row>
    <row r="1251" spans="2:14" ht="15" x14ac:dyDescent="0.25">
      <c r="B1251" s="37"/>
      <c r="C1251" s="283"/>
      <c r="D1251" s="109"/>
      <c r="E1251" s="68"/>
      <c r="F1251" s="68"/>
      <c r="G1251" s="284"/>
      <c r="H1251" s="211"/>
      <c r="I1251" s="224"/>
      <c r="J1251" s="347"/>
      <c r="K1251" s="69"/>
      <c r="L1251" s="285"/>
      <c r="M1251" s="116"/>
      <c r="N1251" s="212"/>
    </row>
    <row r="1252" spans="2:14" ht="15" x14ac:dyDescent="0.25">
      <c r="B1252" s="37"/>
      <c r="C1252" s="283"/>
      <c r="D1252" s="109"/>
      <c r="E1252" s="68"/>
      <c r="F1252" s="68"/>
      <c r="G1252" s="284"/>
      <c r="H1252" s="211"/>
      <c r="I1252" s="224"/>
      <c r="J1252" s="347"/>
      <c r="K1252" s="69"/>
      <c r="L1252" s="285"/>
      <c r="M1252" s="116"/>
      <c r="N1252" s="212"/>
    </row>
    <row r="1253" spans="2:14" ht="15" x14ac:dyDescent="0.25">
      <c r="B1253" s="37"/>
      <c r="C1253" s="66"/>
      <c r="D1253" s="287"/>
      <c r="E1253" s="68"/>
      <c r="F1253" s="68"/>
      <c r="G1253" s="214"/>
      <c r="H1253" s="211"/>
      <c r="I1253" s="224"/>
      <c r="J1253" s="347"/>
      <c r="K1253" s="69"/>
      <c r="L1253" s="285"/>
      <c r="M1253" s="116"/>
      <c r="N1253" s="212"/>
    </row>
    <row r="1254" spans="2:14" ht="15" x14ac:dyDescent="0.25">
      <c r="B1254" s="30"/>
      <c r="C1254" s="283"/>
      <c r="D1254" s="109"/>
      <c r="E1254" s="68"/>
      <c r="F1254" s="68"/>
      <c r="G1254" s="288"/>
      <c r="H1254" s="215"/>
      <c r="I1254" s="224"/>
      <c r="J1254" s="347"/>
      <c r="K1254" s="69"/>
      <c r="L1254" s="285"/>
      <c r="M1254" s="116"/>
      <c r="N1254" s="212"/>
    </row>
    <row r="1255" spans="2:14" ht="15" x14ac:dyDescent="0.25">
      <c r="B1255" s="30"/>
      <c r="C1255" s="283"/>
      <c r="D1255" s="109"/>
      <c r="E1255" s="68"/>
      <c r="F1255" s="68"/>
      <c r="G1255" s="284"/>
      <c r="H1255" s="215"/>
      <c r="I1255" s="224"/>
      <c r="J1255" s="347"/>
      <c r="K1255" s="69"/>
      <c r="L1255" s="285"/>
      <c r="M1255" s="116"/>
      <c r="N1255" s="212"/>
    </row>
    <row r="1256" spans="2:14" ht="15" x14ac:dyDescent="0.25">
      <c r="B1256" s="30"/>
      <c r="C1256" s="283"/>
      <c r="D1256" s="109"/>
      <c r="E1256" s="68"/>
      <c r="F1256" s="68"/>
      <c r="G1256" s="284"/>
      <c r="H1256" s="215"/>
      <c r="I1256" s="224"/>
      <c r="J1256" s="347"/>
      <c r="K1256" s="69"/>
      <c r="L1256" s="285"/>
      <c r="M1256" s="116"/>
      <c r="N1256" s="212"/>
    </row>
    <row r="1257" spans="2:14" ht="15" x14ac:dyDescent="0.25">
      <c r="B1257" s="65"/>
      <c r="C1257" s="283"/>
      <c r="D1257" s="109"/>
      <c r="E1257" s="68"/>
      <c r="F1257" s="68"/>
      <c r="G1257" s="284"/>
      <c r="H1257" s="215"/>
      <c r="I1257" s="224"/>
      <c r="J1257" s="347"/>
      <c r="K1257" s="69"/>
      <c r="L1257" s="285"/>
      <c r="M1257" s="116"/>
      <c r="N1257" s="212"/>
    </row>
    <row r="1258" spans="2:14" ht="15" x14ac:dyDescent="0.25">
      <c r="B1258" s="65"/>
      <c r="C1258" s="283"/>
      <c r="D1258" s="109"/>
      <c r="E1258" s="68"/>
      <c r="F1258" s="68"/>
      <c r="G1258" s="284"/>
      <c r="H1258" s="215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78"/>
      <c r="D1259" s="109"/>
      <c r="E1259" s="68"/>
      <c r="F1259" s="68"/>
      <c r="G1259" s="214"/>
      <c r="H1259" s="215"/>
      <c r="I1259" s="224"/>
      <c r="J1259" s="347"/>
      <c r="K1259" s="69"/>
      <c r="L1259" s="285"/>
      <c r="M1259" s="116"/>
      <c r="N1259" s="212"/>
    </row>
    <row r="1260" spans="2:14" ht="15" x14ac:dyDescent="0.25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ht="15" x14ac:dyDescent="0.25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ht="15" x14ac:dyDescent="0.25">
      <c r="B1262" s="65"/>
      <c r="C1262" s="283"/>
      <c r="D1262" s="109"/>
      <c r="E1262" s="68"/>
      <c r="F1262" s="68"/>
      <c r="G1262" s="284"/>
      <c r="H1262" s="215"/>
      <c r="I1262" s="224"/>
      <c r="J1262" s="347"/>
      <c r="K1262" s="69"/>
      <c r="L1262" s="285"/>
      <c r="M1262" s="116"/>
      <c r="N1262" s="212"/>
    </row>
    <row r="1263" spans="2:14" ht="15" x14ac:dyDescent="0.25">
      <c r="B1263" s="65"/>
      <c r="C1263" s="283"/>
      <c r="D1263" s="109"/>
      <c r="E1263" s="68"/>
      <c r="F1263" s="68"/>
      <c r="G1263" s="284"/>
      <c r="H1263" s="215"/>
      <c r="I1263" s="224"/>
      <c r="J1263" s="347"/>
      <c r="K1263" s="69"/>
      <c r="L1263" s="285"/>
      <c r="M1263" s="116"/>
      <c r="N1263" s="212"/>
    </row>
    <row r="1264" spans="2:14" ht="15" x14ac:dyDescent="0.25">
      <c r="B1264" s="65"/>
      <c r="C1264" s="283"/>
      <c r="D1264" s="109"/>
      <c r="E1264" s="68"/>
      <c r="F1264" s="68"/>
      <c r="G1264" s="284"/>
      <c r="H1264" s="215"/>
      <c r="I1264" s="224"/>
      <c r="J1264" s="347"/>
      <c r="K1264" s="69"/>
      <c r="L1264" s="285"/>
      <c r="M1264" s="116"/>
      <c r="N1264" s="212"/>
    </row>
    <row r="1265" spans="2:14" ht="15" x14ac:dyDescent="0.25">
      <c r="B1265" s="65"/>
      <c r="C1265" s="78"/>
      <c r="D1265" s="109"/>
      <c r="E1265" s="68"/>
      <c r="F1265" s="68"/>
      <c r="G1265" s="214"/>
      <c r="H1265" s="215"/>
      <c r="I1265" s="224"/>
      <c r="J1265" s="347"/>
      <c r="K1265" s="69"/>
      <c r="L1265" s="285"/>
      <c r="M1265" s="116"/>
      <c r="N1265" s="212"/>
    </row>
    <row r="1266" spans="2:14" ht="15" x14ac:dyDescent="0.25">
      <c r="B1266" s="65"/>
      <c r="C1266" s="78"/>
      <c r="D1266" s="109"/>
      <c r="E1266" s="68"/>
      <c r="F1266" s="68"/>
      <c r="G1266" s="214"/>
      <c r="H1266" s="215"/>
      <c r="I1266" s="224"/>
      <c r="J1266" s="347"/>
      <c r="K1266" s="69"/>
      <c r="L1266" s="285"/>
      <c r="M1266" s="116"/>
      <c r="N1266" s="212"/>
    </row>
    <row r="1267" spans="2:14" ht="15" x14ac:dyDescent="0.25">
      <c r="B1267" s="65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85"/>
      <c r="M1267" s="116"/>
      <c r="N1267" s="212"/>
    </row>
    <row r="1268" spans="2:14" ht="15" x14ac:dyDescent="0.25">
      <c r="B1268" s="65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85"/>
      <c r="M1268" s="116"/>
      <c r="N1268" s="212"/>
    </row>
    <row r="1269" spans="2:14" ht="15" x14ac:dyDescent="0.25">
      <c r="B1269" s="65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16"/>
      <c r="M1270" s="116"/>
      <c r="N1270" s="212"/>
    </row>
    <row r="1271" spans="2:14" ht="15" x14ac:dyDescent="0.25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78"/>
      <c r="D1272" s="109"/>
      <c r="E1272" s="68"/>
      <c r="F1272" s="68"/>
      <c r="G1272" s="21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16"/>
      <c r="M1273" s="116"/>
      <c r="N1273" s="212"/>
    </row>
    <row r="1274" spans="2:14" ht="15" x14ac:dyDescent="0.25">
      <c r="B1274" s="65"/>
      <c r="C1274" s="78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16"/>
      <c r="M1278" s="116"/>
      <c r="N1278" s="212"/>
    </row>
    <row r="1279" spans="2:14" ht="15" x14ac:dyDescent="0.25">
      <c r="B1279" s="65"/>
      <c r="C1279" s="78"/>
      <c r="D1279" s="109"/>
      <c r="E1279" s="68"/>
      <c r="F1279" s="68"/>
      <c r="G1279" s="21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30"/>
      <c r="C1281" s="78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30"/>
      <c r="C1282" s="78"/>
      <c r="D1282" s="109"/>
      <c r="E1282" s="68"/>
      <c r="F1282" s="68"/>
      <c r="G1282" s="284"/>
      <c r="H1282" s="215"/>
      <c r="I1282" s="224"/>
      <c r="J1282" s="347"/>
      <c r="K1282" s="69"/>
      <c r="L1282" s="216"/>
      <c r="M1282" s="116"/>
      <c r="N1282" s="212"/>
    </row>
    <row r="1283" spans="2:14" ht="15" x14ac:dyDescent="0.25">
      <c r="B1283" s="30"/>
      <c r="C1283" s="78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30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78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78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9"/>
      <c r="D1287" s="290"/>
      <c r="E1287" s="291"/>
      <c r="F1287" s="291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30"/>
      <c r="C1288" s="78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30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30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x14ac:dyDescent="0.2">
      <c r="B1291" s="30"/>
      <c r="C1291" s="78"/>
      <c r="D1291" s="109"/>
      <c r="E1291" s="68"/>
      <c r="F1291" s="68"/>
      <c r="G1291" s="288"/>
      <c r="H1291" s="211"/>
      <c r="I1291" s="224"/>
      <c r="J1291" s="347"/>
      <c r="K1291" s="80"/>
      <c r="L1291" s="285"/>
      <c r="M1291" s="116"/>
      <c r="N1291" s="212"/>
    </row>
    <row r="1292" spans="2:14" ht="15" x14ac:dyDescent="0.25">
      <c r="B1292" s="30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30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30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30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1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16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65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65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65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65"/>
      <c r="C1310" s="78"/>
      <c r="D1310" s="109"/>
      <c r="E1310" s="68"/>
      <c r="F1310" s="68"/>
      <c r="G1310" s="21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30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30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30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292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1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1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65"/>
      <c r="C1329" s="78"/>
      <c r="D1329" s="109"/>
      <c r="E1329" s="68"/>
      <c r="F1329" s="68"/>
      <c r="G1329" s="214"/>
      <c r="H1329" s="215"/>
      <c r="I1329" s="293"/>
      <c r="J1329" s="348"/>
      <c r="K1329" s="69"/>
      <c r="L1329" s="285"/>
      <c r="M1329" s="116"/>
      <c r="N1329" s="212"/>
    </row>
    <row r="1330" spans="2:14" ht="15" x14ac:dyDescent="0.25">
      <c r="B1330" s="292"/>
      <c r="C1330" s="78"/>
      <c r="D1330" s="109"/>
      <c r="E1330" s="68"/>
      <c r="F1330" s="68"/>
      <c r="G1330" s="214"/>
      <c r="H1330" s="215"/>
      <c r="I1330" s="293"/>
      <c r="J1330" s="348"/>
      <c r="K1330" s="69"/>
      <c r="L1330" s="285"/>
      <c r="M1330" s="116"/>
      <c r="N1330" s="212"/>
    </row>
    <row r="1331" spans="2:14" ht="15" x14ac:dyDescent="0.25">
      <c r="B1331" s="292"/>
      <c r="C1331" s="78"/>
      <c r="D1331" s="109"/>
      <c r="E1331" s="68"/>
      <c r="F1331" s="68"/>
      <c r="G1331" s="284"/>
      <c r="H1331" s="215"/>
      <c r="I1331" s="293"/>
      <c r="J1331" s="348"/>
      <c r="K1331" s="69"/>
      <c r="L1331" s="285"/>
      <c r="M1331" s="116"/>
      <c r="N1331" s="212"/>
    </row>
    <row r="1332" spans="2:14" ht="15" x14ac:dyDescent="0.25">
      <c r="B1332" s="292"/>
      <c r="C1332" s="78"/>
      <c r="D1332" s="109"/>
      <c r="E1332" s="68"/>
      <c r="F1332" s="68"/>
      <c r="G1332" s="214"/>
      <c r="H1332" s="215"/>
      <c r="I1332" s="293"/>
      <c r="J1332" s="348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88"/>
      <c r="H1333" s="215"/>
      <c r="I1333" s="293"/>
      <c r="J1333" s="348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93"/>
      <c r="J1334" s="348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93"/>
      <c r="J1335" s="348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13"/>
      <c r="H1336" s="215"/>
      <c r="I1336" s="293"/>
      <c r="J1336" s="348"/>
      <c r="K1336" s="69"/>
      <c r="L1336" s="285"/>
      <c r="M1336" s="116"/>
      <c r="N1336" s="212"/>
    </row>
    <row r="1337" spans="2:14" x14ac:dyDescent="0.2">
      <c r="B1337" s="292"/>
      <c r="C1337" s="78"/>
      <c r="D1337" s="109"/>
      <c r="E1337" s="68"/>
      <c r="F1337" s="68"/>
      <c r="G1337" s="288"/>
      <c r="H1337" s="211"/>
      <c r="I1337" s="224"/>
      <c r="J1337" s="347"/>
      <c r="K1337" s="80"/>
      <c r="L1337" s="216"/>
      <c r="M1337" s="116"/>
      <c r="N1337" s="212"/>
    </row>
    <row r="1338" spans="2:14" ht="15" x14ac:dyDescent="0.25">
      <c r="B1338" s="292"/>
      <c r="C1338" s="78"/>
      <c r="D1338" s="109"/>
      <c r="E1338" s="68"/>
      <c r="F1338" s="68"/>
      <c r="G1338" s="288"/>
      <c r="H1338" s="215"/>
      <c r="I1338" s="293"/>
      <c r="J1338" s="348"/>
      <c r="K1338" s="69"/>
      <c r="L1338" s="285"/>
      <c r="M1338" s="116"/>
      <c r="N1338" s="212"/>
    </row>
    <row r="1339" spans="2:14" ht="15" x14ac:dyDescent="0.25">
      <c r="B1339" s="65"/>
      <c r="C1339" s="289"/>
      <c r="D1339" s="290"/>
      <c r="E1339" s="294"/>
      <c r="F1339" s="295"/>
      <c r="G1339" s="296"/>
      <c r="H1339" s="215"/>
      <c r="I1339" s="293"/>
      <c r="J1339" s="348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77"/>
      <c r="G1340" s="284"/>
      <c r="H1340" s="215"/>
      <c r="I1340" s="293"/>
      <c r="J1340" s="348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77"/>
      <c r="G1341" s="284"/>
      <c r="H1341" s="215"/>
      <c r="I1341" s="293"/>
      <c r="J1341" s="348"/>
      <c r="K1341" s="69"/>
      <c r="L1341" s="285"/>
      <c r="M1341" s="116"/>
      <c r="N1341" s="212"/>
    </row>
    <row r="1342" spans="2:14" ht="15" x14ac:dyDescent="0.25">
      <c r="B1342" s="292"/>
      <c r="C1342" s="78"/>
      <c r="D1342" s="109"/>
      <c r="E1342" s="297"/>
      <c r="F1342" s="298"/>
      <c r="G1342" s="299"/>
      <c r="H1342" s="300"/>
      <c r="I1342" s="301"/>
      <c r="J1342" s="349"/>
      <c r="K1342" s="69"/>
      <c r="L1342" s="285"/>
      <c r="M1342" s="116"/>
      <c r="N1342" s="212"/>
    </row>
    <row r="1343" spans="2:14" ht="15" x14ac:dyDescent="0.25">
      <c r="B1343" s="292"/>
      <c r="C1343" s="78"/>
      <c r="D1343" s="109"/>
      <c r="E1343" s="68"/>
      <c r="F1343" s="77"/>
      <c r="G1343" s="284"/>
      <c r="H1343" s="215"/>
      <c r="I1343" s="293"/>
      <c r="J1343" s="348"/>
      <c r="K1343" s="69"/>
      <c r="L1343" s="285"/>
      <c r="M1343" s="116"/>
      <c r="N1343" s="212"/>
    </row>
    <row r="1344" spans="2:14" ht="15" x14ac:dyDescent="0.25">
      <c r="B1344" s="292"/>
      <c r="C1344" s="78"/>
      <c r="D1344" s="109"/>
      <c r="E1344" s="68"/>
      <c r="F1344" s="77"/>
      <c r="G1344" s="28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77"/>
      <c r="G1345" s="214"/>
      <c r="H1345" s="215"/>
      <c r="I1345" s="293"/>
      <c r="J1345" s="348"/>
      <c r="K1345" s="69"/>
      <c r="L1345" s="216"/>
      <c r="M1345" s="116"/>
      <c r="N1345" s="212"/>
    </row>
    <row r="1346" spans="2:14" ht="15" x14ac:dyDescent="0.25">
      <c r="B1346" s="292"/>
      <c r="C1346" s="78"/>
      <c r="D1346" s="109"/>
      <c r="E1346" s="68"/>
      <c r="F1346" s="77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77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65"/>
      <c r="C1348" s="289"/>
      <c r="D1348" s="290"/>
      <c r="E1348" s="291"/>
      <c r="F1348" s="284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65"/>
      <c r="C1349" s="66"/>
      <c r="D1349" s="109"/>
      <c r="E1349" s="68"/>
      <c r="F1349" s="77"/>
      <c r="G1349" s="296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65"/>
      <c r="C1350" s="78"/>
      <c r="D1350" s="109"/>
      <c r="E1350" s="68"/>
      <c r="F1350" s="77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65"/>
      <c r="C1351" s="78"/>
      <c r="D1351" s="109"/>
      <c r="E1351" s="68"/>
      <c r="F1351" s="77"/>
      <c r="G1351" s="288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65"/>
      <c r="C1352" s="78"/>
      <c r="D1352" s="109"/>
      <c r="E1352" s="68"/>
      <c r="F1352" s="77"/>
      <c r="G1352" s="288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77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66"/>
      <c r="D1357" s="109"/>
      <c r="E1357" s="68"/>
      <c r="F1357" s="77"/>
      <c r="G1357" s="296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1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8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91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91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1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66"/>
      <c r="D1368" s="109"/>
      <c r="E1368" s="68"/>
      <c r="F1368" s="77"/>
      <c r="G1368" s="296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66"/>
      <c r="D1369" s="109"/>
      <c r="E1369" s="68"/>
      <c r="F1369" s="68"/>
      <c r="G1369" s="296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14"/>
      <c r="H1370" s="215"/>
      <c r="I1370" s="293"/>
      <c r="J1370" s="348"/>
      <c r="K1370" s="69"/>
      <c r="L1370" s="285"/>
      <c r="M1370" s="116"/>
      <c r="N1370" s="212"/>
    </row>
    <row r="1371" spans="2:14" x14ac:dyDescent="0.2">
      <c r="B1371" s="65"/>
      <c r="C1371" s="78"/>
      <c r="D1371" s="109"/>
      <c r="E1371" s="68"/>
      <c r="F1371" s="77"/>
      <c r="G1371" s="302"/>
      <c r="H1371" s="211"/>
      <c r="I1371" s="224"/>
      <c r="J1371" s="347"/>
      <c r="K1371" s="80"/>
      <c r="L1371" s="285"/>
      <c r="M1371" s="116"/>
      <c r="N1371" s="212"/>
    </row>
    <row r="1372" spans="2:14" ht="15" x14ac:dyDescent="0.25">
      <c r="B1372" s="65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65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65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65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65"/>
      <c r="C1376" s="66"/>
      <c r="D1376" s="109"/>
      <c r="E1376" s="68"/>
      <c r="F1376" s="77"/>
      <c r="G1376" s="296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65"/>
      <c r="C1377" s="66"/>
      <c r="D1377" s="109"/>
      <c r="E1377" s="68"/>
      <c r="F1377" s="77"/>
      <c r="G1377" s="296"/>
      <c r="H1377" s="303"/>
      <c r="I1377" s="225"/>
      <c r="J1377" s="350"/>
      <c r="K1377" s="69"/>
      <c r="L1377" s="285"/>
      <c r="M1377" s="116"/>
      <c r="N1377" s="212"/>
    </row>
    <row r="1378" spans="2:14" ht="15" x14ac:dyDescent="0.25">
      <c r="B1378" s="65"/>
      <c r="C1378" s="289"/>
      <c r="D1378" s="290"/>
      <c r="E1378" s="291"/>
      <c r="F1378" s="304"/>
      <c r="G1378" s="284"/>
      <c r="H1378" s="303"/>
      <c r="I1378" s="225"/>
      <c r="J1378" s="350"/>
      <c r="K1378" s="69"/>
      <c r="L1378" s="285"/>
      <c r="M1378" s="116"/>
      <c r="N1378" s="212"/>
    </row>
    <row r="1379" spans="2:14" ht="15" x14ac:dyDescent="0.25">
      <c r="B1379" s="65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ht="15" x14ac:dyDescent="0.25">
      <c r="B1380" s="65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ht="15" x14ac:dyDescent="0.25">
      <c r="B1381" s="65"/>
      <c r="C1381" s="66"/>
      <c r="D1381" s="109"/>
      <c r="E1381" s="68"/>
      <c r="F1381" s="77"/>
      <c r="G1381" s="296"/>
      <c r="H1381" s="303"/>
      <c r="I1381" s="225"/>
      <c r="J1381" s="350"/>
      <c r="K1381" s="69"/>
      <c r="L1381" s="285"/>
      <c r="M1381" s="116"/>
      <c r="N1381" s="212"/>
    </row>
    <row r="1382" spans="2:14" ht="15" x14ac:dyDescent="0.25">
      <c r="B1382" s="91"/>
      <c r="C1382" s="66"/>
      <c r="D1382" s="109"/>
      <c r="E1382" s="68"/>
      <c r="F1382" s="77"/>
      <c r="G1382" s="296"/>
      <c r="H1382" s="303"/>
      <c r="I1382" s="225"/>
      <c r="J1382" s="350"/>
      <c r="K1382" s="69"/>
      <c r="L1382" s="285"/>
      <c r="M1382" s="116"/>
      <c r="N1382" s="212"/>
    </row>
    <row r="1383" spans="2:14" ht="15" x14ac:dyDescent="0.25">
      <c r="B1383" s="91"/>
      <c r="C1383" s="66"/>
      <c r="D1383" s="109"/>
      <c r="E1383" s="68"/>
      <c r="F1383" s="77"/>
      <c r="G1383" s="296"/>
      <c r="H1383" s="303"/>
      <c r="I1383" s="225"/>
      <c r="J1383" s="350"/>
      <c r="K1383" s="69"/>
      <c r="L1383" s="285"/>
      <c r="M1383" s="116"/>
      <c r="N1383" s="212"/>
    </row>
    <row r="1384" spans="2:14" ht="15" x14ac:dyDescent="0.25">
      <c r="B1384" s="91"/>
      <c r="C1384" s="78"/>
      <c r="D1384" s="109"/>
      <c r="E1384" s="68"/>
      <c r="F1384" s="68"/>
      <c r="G1384" s="21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ht="15" x14ac:dyDescent="0.25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ht="15" x14ac:dyDescent="0.25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ht="15" x14ac:dyDescent="0.25">
      <c r="B1391" s="91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91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91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78"/>
      <c r="D1397" s="109"/>
      <c r="E1397" s="68"/>
      <c r="F1397" s="77"/>
      <c r="G1397" s="214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78"/>
      <c r="D1398" s="109"/>
      <c r="E1398" s="68"/>
      <c r="F1398" s="77"/>
      <c r="G1398" s="214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68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68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68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23"/>
      <c r="D1416" s="37"/>
      <c r="E1416" s="60"/>
      <c r="F1416" s="26"/>
      <c r="G1416" s="2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65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65"/>
      <c r="C1418" s="78"/>
      <c r="D1418" s="109"/>
      <c r="E1418" s="68"/>
      <c r="F1418" s="77"/>
      <c r="G1418" s="305"/>
      <c r="H1418" s="215"/>
      <c r="I1418" s="293"/>
      <c r="J1418" s="348"/>
      <c r="K1418" s="69"/>
      <c r="L1418" s="216"/>
      <c r="M1418" s="116"/>
      <c r="N1418" s="212"/>
    </row>
    <row r="1419" spans="2:14" ht="15" x14ac:dyDescent="0.25">
      <c r="B1419" s="91"/>
      <c r="C1419" s="78"/>
      <c r="D1419" s="109"/>
      <c r="E1419" s="68"/>
      <c r="F1419" s="77"/>
      <c r="G1419" s="302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78"/>
      <c r="D1422" s="109"/>
      <c r="E1422" s="68"/>
      <c r="F1422" s="77"/>
      <c r="G1422" s="214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78"/>
      <c r="D1423" s="109"/>
      <c r="E1423" s="68"/>
      <c r="F1423" s="77"/>
      <c r="G1423" s="214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23"/>
      <c r="D1426" s="37"/>
      <c r="E1426" s="60"/>
      <c r="F1426" s="26"/>
      <c r="G1426" s="104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23"/>
      <c r="D1429" s="290"/>
      <c r="E1429" s="291"/>
      <c r="F1429" s="304"/>
      <c r="G1429" s="28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91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91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91"/>
      <c r="C1432" s="66"/>
      <c r="D1432" s="109"/>
      <c r="E1432" s="68"/>
      <c r="F1432" s="77"/>
      <c r="G1432" s="296"/>
      <c r="H1432" s="303"/>
      <c r="I1432" s="225"/>
      <c r="J1432" s="350"/>
      <c r="K1432" s="80"/>
      <c r="L1432" s="285"/>
      <c r="M1432" s="116"/>
      <c r="N1432" s="212"/>
    </row>
    <row r="1433" spans="2:14" ht="15" x14ac:dyDescent="0.25">
      <c r="B1433" s="91"/>
      <c r="C1433" s="23"/>
      <c r="D1433" s="37"/>
      <c r="E1433" s="60"/>
      <c r="F1433" s="26"/>
      <c r="G1433" s="104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66"/>
      <c r="D1434" s="109"/>
      <c r="E1434" s="68"/>
      <c r="F1434" s="77"/>
      <c r="G1434" s="296"/>
      <c r="H1434" s="303"/>
      <c r="I1434" s="225"/>
      <c r="J1434" s="350"/>
      <c r="K1434" s="27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214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290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86"/>
      <c r="D1444" s="286"/>
      <c r="E1444" s="306"/>
      <c r="F1444" s="307"/>
      <c r="G1444" s="307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78"/>
      <c r="D1445" s="109"/>
      <c r="E1445" s="68"/>
      <c r="F1445" s="77"/>
      <c r="G1445" s="214"/>
      <c r="H1445" s="215"/>
      <c r="I1445" s="293"/>
      <c r="J1445" s="348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65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65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65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65"/>
      <c r="C1454" s="78"/>
      <c r="D1454" s="109"/>
      <c r="E1454" s="68"/>
      <c r="F1454" s="77"/>
      <c r="G1454" s="308"/>
      <c r="H1454" s="215"/>
      <c r="I1454" s="293"/>
      <c r="J1454" s="348"/>
      <c r="K1454" s="69"/>
      <c r="L1454" s="216"/>
      <c r="M1454" s="116"/>
      <c r="N1454" s="212"/>
    </row>
    <row r="1455" spans="2:14" ht="15" x14ac:dyDescent="0.25">
      <c r="B1455" s="65"/>
      <c r="C1455" s="66"/>
      <c r="D1455" s="109"/>
      <c r="E1455" s="68"/>
      <c r="F1455" s="77"/>
      <c r="G1455" s="309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309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121"/>
      <c r="I1457" s="107"/>
      <c r="J1457" s="351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121"/>
      <c r="I1458" s="107"/>
      <c r="J1458" s="351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310"/>
      <c r="H1459" s="121"/>
      <c r="I1459" s="107"/>
      <c r="J1459" s="351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121"/>
      <c r="I1460" s="107"/>
      <c r="J1460" s="351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104"/>
      <c r="H1461" s="121"/>
      <c r="I1461" s="107"/>
      <c r="J1461" s="351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121"/>
      <c r="I1462" s="107"/>
      <c r="J1462" s="351"/>
      <c r="K1462" s="69"/>
      <c r="L1462" s="285"/>
      <c r="M1462" s="116"/>
      <c r="N1462" s="212"/>
    </row>
    <row r="1463" spans="2:14" ht="15" x14ac:dyDescent="0.25">
      <c r="B1463" s="91"/>
      <c r="C1463" s="78"/>
      <c r="D1463" s="109"/>
      <c r="E1463" s="68"/>
      <c r="F1463" s="77"/>
      <c r="G1463" s="311"/>
      <c r="H1463" s="121"/>
      <c r="I1463" s="107"/>
      <c r="J1463" s="351"/>
      <c r="K1463" s="69"/>
      <c r="L1463" s="285"/>
      <c r="M1463" s="116"/>
      <c r="N1463" s="212"/>
    </row>
    <row r="1464" spans="2:14" ht="15" x14ac:dyDescent="0.25">
      <c r="B1464" s="91"/>
      <c r="C1464" s="66"/>
      <c r="D1464" s="109"/>
      <c r="E1464" s="68"/>
      <c r="F1464" s="77"/>
      <c r="G1464" s="104"/>
      <c r="H1464" s="121"/>
      <c r="I1464" s="107"/>
      <c r="J1464" s="351"/>
      <c r="K1464" s="69"/>
      <c r="L1464" s="285"/>
      <c r="M1464" s="116"/>
      <c r="N1464" s="212"/>
    </row>
    <row r="1465" spans="2:14" ht="15" x14ac:dyDescent="0.25">
      <c r="B1465" s="91"/>
      <c r="C1465" s="66"/>
      <c r="D1465" s="109"/>
      <c r="E1465" s="68"/>
      <c r="F1465" s="68"/>
      <c r="G1465" s="104"/>
      <c r="H1465" s="121"/>
      <c r="I1465" s="107"/>
      <c r="J1465" s="351"/>
      <c r="K1465" s="69"/>
      <c r="L1465" s="285"/>
      <c r="M1465" s="116"/>
      <c r="N1465" s="212"/>
    </row>
    <row r="1466" spans="2:14" ht="15" x14ac:dyDescent="0.25">
      <c r="B1466" s="91"/>
      <c r="C1466" s="66"/>
      <c r="D1466" s="109"/>
      <c r="E1466" s="68"/>
      <c r="F1466" s="77"/>
      <c r="G1466" s="296"/>
      <c r="H1466" s="121"/>
      <c r="I1466" s="107"/>
      <c r="J1466" s="351"/>
      <c r="K1466" s="69"/>
      <c r="L1466" s="285"/>
      <c r="M1466" s="116"/>
      <c r="N1466" s="212"/>
    </row>
    <row r="1467" spans="2:14" ht="15" x14ac:dyDescent="0.25">
      <c r="B1467" s="91"/>
      <c r="C1467" s="66"/>
      <c r="D1467" s="109"/>
      <c r="E1467" s="68"/>
      <c r="F1467" s="77"/>
      <c r="G1467" s="104"/>
      <c r="H1467" s="121"/>
      <c r="I1467" s="107"/>
      <c r="J1467" s="351"/>
      <c r="K1467" s="69"/>
      <c r="L1467" s="285"/>
      <c r="M1467" s="116"/>
      <c r="N1467" s="212"/>
    </row>
    <row r="1468" spans="2:14" ht="15" x14ac:dyDescent="0.25">
      <c r="B1468" s="91"/>
      <c r="C1468" s="66"/>
      <c r="D1468" s="109"/>
      <c r="E1468" s="68"/>
      <c r="F1468" s="77"/>
      <c r="G1468" s="104"/>
      <c r="H1468" s="121"/>
      <c r="I1468" s="107"/>
      <c r="J1468" s="351"/>
      <c r="K1468" s="69"/>
      <c r="L1468" s="285"/>
      <c r="M1468" s="116"/>
      <c r="N1468" s="212"/>
    </row>
    <row r="1469" spans="2:14" ht="15" x14ac:dyDescent="0.25">
      <c r="B1469" s="91"/>
      <c r="C1469" s="66"/>
      <c r="D1469" s="109"/>
      <c r="E1469" s="68"/>
      <c r="F1469" s="77"/>
      <c r="G1469" s="104"/>
      <c r="H1469" s="121"/>
      <c r="I1469" s="107"/>
      <c r="J1469" s="351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11"/>
      <c r="H1470" s="312"/>
      <c r="I1470" s="313"/>
      <c r="J1470" s="352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91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91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91"/>
      <c r="C1476" s="78"/>
      <c r="D1476" s="109"/>
      <c r="E1476" s="68"/>
      <c r="F1476" s="77"/>
      <c r="G1476" s="311"/>
      <c r="H1476" s="312"/>
      <c r="I1476" s="313"/>
      <c r="J1476" s="352"/>
      <c r="K1476" s="69"/>
      <c r="L1476" s="285"/>
      <c r="M1476" s="116"/>
      <c r="N1476" s="212"/>
    </row>
    <row r="1477" spans="2:14" ht="15" x14ac:dyDescent="0.25">
      <c r="B1477" s="91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78"/>
      <c r="D1481" s="109"/>
      <c r="E1481" s="68"/>
      <c r="F1481" s="77"/>
      <c r="G1481" s="311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65"/>
      <c r="C1482" s="78"/>
      <c r="D1482" s="109"/>
      <c r="E1482" s="68"/>
      <c r="F1482" s="77"/>
      <c r="G1482" s="311"/>
      <c r="H1482" s="312"/>
      <c r="I1482" s="313"/>
      <c r="J1482" s="352"/>
      <c r="K1482" s="69"/>
      <c r="L1482" s="216"/>
      <c r="M1482" s="116"/>
      <c r="N1482" s="212"/>
    </row>
    <row r="1483" spans="2:14" ht="15.75" x14ac:dyDescent="0.25">
      <c r="B1483" s="314"/>
      <c r="C1483" s="78"/>
      <c r="D1483" s="109"/>
      <c r="E1483" s="68"/>
      <c r="F1483" s="77"/>
      <c r="G1483" s="311"/>
      <c r="H1483" s="312"/>
      <c r="I1483" s="313"/>
      <c r="J1483" s="352"/>
      <c r="K1483" s="69"/>
      <c r="L1483" s="216"/>
      <c r="M1483" s="116"/>
      <c r="N1483" s="212"/>
    </row>
    <row r="1484" spans="2:14" ht="15.75" x14ac:dyDescent="0.25">
      <c r="B1484" s="315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126"/>
      <c r="M1484" s="116"/>
      <c r="N1484" s="217"/>
    </row>
    <row r="1485" spans="2:14" ht="15.75" x14ac:dyDescent="0.25">
      <c r="B1485" s="31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126"/>
      <c r="M1485" s="116"/>
      <c r="N1485" s="217"/>
    </row>
    <row r="1486" spans="2:14" ht="15.75" x14ac:dyDescent="0.25">
      <c r="B1486" s="314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16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126"/>
      <c r="M1487" s="116"/>
      <c r="N1487" s="217"/>
    </row>
    <row r="1488" spans="2:14" ht="15" x14ac:dyDescent="0.25">
      <c r="B1488" s="91"/>
      <c r="C1488" s="316"/>
      <c r="D1488" s="65"/>
      <c r="E1488" s="68"/>
      <c r="F1488" s="117"/>
      <c r="G1488" s="117"/>
      <c r="H1488" s="121"/>
      <c r="I1488" s="107"/>
      <c r="J1488" s="351"/>
      <c r="K1488" s="69"/>
      <c r="L1488" s="126"/>
      <c r="M1488" s="116"/>
      <c r="N1488" s="217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126"/>
      <c r="M1491" s="116"/>
      <c r="N1491" s="212"/>
    </row>
    <row r="1492" spans="2:14" ht="15" x14ac:dyDescent="0.25">
      <c r="B1492" s="65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126"/>
      <c r="M1492" s="116"/>
      <c r="N1492" s="212"/>
    </row>
    <row r="1493" spans="2:14" ht="15" x14ac:dyDescent="0.25">
      <c r="B1493" s="65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126"/>
      <c r="M1493" s="116"/>
      <c r="N1493" s="212"/>
    </row>
    <row r="1494" spans="2:14" ht="15" x14ac:dyDescent="0.25">
      <c r="B1494" s="65"/>
      <c r="C1494" s="78"/>
      <c r="D1494" s="109"/>
      <c r="E1494" s="68"/>
      <c r="F1494" s="77"/>
      <c r="G1494" s="311"/>
      <c r="H1494" s="312"/>
      <c r="I1494" s="107"/>
      <c r="J1494" s="351"/>
      <c r="K1494" s="69"/>
      <c r="L1494" s="126"/>
      <c r="M1494" s="116"/>
      <c r="N1494" s="212"/>
    </row>
    <row r="1495" spans="2:14" ht="15" x14ac:dyDescent="0.25">
      <c r="B1495" s="65"/>
      <c r="C1495" s="78"/>
      <c r="D1495" s="109"/>
      <c r="E1495" s="68"/>
      <c r="F1495" s="77"/>
      <c r="G1495" s="311"/>
      <c r="H1495" s="312"/>
      <c r="I1495" s="313"/>
      <c r="J1495" s="352"/>
      <c r="K1495" s="69"/>
      <c r="L1495" s="126"/>
      <c r="M1495" s="116"/>
      <c r="N1495" s="212"/>
    </row>
    <row r="1496" spans="2:14" ht="15" x14ac:dyDescent="0.25">
      <c r="B1496" s="65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126"/>
      <c r="M1496" s="116"/>
      <c r="N1496" s="212"/>
    </row>
    <row r="1497" spans="2:14" ht="15" x14ac:dyDescent="0.25">
      <c r="B1497" s="65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126"/>
      <c r="M1497" s="116"/>
      <c r="N1497" s="212"/>
    </row>
    <row r="1498" spans="2:14" ht="15" x14ac:dyDescent="0.25">
      <c r="B1498" s="65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16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" x14ac:dyDescent="0.25">
      <c r="B1500" s="6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216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1"/>
      <c r="H1501" s="312"/>
      <c r="I1501" s="107"/>
      <c r="J1501" s="351"/>
      <c r="K1501" s="69"/>
      <c r="L1501" s="285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65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ht="15" x14ac:dyDescent="0.25">
      <c r="B1506" s="65"/>
      <c r="C1506" s="78"/>
      <c r="D1506" s="109"/>
      <c r="E1506" s="68"/>
      <c r="F1506" s="77"/>
      <c r="G1506" s="311"/>
      <c r="H1506" s="312"/>
      <c r="I1506" s="313"/>
      <c r="J1506" s="352"/>
      <c r="K1506" s="69"/>
      <c r="L1506" s="216"/>
      <c r="M1506" s="116"/>
      <c r="N1506" s="212"/>
    </row>
    <row r="1507" spans="2:14" ht="15" x14ac:dyDescent="0.25">
      <c r="B1507" s="65"/>
      <c r="C1507" s="78"/>
      <c r="D1507" s="109"/>
      <c r="E1507" s="68"/>
      <c r="F1507" s="77"/>
      <c r="G1507" s="311"/>
      <c r="H1507" s="312"/>
      <c r="I1507" s="313"/>
      <c r="J1507" s="352"/>
      <c r="K1507" s="69"/>
      <c r="L1507" s="216"/>
      <c r="M1507" s="116"/>
      <c r="N1507" s="212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7"/>
    </row>
    <row r="1509" spans="2:14" ht="15" x14ac:dyDescent="0.25">
      <c r="B1509" s="91"/>
      <c r="C1509" s="66"/>
      <c r="D1509" s="109"/>
      <c r="E1509" s="68"/>
      <c r="F1509" s="77"/>
      <c r="G1509" s="104"/>
      <c r="H1509" s="123"/>
      <c r="I1509" s="107"/>
      <c r="J1509" s="351"/>
      <c r="K1509" s="69"/>
      <c r="L1509" s="126"/>
      <c r="M1509" s="116"/>
      <c r="N1509" s="217"/>
    </row>
    <row r="1510" spans="2:14" ht="15" x14ac:dyDescent="0.25">
      <c r="B1510" s="91"/>
      <c r="C1510" s="66"/>
      <c r="D1510" s="109"/>
      <c r="E1510" s="68"/>
      <c r="F1510" s="77"/>
      <c r="G1510" s="104"/>
      <c r="H1510" s="121"/>
      <c r="I1510" s="107"/>
      <c r="J1510" s="351"/>
      <c r="K1510" s="80"/>
      <c r="L1510" s="126"/>
      <c r="M1510" s="117"/>
      <c r="N1510" s="217"/>
    </row>
    <row r="1511" spans="2:14" ht="15" x14ac:dyDescent="0.25">
      <c r="B1511" s="37"/>
      <c r="C1511" s="66"/>
      <c r="D1511" s="109"/>
      <c r="E1511" s="68"/>
      <c r="F1511" s="77"/>
      <c r="G1511" s="104"/>
      <c r="H1511" s="123"/>
      <c r="I1511" s="107"/>
      <c r="J1511" s="351"/>
      <c r="K1511" s="80"/>
      <c r="L1511" s="126"/>
      <c r="M1511" s="116"/>
      <c r="N1511" s="217"/>
    </row>
    <row r="1512" spans="2:14" ht="15" x14ac:dyDescent="0.25">
      <c r="B1512" s="37"/>
      <c r="C1512" s="66"/>
      <c r="D1512" s="109"/>
      <c r="E1512" s="68"/>
      <c r="F1512" s="68"/>
      <c r="G1512" s="104"/>
      <c r="H1512" s="121"/>
      <c r="I1512" s="107"/>
      <c r="J1512" s="351"/>
      <c r="K1512" s="69"/>
      <c r="L1512" s="126"/>
      <c r="M1512" s="116"/>
      <c r="N1512" s="217"/>
    </row>
    <row r="1513" spans="2:14" ht="15" x14ac:dyDescent="0.25">
      <c r="B1513" s="37"/>
      <c r="C1513" s="316"/>
      <c r="D1513" s="65"/>
      <c r="E1513" s="68"/>
      <c r="F1513" s="117"/>
      <c r="G1513" s="117"/>
      <c r="H1513" s="121"/>
      <c r="I1513" s="107"/>
      <c r="J1513" s="351"/>
      <c r="K1513" s="69"/>
      <c r="L1513" s="126"/>
      <c r="M1513" s="116"/>
      <c r="N1513" s="217"/>
    </row>
    <row r="1514" spans="2:14" ht="15" x14ac:dyDescent="0.25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ht="15" x14ac:dyDescent="0.25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ht="15" x14ac:dyDescent="0.25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ht="15" x14ac:dyDescent="0.25">
      <c r="B1517" s="37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126"/>
      <c r="M1517" s="116"/>
      <c r="N1517" s="217"/>
    </row>
    <row r="1518" spans="2:14" ht="15" x14ac:dyDescent="0.25">
      <c r="B1518" s="37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126"/>
      <c r="M1518" s="116"/>
      <c r="N1518" s="217"/>
    </row>
    <row r="1519" spans="2:14" ht="15" x14ac:dyDescent="0.25">
      <c r="B1519" s="37"/>
      <c r="C1519" s="66"/>
      <c r="D1519" s="109"/>
      <c r="E1519" s="68"/>
      <c r="F1519" s="77"/>
      <c r="G1519" s="104"/>
      <c r="H1519" s="121"/>
      <c r="I1519" s="107"/>
      <c r="J1519" s="351"/>
      <c r="K1519" s="69"/>
      <c r="L1519" s="126"/>
      <c r="M1519" s="116"/>
      <c r="N1519" s="217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91"/>
      <c r="C1521" s="66"/>
      <c r="D1521" s="109"/>
      <c r="E1521" s="68"/>
      <c r="F1521" s="77"/>
      <c r="G1521" s="104"/>
      <c r="H1521" s="121"/>
      <c r="I1521" s="107"/>
      <c r="J1521" s="351"/>
      <c r="K1521" s="69"/>
      <c r="L1521" s="126"/>
      <c r="M1521" s="116"/>
      <c r="N1521" s="217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78"/>
      <c r="D1525" s="109"/>
      <c r="E1525" s="68"/>
      <c r="F1525" s="77"/>
      <c r="G1525" s="311"/>
      <c r="H1525" s="312"/>
      <c r="I1525" s="107"/>
      <c r="J1525" s="351"/>
      <c r="K1525" s="69"/>
      <c r="L1525" s="126"/>
      <c r="M1525" s="116"/>
      <c r="N1525" s="217"/>
    </row>
    <row r="1526" spans="2:14" ht="15" x14ac:dyDescent="0.25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ht="15" x14ac:dyDescent="0.25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ht="15" x14ac:dyDescent="0.25">
      <c r="B1528" s="65"/>
      <c r="C1528" s="78"/>
      <c r="D1528" s="109"/>
      <c r="E1528" s="68"/>
      <c r="F1528" s="77"/>
      <c r="G1528" s="311"/>
      <c r="H1528" s="312"/>
      <c r="I1528" s="313"/>
      <c r="J1528" s="352"/>
      <c r="K1528" s="69"/>
      <c r="L1528" s="216"/>
      <c r="M1528" s="116"/>
      <c r="N1528" s="212"/>
    </row>
    <row r="1529" spans="2:14" ht="15" x14ac:dyDescent="0.25">
      <c r="B1529" s="65"/>
      <c r="C1529" s="78"/>
      <c r="D1529" s="109"/>
      <c r="E1529" s="68"/>
      <c r="F1529" s="77"/>
      <c r="G1529" s="311"/>
      <c r="H1529" s="312"/>
      <c r="I1529" s="313"/>
      <c r="J1529" s="352"/>
      <c r="K1529" s="69"/>
      <c r="L1529" s="216"/>
      <c r="M1529" s="116"/>
      <c r="N1529" s="212"/>
    </row>
    <row r="1530" spans="2:14" ht="15" x14ac:dyDescent="0.25">
      <c r="B1530" s="65"/>
      <c r="C1530" s="78"/>
      <c r="D1530" s="109"/>
      <c r="E1530" s="68"/>
      <c r="F1530" s="77"/>
      <c r="G1530" s="311"/>
      <c r="H1530" s="312"/>
      <c r="I1530" s="313"/>
      <c r="J1530" s="352"/>
      <c r="K1530" s="69"/>
      <c r="L1530" s="216"/>
      <c r="M1530" s="116"/>
      <c r="N1530" s="212"/>
    </row>
    <row r="1531" spans="2:14" ht="15" x14ac:dyDescent="0.25">
      <c r="B1531" s="91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91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91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91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66"/>
      <c r="D1540" s="109"/>
      <c r="E1540" s="68"/>
      <c r="F1540" s="68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123"/>
      <c r="I1543" s="107"/>
      <c r="J1543" s="351"/>
      <c r="K1543" s="69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x14ac:dyDescent="0.2">
      <c r="B1545" s="91"/>
      <c r="C1545" s="66"/>
      <c r="D1545" s="109"/>
      <c r="E1545" s="68"/>
      <c r="F1545" s="77"/>
      <c r="G1545" s="104"/>
      <c r="H1545" s="121"/>
      <c r="I1545" s="129"/>
      <c r="J1545" s="353"/>
      <c r="K1545" s="80"/>
      <c r="L1545" s="126"/>
      <c r="M1545" s="116"/>
      <c r="N1545" s="217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317"/>
    </row>
    <row r="1548" spans="2:14" ht="15" x14ac:dyDescent="0.25">
      <c r="B1548" s="65"/>
      <c r="C1548" s="78"/>
      <c r="D1548" s="109"/>
      <c r="E1548" s="68"/>
      <c r="F1548" s="77"/>
      <c r="G1548" s="311"/>
      <c r="H1548" s="312"/>
      <c r="I1548" s="313"/>
      <c r="J1548" s="352"/>
      <c r="K1548" s="69"/>
      <c r="L1548" s="216"/>
      <c r="M1548" s="116"/>
      <c r="N1548" s="317"/>
    </row>
    <row r="1549" spans="2:14" ht="15" x14ac:dyDescent="0.25">
      <c r="B1549" s="65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2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2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2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2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313"/>
      <c r="J1553" s="352"/>
      <c r="K1553" s="69"/>
      <c r="L1553" s="216"/>
      <c r="M1553" s="116"/>
      <c r="N1553" s="212"/>
    </row>
    <row r="1554" spans="2:14" ht="15" x14ac:dyDescent="0.25">
      <c r="B1554" s="65"/>
      <c r="C1554" s="78"/>
      <c r="D1554" s="109"/>
      <c r="E1554" s="68"/>
      <c r="F1554" s="77"/>
      <c r="G1554" s="311"/>
      <c r="H1554" s="312"/>
      <c r="I1554" s="313"/>
      <c r="J1554" s="352"/>
      <c r="K1554" s="69"/>
      <c r="L1554" s="216"/>
      <c r="M1554" s="116"/>
      <c r="N1554" s="212"/>
    </row>
    <row r="1555" spans="2:14" ht="15" x14ac:dyDescent="0.25">
      <c r="B1555" s="65"/>
      <c r="C1555" s="78"/>
      <c r="D1555" s="109"/>
      <c r="E1555" s="68"/>
      <c r="F1555" s="77"/>
      <c r="G1555" s="311"/>
      <c r="H1555" s="312"/>
      <c r="I1555" s="313"/>
      <c r="J1555" s="352"/>
      <c r="K1555" s="69"/>
      <c r="L1555" s="216"/>
      <c r="M1555" s="116"/>
      <c r="N1555" s="212"/>
    </row>
    <row r="1556" spans="2:14" ht="15" x14ac:dyDescent="0.25">
      <c r="B1556" s="65"/>
      <c r="C1556" s="78"/>
      <c r="D1556" s="109"/>
      <c r="E1556" s="68"/>
      <c r="F1556" s="77"/>
      <c r="G1556" s="311"/>
      <c r="H1556" s="312"/>
      <c r="I1556" s="313"/>
      <c r="J1556" s="352"/>
      <c r="K1556" s="69"/>
      <c r="L1556" s="216"/>
      <c r="M1556" s="116"/>
      <c r="N1556" s="212"/>
    </row>
    <row r="1557" spans="2:14" ht="15" x14ac:dyDescent="0.25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79"/>
      <c r="L1558" s="126"/>
      <c r="M1558" s="115"/>
      <c r="N1558" s="217"/>
    </row>
    <row r="1559" spans="2:14" ht="15" x14ac:dyDescent="0.25">
      <c r="B1559" s="91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91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91"/>
      <c r="C1561" s="66"/>
      <c r="D1561" s="109"/>
      <c r="E1561" s="68"/>
      <c r="F1561" s="77"/>
      <c r="G1561" s="104"/>
      <c r="H1561" s="121"/>
      <c r="I1561" s="107"/>
      <c r="J1561" s="351"/>
      <c r="K1561" s="79"/>
      <c r="L1561" s="126"/>
      <c r="M1561" s="115"/>
      <c r="N1561" s="217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7"/>
    </row>
    <row r="1567" spans="2:14" ht="15" x14ac:dyDescent="0.25">
      <c r="B1567" s="65"/>
      <c r="C1567" s="78"/>
      <c r="D1567" s="109"/>
      <c r="E1567" s="68"/>
      <c r="F1567" s="77"/>
      <c r="G1567" s="311"/>
      <c r="H1567" s="312"/>
      <c r="I1567" s="107"/>
      <c r="J1567" s="351"/>
      <c r="K1567" s="69"/>
      <c r="L1567" s="126"/>
      <c r="M1567" s="116"/>
      <c r="N1567" s="217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7"/>
    </row>
    <row r="1569" spans="2:14" ht="15" x14ac:dyDescent="0.25">
      <c r="B1569" s="65"/>
      <c r="C1569" s="66"/>
      <c r="D1569" s="109"/>
      <c r="E1569" s="68"/>
      <c r="F1569" s="77"/>
      <c r="G1569" s="104"/>
      <c r="H1569" s="123"/>
      <c r="I1569" s="107"/>
      <c r="J1569" s="351"/>
      <c r="K1569" s="69"/>
      <c r="L1569" s="126"/>
      <c r="M1569" s="116"/>
      <c r="N1569" s="217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7"/>
    </row>
    <row r="1571" spans="2:14" ht="15" x14ac:dyDescent="0.25">
      <c r="B1571" s="65"/>
      <c r="C1571" s="66"/>
      <c r="D1571" s="109"/>
      <c r="E1571" s="68"/>
      <c r="F1571" s="77"/>
      <c r="G1571" s="104"/>
      <c r="H1571" s="121"/>
      <c r="I1571" s="107"/>
      <c r="J1571" s="351"/>
      <c r="K1571" s="69"/>
      <c r="L1571" s="126"/>
      <c r="M1571" s="116"/>
      <c r="N1571" s="217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107"/>
      <c r="J1572" s="351"/>
      <c r="K1572" s="69"/>
      <c r="L1572" s="126"/>
      <c r="M1572" s="116"/>
      <c r="N1572" s="217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65"/>
      <c r="C1575" s="78"/>
      <c r="D1575" s="109"/>
      <c r="E1575" s="68"/>
      <c r="F1575" s="77"/>
      <c r="G1575" s="311"/>
      <c r="H1575" s="312"/>
      <c r="I1575" s="313"/>
      <c r="J1575" s="352"/>
      <c r="K1575" s="69"/>
      <c r="L1575" s="216"/>
      <c r="M1575" s="116"/>
      <c r="N1575" s="212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0"/>
      <c r="M1576" s="116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0"/>
      <c r="M1577" s="116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0"/>
      <c r="M1578" s="116"/>
      <c r="N1578" s="218"/>
    </row>
    <row r="1579" spans="2:14" ht="15" x14ac:dyDescent="0.25">
      <c r="B1579" s="91"/>
      <c r="C1579" s="66"/>
      <c r="D1579" s="109"/>
      <c r="E1579" s="68"/>
      <c r="F1579" s="68"/>
      <c r="G1579" s="104"/>
      <c r="H1579" s="121"/>
      <c r="I1579" s="107"/>
      <c r="J1579" s="351"/>
      <c r="K1579" s="69"/>
      <c r="L1579" s="120"/>
      <c r="M1579" s="116"/>
      <c r="N1579" s="218"/>
    </row>
    <row r="1580" spans="2:14" ht="15" x14ac:dyDescent="0.25">
      <c r="B1580" s="91"/>
      <c r="C1580" s="66"/>
      <c r="D1580" s="109"/>
      <c r="E1580" s="68"/>
      <c r="F1580" s="77"/>
      <c r="G1580" s="104"/>
      <c r="H1580" s="123"/>
      <c r="I1580" s="107"/>
      <c r="J1580" s="351"/>
      <c r="K1580" s="69"/>
      <c r="L1580" s="120"/>
      <c r="M1580" s="116"/>
      <c r="N1580" s="218"/>
    </row>
    <row r="1581" spans="2:14" ht="15" x14ac:dyDescent="0.25">
      <c r="B1581" s="65"/>
      <c r="C1581" s="78"/>
      <c r="D1581" s="109"/>
      <c r="E1581" s="68"/>
      <c r="F1581" s="77"/>
      <c r="G1581" s="311"/>
      <c r="H1581" s="312"/>
      <c r="I1581" s="313"/>
      <c r="J1581" s="352"/>
      <c r="K1581" s="69"/>
      <c r="L1581" s="318"/>
      <c r="M1581" s="116"/>
      <c r="N1581" s="318"/>
    </row>
    <row r="1582" spans="2:14" ht="15" x14ac:dyDescent="0.25">
      <c r="B1582" s="91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0"/>
      <c r="M1582" s="116"/>
      <c r="N1582" s="218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313"/>
      <c r="J1583" s="352"/>
      <c r="K1583" s="69"/>
      <c r="L1583" s="318"/>
      <c r="M1583" s="116"/>
      <c r="N1583" s="318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313"/>
      <c r="J1584" s="352"/>
      <c r="K1584" s="69"/>
      <c r="L1584" s="118"/>
      <c r="M1584" s="116"/>
      <c r="N1584" s="318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18"/>
      <c r="M1585" s="116"/>
      <c r="N1585" s="318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313"/>
      <c r="J1586" s="352"/>
      <c r="K1586" s="69"/>
      <c r="L1586" s="318"/>
      <c r="M1586" s="116"/>
      <c r="N1586" s="318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313"/>
      <c r="J1587" s="352"/>
      <c r="K1587" s="69"/>
      <c r="L1587" s="318"/>
      <c r="M1587" s="116"/>
      <c r="N1587" s="318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318"/>
      <c r="M1588" s="116"/>
      <c r="N1588" s="318"/>
    </row>
    <row r="1589" spans="2:14" ht="15" x14ac:dyDescent="0.25">
      <c r="B1589" s="65"/>
      <c r="C1589" s="66"/>
      <c r="D1589" s="109"/>
      <c r="E1589" s="68"/>
      <c r="F1589" s="68"/>
      <c r="G1589" s="104"/>
      <c r="H1589" s="121"/>
      <c r="I1589" s="107"/>
      <c r="J1589" s="351"/>
      <c r="K1589" s="69"/>
      <c r="L1589" s="120"/>
      <c r="M1589" s="116"/>
      <c r="N1589" s="218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120"/>
      <c r="M1590" s="116"/>
      <c r="N1590" s="218"/>
    </row>
    <row r="1591" spans="2:14" ht="15" x14ac:dyDescent="0.25">
      <c r="B1591" s="65"/>
      <c r="C1591" s="66"/>
      <c r="D1591" s="109"/>
      <c r="E1591" s="68"/>
      <c r="F1591" s="77"/>
      <c r="G1591" s="104"/>
      <c r="H1591" s="123"/>
      <c r="I1591" s="107"/>
      <c r="J1591" s="351"/>
      <c r="K1591" s="69"/>
      <c r="L1591" s="120"/>
      <c r="M1591" s="116"/>
      <c r="N1591" s="218"/>
    </row>
    <row r="1592" spans="2:14" ht="15" x14ac:dyDescent="0.25">
      <c r="B1592" s="65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65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65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ht="15" x14ac:dyDescent="0.25">
      <c r="B1595" s="65"/>
      <c r="C1595" s="66"/>
      <c r="D1595" s="109"/>
      <c r="E1595" s="68"/>
      <c r="F1595" s="77"/>
      <c r="G1595" s="311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3"/>
      <c r="I1599" s="107"/>
      <c r="J1599" s="351"/>
      <c r="K1599" s="69"/>
      <c r="L1599" s="120"/>
      <c r="M1599" s="116"/>
      <c r="N1599" s="218"/>
    </row>
    <row r="1600" spans="2:14" ht="15" x14ac:dyDescent="0.25">
      <c r="B1600" s="91"/>
      <c r="C1600" s="66"/>
      <c r="D1600" s="109"/>
      <c r="E1600" s="68"/>
      <c r="F1600" s="77"/>
      <c r="G1600" s="104"/>
      <c r="H1600" s="123"/>
      <c r="I1600" s="107"/>
      <c r="J1600" s="351"/>
      <c r="K1600" s="69"/>
      <c r="L1600" s="120"/>
      <c r="M1600" s="116"/>
      <c r="N1600" s="218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20"/>
      <c r="M1601" s="116"/>
      <c r="N1601" s="218"/>
    </row>
    <row r="1602" spans="2:14" ht="15" x14ac:dyDescent="0.25">
      <c r="B1602" s="91"/>
      <c r="C1602" s="66"/>
      <c r="D1602" s="109"/>
      <c r="E1602" s="68"/>
      <c r="F1602" s="77"/>
      <c r="G1602" s="104"/>
      <c r="H1602" s="123"/>
      <c r="I1602" s="107"/>
      <c r="J1602" s="351"/>
      <c r="K1602" s="69"/>
      <c r="L1602" s="120"/>
      <c r="M1602" s="116"/>
      <c r="N1602" s="218"/>
    </row>
    <row r="1603" spans="2:14" ht="15" x14ac:dyDescent="0.25">
      <c r="B1603" s="91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120"/>
      <c r="M1603" s="116"/>
      <c r="N1603" s="218"/>
    </row>
    <row r="1604" spans="2:14" ht="15" x14ac:dyDescent="0.25">
      <c r="B1604" s="91"/>
      <c r="C1604" s="66"/>
      <c r="D1604" s="109"/>
      <c r="E1604" s="68"/>
      <c r="F1604" s="77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91"/>
      <c r="C1605" s="66"/>
      <c r="D1605" s="109"/>
      <c r="E1605" s="68"/>
      <c r="F1605" s="77"/>
      <c r="G1605" s="104"/>
      <c r="H1605" s="121"/>
      <c r="I1605" s="107"/>
      <c r="J1605" s="351"/>
      <c r="K1605" s="69"/>
      <c r="L1605" s="318"/>
      <c r="M1605" s="116"/>
      <c r="N1605" s="318"/>
    </row>
    <row r="1606" spans="2:14" ht="15" x14ac:dyDescent="0.25">
      <c r="B1606" s="91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18"/>
      <c r="M1606" s="116"/>
      <c r="N1606" s="3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318"/>
      <c r="M1607" s="116"/>
      <c r="N1607" s="318"/>
    </row>
    <row r="1608" spans="2:14" ht="15" x14ac:dyDescent="0.25">
      <c r="B1608" s="65"/>
      <c r="C1608" s="78"/>
      <c r="D1608" s="109"/>
      <c r="E1608" s="68"/>
      <c r="F1608" s="77"/>
      <c r="G1608" s="311"/>
      <c r="H1608" s="312"/>
      <c r="I1608" s="313"/>
      <c r="J1608" s="352"/>
      <c r="K1608" s="69"/>
      <c r="L1608" s="318"/>
      <c r="M1608" s="116"/>
      <c r="N1608" s="3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318"/>
      <c r="M1609" s="116"/>
      <c r="N1609" s="3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18"/>
      <c r="M1610" s="116"/>
      <c r="N1610" s="3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18"/>
      <c r="M1611" s="116"/>
      <c r="N1611" s="318"/>
    </row>
    <row r="1612" spans="2:14" ht="15" x14ac:dyDescent="0.25">
      <c r="B1612" s="65"/>
      <c r="C1612" s="78"/>
      <c r="D1612" s="109"/>
      <c r="E1612" s="68"/>
      <c r="F1612" s="77"/>
      <c r="G1612" s="311"/>
      <c r="H1612" s="312"/>
      <c r="I1612" s="313"/>
      <c r="J1612" s="352"/>
      <c r="K1612" s="69"/>
      <c r="L1612" s="318"/>
      <c r="M1612" s="116"/>
      <c r="N1612" s="318"/>
    </row>
    <row r="1613" spans="2:14" ht="15" x14ac:dyDescent="0.25">
      <c r="B1613" s="65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318"/>
      <c r="M1613" s="116"/>
      <c r="N1613" s="319"/>
    </row>
    <row r="1614" spans="2:14" ht="15" x14ac:dyDescent="0.25">
      <c r="B1614" s="91"/>
      <c r="C1614" s="66"/>
      <c r="D1614" s="109"/>
      <c r="E1614" s="68"/>
      <c r="F1614" s="68"/>
      <c r="G1614" s="104"/>
      <c r="H1614" s="123"/>
      <c r="I1614" s="107"/>
      <c r="J1614" s="351"/>
      <c r="K1614" s="69"/>
      <c r="L1614" s="120"/>
      <c r="M1614" s="116"/>
      <c r="N1614" s="319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319"/>
    </row>
    <row r="1616" spans="2:14" ht="15" x14ac:dyDescent="0.25">
      <c r="B1616" s="91"/>
      <c r="C1616" s="78"/>
      <c r="D1616" s="109"/>
      <c r="E1616" s="68"/>
      <c r="F1616" s="77"/>
      <c r="G1616" s="311"/>
      <c r="H1616" s="123"/>
      <c r="I1616" s="107"/>
      <c r="J1616" s="351"/>
      <c r="K1616" s="69"/>
      <c r="L1616" s="120"/>
      <c r="M1616" s="116"/>
      <c r="N1616" s="319"/>
    </row>
    <row r="1617" spans="2:14" ht="15" x14ac:dyDescent="0.25">
      <c r="B1617" s="65"/>
      <c r="C1617" s="78"/>
      <c r="D1617" s="109"/>
      <c r="E1617" s="68"/>
      <c r="F1617" s="77"/>
      <c r="G1617" s="311"/>
      <c r="H1617" s="312"/>
      <c r="I1617" s="313"/>
      <c r="J1617" s="352"/>
      <c r="K1617" s="69"/>
      <c r="L1617" s="318"/>
      <c r="M1617" s="116"/>
      <c r="N1617" s="319"/>
    </row>
    <row r="1618" spans="2:14" ht="15" x14ac:dyDescent="0.25">
      <c r="B1618" s="65"/>
      <c r="C1618" s="78"/>
      <c r="D1618" s="109"/>
      <c r="E1618" s="68"/>
      <c r="F1618" s="77"/>
      <c r="G1618" s="311"/>
      <c r="H1618" s="312"/>
      <c r="I1618" s="313"/>
      <c r="J1618" s="352"/>
      <c r="K1618" s="69"/>
      <c r="L1618" s="318"/>
      <c r="M1618" s="116"/>
      <c r="N1618" s="319"/>
    </row>
    <row r="1619" spans="2:14" ht="15" x14ac:dyDescent="0.25">
      <c r="B1619" s="65"/>
      <c r="C1619" s="78"/>
      <c r="D1619" s="109"/>
      <c r="E1619" s="68"/>
      <c r="F1619" s="77"/>
      <c r="G1619" s="311"/>
      <c r="H1619" s="312"/>
      <c r="I1619" s="313"/>
      <c r="J1619" s="352"/>
      <c r="K1619" s="69"/>
      <c r="L1619" s="318"/>
      <c r="M1619" s="116"/>
      <c r="N1619" s="3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311"/>
      <c r="H1621" s="123"/>
      <c r="I1621" s="107"/>
      <c r="J1621" s="351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20"/>
      <c r="M1624" s="116"/>
      <c r="N1624" s="219"/>
    </row>
    <row r="1625" spans="2:14" ht="15" x14ac:dyDescent="0.25">
      <c r="B1625" s="91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20"/>
      <c r="M1625" s="116"/>
      <c r="N1625" s="219"/>
    </row>
    <row r="1626" spans="2:14" ht="15" x14ac:dyDescent="0.25">
      <c r="B1626" s="91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20"/>
      <c r="M1626" s="116"/>
      <c r="N1626" s="219"/>
    </row>
    <row r="1627" spans="2:14" ht="15" x14ac:dyDescent="0.25">
      <c r="B1627" s="91"/>
      <c r="C1627" s="66"/>
      <c r="D1627" s="109"/>
      <c r="E1627" s="68"/>
      <c r="F1627" s="77"/>
      <c r="G1627" s="104"/>
      <c r="H1627" s="121"/>
      <c r="I1627" s="107"/>
      <c r="J1627" s="351"/>
      <c r="K1627" s="69"/>
      <c r="L1627" s="120"/>
      <c r="M1627" s="116"/>
      <c r="N1627" s="219"/>
    </row>
    <row r="1628" spans="2:14" ht="15" x14ac:dyDescent="0.25">
      <c r="B1628" s="91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20"/>
      <c r="M1628" s="116"/>
      <c r="N1628" s="219"/>
    </row>
    <row r="1629" spans="2:14" ht="15" x14ac:dyDescent="0.25">
      <c r="B1629" s="37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219"/>
    </row>
    <row r="1630" spans="2:14" ht="15" x14ac:dyDescent="0.25">
      <c r="B1630" s="37"/>
      <c r="C1630" s="66"/>
      <c r="D1630" s="109"/>
      <c r="E1630" s="68"/>
      <c r="F1630" s="77"/>
      <c r="G1630" s="311"/>
      <c r="H1630" s="123"/>
      <c r="I1630" s="107"/>
      <c r="J1630" s="351"/>
      <c r="K1630" s="69"/>
      <c r="L1630" s="120"/>
      <c r="M1630" s="116"/>
      <c r="N1630" s="219"/>
    </row>
    <row r="1631" spans="2:14" ht="15" x14ac:dyDescent="0.25">
      <c r="B1631" s="37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219"/>
    </row>
    <row r="1632" spans="2:14" ht="15" x14ac:dyDescent="0.25">
      <c r="B1632" s="37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120"/>
      <c r="M1632" s="116"/>
      <c r="N1632" s="219"/>
    </row>
    <row r="1633" spans="2:14" ht="15" x14ac:dyDescent="0.25">
      <c r="B1633" s="37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219"/>
    </row>
    <row r="1634" spans="2:14" ht="15" x14ac:dyDescent="0.25">
      <c r="B1634" s="37"/>
      <c r="C1634" s="66"/>
      <c r="D1634" s="109"/>
      <c r="E1634" s="68"/>
      <c r="F1634" s="68"/>
      <c r="G1634" s="311"/>
      <c r="H1634" s="123"/>
      <c r="I1634" s="107"/>
      <c r="J1634" s="351"/>
      <c r="K1634" s="69"/>
      <c r="L1634" s="120"/>
      <c r="M1634" s="116"/>
      <c r="N1634" s="219"/>
    </row>
    <row r="1635" spans="2:14" ht="15" x14ac:dyDescent="0.25">
      <c r="B1635" s="37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37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318"/>
      <c r="M1636" s="116"/>
      <c r="N1636" s="319"/>
    </row>
    <row r="1637" spans="2:14" ht="15" x14ac:dyDescent="0.25">
      <c r="B1637" s="37"/>
      <c r="C1637" s="78"/>
      <c r="D1637" s="109"/>
      <c r="E1637" s="68"/>
      <c r="F1637" s="77"/>
      <c r="G1637" s="311"/>
      <c r="H1637" s="123"/>
      <c r="I1637" s="107"/>
      <c r="J1637" s="351"/>
      <c r="K1637" s="69"/>
      <c r="L1637" s="118"/>
      <c r="M1637" s="116"/>
      <c r="N1637" s="319"/>
    </row>
    <row r="1638" spans="2:14" ht="15" x14ac:dyDescent="0.25">
      <c r="B1638" s="37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ht="15" x14ac:dyDescent="0.25">
      <c r="B1639" s="37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18"/>
      <c r="M1639" s="116"/>
      <c r="N1639" s="319"/>
    </row>
    <row r="1640" spans="2:14" ht="15" x14ac:dyDescent="0.25">
      <c r="B1640" s="65"/>
      <c r="C1640" s="78"/>
      <c r="D1640" s="109"/>
      <c r="E1640" s="68"/>
      <c r="F1640" s="77"/>
      <c r="G1640" s="311"/>
      <c r="H1640" s="312"/>
      <c r="I1640" s="313"/>
      <c r="J1640" s="352"/>
      <c r="K1640" s="69"/>
      <c r="L1640" s="318"/>
      <c r="M1640" s="116"/>
      <c r="N1640" s="319"/>
    </row>
    <row r="1641" spans="2:14" ht="15" x14ac:dyDescent="0.25">
      <c r="B1641" s="65"/>
      <c r="C1641" s="78"/>
      <c r="D1641" s="109"/>
      <c r="E1641" s="68"/>
      <c r="F1641" s="77"/>
      <c r="G1641" s="311"/>
      <c r="H1641" s="312"/>
      <c r="I1641" s="313"/>
      <c r="J1641" s="352"/>
      <c r="K1641" s="69"/>
      <c r="L1641" s="318"/>
      <c r="M1641" s="116"/>
      <c r="N1641" s="319"/>
    </row>
    <row r="1642" spans="2:14" ht="15" x14ac:dyDescent="0.25">
      <c r="B1642" s="65"/>
      <c r="C1642" s="78"/>
      <c r="D1642" s="109"/>
      <c r="E1642" s="68"/>
      <c r="F1642" s="77"/>
      <c r="G1642" s="311"/>
      <c r="H1642" s="312"/>
      <c r="I1642" s="313"/>
      <c r="J1642" s="352"/>
      <c r="K1642" s="69"/>
      <c r="L1642" s="318"/>
      <c r="M1642" s="116"/>
      <c r="N1642" s="3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65"/>
      <c r="C1644" s="78"/>
      <c r="D1644" s="109"/>
      <c r="E1644" s="68"/>
      <c r="F1644" s="77"/>
      <c r="G1644" s="311"/>
      <c r="H1644" s="312"/>
      <c r="I1644" s="313"/>
      <c r="J1644" s="352"/>
      <c r="K1644" s="69"/>
      <c r="L1644" s="318"/>
      <c r="M1644" s="116"/>
      <c r="N1644" s="319"/>
    </row>
    <row r="1645" spans="2:14" ht="15" x14ac:dyDescent="0.25">
      <c r="B1645" s="91"/>
      <c r="C1645" s="66"/>
      <c r="D1645" s="109"/>
      <c r="E1645" s="68"/>
      <c r="F1645" s="77"/>
      <c r="G1645" s="104"/>
      <c r="H1645" s="121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1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68"/>
      <c r="G1647" s="104"/>
      <c r="H1647" s="121"/>
      <c r="I1647" s="107"/>
      <c r="J1647" s="351"/>
      <c r="K1647" s="69"/>
      <c r="L1647" s="318"/>
      <c r="M1647" s="116"/>
      <c r="N1647" s="319"/>
    </row>
    <row r="1648" spans="2:14" ht="15" x14ac:dyDescent="0.25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ht="15" x14ac:dyDescent="0.25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ht="15" x14ac:dyDescent="0.25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ht="15" x14ac:dyDescent="0.25">
      <c r="B1651" s="65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318"/>
      <c r="M1651" s="116"/>
      <c r="N1651" s="319"/>
    </row>
    <row r="1652" spans="2:14" ht="15" x14ac:dyDescent="0.25">
      <c r="B1652" s="65"/>
      <c r="C1652" s="78"/>
      <c r="D1652" s="109"/>
      <c r="E1652" s="68"/>
      <c r="F1652" s="77"/>
      <c r="G1652" s="311"/>
      <c r="H1652" s="312"/>
      <c r="I1652" s="313"/>
      <c r="J1652" s="352"/>
      <c r="K1652" s="69"/>
      <c r="L1652" s="318"/>
      <c r="M1652" s="116"/>
      <c r="N1652" s="319"/>
    </row>
    <row r="1653" spans="2:14" ht="15" x14ac:dyDescent="0.25">
      <c r="B1653" s="65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79"/>
      <c r="L1654" s="120"/>
      <c r="M1654" s="115"/>
      <c r="N1654" s="219"/>
    </row>
    <row r="1655" spans="2:14" ht="15" x14ac:dyDescent="0.25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69"/>
      <c r="L1655" s="118"/>
      <c r="M1655" s="116"/>
      <c r="N1655" s="320"/>
    </row>
    <row r="1656" spans="2:14" ht="15" x14ac:dyDescent="0.25">
      <c r="B1656" s="37"/>
      <c r="C1656" s="66"/>
      <c r="D1656" s="109"/>
      <c r="E1656" s="68"/>
      <c r="F1656" s="77"/>
      <c r="G1656" s="104"/>
      <c r="H1656" s="121"/>
      <c r="I1656" s="107"/>
      <c r="J1656" s="351"/>
      <c r="K1656" s="69"/>
      <c r="L1656" s="118"/>
      <c r="M1656" s="116"/>
      <c r="N1656" s="320"/>
    </row>
    <row r="1657" spans="2:14" ht="15" x14ac:dyDescent="0.25">
      <c r="B1657" s="37"/>
      <c r="C1657" s="66"/>
      <c r="D1657" s="109"/>
      <c r="E1657" s="68"/>
      <c r="F1657" s="77"/>
      <c r="G1657" s="104"/>
      <c r="H1657" s="121"/>
      <c r="I1657" s="107"/>
      <c r="J1657" s="351"/>
      <c r="K1657" s="114"/>
      <c r="L1657" s="118"/>
      <c r="M1657" s="117"/>
      <c r="N1657" s="320"/>
    </row>
    <row r="1658" spans="2:14" ht="15" x14ac:dyDescent="0.25">
      <c r="B1658" s="37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20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20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18"/>
      <c r="M1663" s="116"/>
      <c r="N1663" s="319"/>
    </row>
    <row r="1664" spans="2:14" ht="15" x14ac:dyDescent="0.25">
      <c r="B1664" s="91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18"/>
      <c r="M1664" s="116"/>
      <c r="N1664" s="319"/>
    </row>
    <row r="1665" spans="2:14" ht="15" x14ac:dyDescent="0.25">
      <c r="B1665" s="91"/>
      <c r="C1665" s="66"/>
      <c r="D1665" s="109"/>
      <c r="E1665" s="68"/>
      <c r="F1665" s="77"/>
      <c r="G1665" s="104"/>
      <c r="H1665" s="121"/>
      <c r="I1665" s="107"/>
      <c r="J1665" s="351"/>
      <c r="K1665" s="69"/>
      <c r="L1665" s="318"/>
      <c r="M1665" s="116"/>
      <c r="N1665" s="319"/>
    </row>
    <row r="1666" spans="2:14" ht="15" x14ac:dyDescent="0.25">
      <c r="B1666" s="91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91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91"/>
      <c r="C1668" s="66"/>
      <c r="D1668" s="109"/>
      <c r="E1668" s="68"/>
      <c r="F1668" s="68"/>
      <c r="G1668" s="104"/>
      <c r="H1668" s="121"/>
      <c r="I1668" s="107"/>
      <c r="J1668" s="351"/>
      <c r="K1668" s="69"/>
      <c r="L1668" s="118"/>
      <c r="M1668" s="116"/>
      <c r="N1668" s="320"/>
    </row>
    <row r="1669" spans="2:14" ht="15" x14ac:dyDescent="0.25">
      <c r="B1669" s="91"/>
      <c r="C1669" s="66"/>
      <c r="D1669" s="109"/>
      <c r="E1669" s="68"/>
      <c r="F1669" s="77"/>
      <c r="G1669" s="104"/>
      <c r="H1669" s="121"/>
      <c r="I1669" s="107"/>
      <c r="J1669" s="351"/>
      <c r="K1669" s="69"/>
      <c r="L1669" s="118"/>
      <c r="M1669" s="116"/>
      <c r="N1669" s="319"/>
    </row>
    <row r="1670" spans="2:14" ht="15" x14ac:dyDescent="0.25">
      <c r="B1670" s="91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ht="15" x14ac:dyDescent="0.25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318"/>
      <c r="M1672" s="116"/>
      <c r="N1672" s="319"/>
    </row>
    <row r="1673" spans="2:14" ht="15" x14ac:dyDescent="0.25">
      <c r="B1673" s="65"/>
      <c r="C1673" s="78"/>
      <c r="D1673" s="109"/>
      <c r="E1673" s="68"/>
      <c r="F1673" s="77"/>
      <c r="G1673" s="311"/>
      <c r="H1673" s="312"/>
      <c r="I1673" s="313"/>
      <c r="J1673" s="352"/>
      <c r="K1673" s="69"/>
      <c r="L1673" s="216"/>
      <c r="M1673" s="116"/>
      <c r="N1673" s="319"/>
    </row>
    <row r="1674" spans="2:14" ht="15" x14ac:dyDescent="0.25">
      <c r="B1674" s="65"/>
      <c r="C1674" s="78"/>
      <c r="D1674" s="109"/>
      <c r="E1674" s="68"/>
      <c r="F1674" s="77"/>
      <c r="G1674" s="311"/>
      <c r="H1674" s="312"/>
      <c r="I1674" s="313"/>
      <c r="J1674" s="352"/>
      <c r="K1674" s="69"/>
      <c r="L1674" s="216"/>
      <c r="M1674" s="82"/>
      <c r="N1674" s="319"/>
    </row>
    <row r="1675" spans="2:14" ht="15" x14ac:dyDescent="0.25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ht="15" x14ac:dyDescent="0.25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ht="15" x14ac:dyDescent="0.25">
      <c r="B1677" s="91"/>
      <c r="C1677" s="66"/>
      <c r="D1677" s="100"/>
      <c r="E1677" s="101"/>
      <c r="F1677" s="77"/>
      <c r="G1677" s="104"/>
      <c r="H1677" s="106"/>
      <c r="I1677" s="107"/>
      <c r="J1677" s="351"/>
      <c r="K1677" s="69"/>
      <c r="L1677" s="84"/>
      <c r="M1677" s="82"/>
      <c r="N1677" s="319"/>
    </row>
    <row r="1678" spans="2:14" ht="15" x14ac:dyDescent="0.25">
      <c r="B1678" s="91"/>
      <c r="C1678" s="66"/>
      <c r="D1678" s="100"/>
      <c r="E1678" s="101"/>
      <c r="F1678" s="77"/>
      <c r="G1678" s="104"/>
      <c r="H1678" s="106"/>
      <c r="I1678" s="107"/>
      <c r="J1678" s="351"/>
      <c r="K1678" s="69"/>
      <c r="L1678" s="84"/>
      <c r="M1678" s="82"/>
      <c r="N1678" s="319"/>
    </row>
    <row r="1679" spans="2:14" ht="15" x14ac:dyDescent="0.25">
      <c r="B1679" s="91"/>
      <c r="C1679" s="66"/>
      <c r="D1679" s="100"/>
      <c r="E1679" s="101"/>
      <c r="F1679" s="77"/>
      <c r="G1679" s="104"/>
      <c r="H1679" s="106"/>
      <c r="I1679" s="107"/>
      <c r="J1679" s="351"/>
      <c r="K1679" s="69"/>
      <c r="L1679" s="84"/>
      <c r="M1679" s="82"/>
      <c r="N1679" s="319"/>
    </row>
    <row r="1680" spans="2:14" ht="15" x14ac:dyDescent="0.25">
      <c r="B1680" s="91"/>
      <c r="C1680" s="78"/>
      <c r="D1680" s="100"/>
      <c r="E1680" s="101"/>
      <c r="F1680" s="77"/>
      <c r="G1680" s="311"/>
      <c r="H1680" s="321"/>
      <c r="I1680" s="107"/>
      <c r="J1680" s="351"/>
      <c r="K1680" s="69"/>
      <c r="L1680" s="84"/>
      <c r="M1680" s="82"/>
      <c r="N1680" s="319"/>
    </row>
    <row r="1681" spans="2:14" ht="15" x14ac:dyDescent="0.25">
      <c r="B1681" s="65"/>
      <c r="C1681" s="66"/>
      <c r="D1681" s="100"/>
      <c r="E1681" s="101"/>
      <c r="F1681" s="77"/>
      <c r="G1681" s="104"/>
      <c r="H1681" s="106"/>
      <c r="I1681" s="107"/>
      <c r="J1681" s="351"/>
      <c r="K1681" s="69"/>
      <c r="L1681" s="84"/>
      <c r="M1681" s="82"/>
      <c r="N1681" s="319"/>
    </row>
    <row r="1682" spans="2:14" ht="15" x14ac:dyDescent="0.25">
      <c r="B1682" s="65"/>
      <c r="C1682" s="66"/>
      <c r="D1682" s="100"/>
      <c r="E1682" s="101"/>
      <c r="F1682" s="77"/>
      <c r="G1682" s="104"/>
      <c r="H1682" s="106"/>
      <c r="I1682" s="107"/>
      <c r="J1682" s="351"/>
      <c r="K1682" s="69"/>
      <c r="L1682" s="84"/>
      <c r="M1682" s="82"/>
      <c r="N1682" s="319"/>
    </row>
    <row r="1683" spans="2:14" ht="15" x14ac:dyDescent="0.25">
      <c r="B1683" s="65"/>
      <c r="C1683" s="66"/>
      <c r="D1683" s="100"/>
      <c r="E1683" s="101"/>
      <c r="F1683" s="77"/>
      <c r="G1683" s="104"/>
      <c r="H1683" s="106"/>
      <c r="I1683" s="107"/>
      <c r="J1683" s="351"/>
      <c r="K1683" s="69"/>
      <c r="L1683" s="84"/>
      <c r="M1683" s="82"/>
      <c r="N1683" s="319"/>
    </row>
    <row r="1684" spans="2:14" ht="15" x14ac:dyDescent="0.25">
      <c r="B1684" s="65"/>
      <c r="C1684" s="78"/>
      <c r="D1684" s="100"/>
      <c r="E1684" s="101"/>
      <c r="F1684" s="77"/>
      <c r="G1684" s="311"/>
      <c r="H1684" s="321"/>
      <c r="I1684" s="313"/>
      <c r="J1684" s="352"/>
      <c r="K1684" s="69"/>
      <c r="L1684" s="84"/>
      <c r="M1684" s="82"/>
      <c r="N1684" s="319"/>
    </row>
    <row r="1685" spans="2:14" ht="15" x14ac:dyDescent="0.25">
      <c r="B1685" s="65"/>
      <c r="C1685" s="66"/>
      <c r="D1685" s="100"/>
      <c r="E1685" s="101"/>
      <c r="F1685" s="77"/>
      <c r="G1685" s="104"/>
      <c r="H1685" s="106"/>
      <c r="I1685" s="107"/>
      <c r="J1685" s="351"/>
      <c r="K1685" s="69"/>
      <c r="L1685" s="84"/>
      <c r="M1685" s="82"/>
      <c r="N1685" s="319"/>
    </row>
    <row r="1686" spans="2:14" ht="15" x14ac:dyDescent="0.25">
      <c r="B1686" s="65"/>
      <c r="C1686" s="66"/>
      <c r="D1686" s="100"/>
      <c r="E1686" s="101"/>
      <c r="F1686" s="77"/>
      <c r="G1686" s="104"/>
      <c r="H1686" s="106"/>
      <c r="I1686" s="107"/>
      <c r="J1686" s="351"/>
      <c r="K1686" s="69"/>
      <c r="L1686" s="84"/>
      <c r="M1686" s="82"/>
      <c r="N1686" s="319"/>
    </row>
    <row r="1687" spans="2:14" ht="15" x14ac:dyDescent="0.25">
      <c r="B1687" s="65"/>
      <c r="C1687" s="78"/>
      <c r="D1687" s="100"/>
      <c r="E1687" s="101"/>
      <c r="F1687" s="77"/>
      <c r="G1687" s="311"/>
      <c r="H1687" s="321"/>
      <c r="I1687" s="313"/>
      <c r="J1687" s="352"/>
      <c r="K1687" s="69"/>
      <c r="L1687" s="84"/>
      <c r="M1687" s="82"/>
      <c r="N1687" s="319"/>
    </row>
    <row r="1688" spans="2:14" ht="15" x14ac:dyDescent="0.25">
      <c r="B1688" s="65"/>
      <c r="C1688" s="66"/>
      <c r="D1688" s="109"/>
      <c r="E1688" s="101"/>
      <c r="F1688" s="77"/>
      <c r="G1688" s="104"/>
      <c r="H1688" s="106"/>
      <c r="I1688" s="107"/>
      <c r="J1688" s="351"/>
      <c r="K1688" s="69"/>
      <c r="L1688" s="322"/>
      <c r="M1688" s="82"/>
      <c r="N1688" s="319"/>
    </row>
    <row r="1689" spans="2:14" ht="15" x14ac:dyDescent="0.25">
      <c r="B1689" s="65"/>
      <c r="C1689" s="66"/>
      <c r="D1689" s="100"/>
      <c r="E1689" s="101"/>
      <c r="F1689" s="77"/>
      <c r="G1689" s="104"/>
      <c r="H1689" s="106"/>
      <c r="I1689" s="107"/>
      <c r="J1689" s="351"/>
      <c r="K1689" s="69"/>
      <c r="L1689" s="84"/>
      <c r="M1689" s="82"/>
      <c r="N1689" s="319"/>
    </row>
    <row r="1690" spans="2:14" ht="15" x14ac:dyDescent="0.25">
      <c r="B1690" s="65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322"/>
      <c r="M1690" s="82"/>
      <c r="N1690" s="319"/>
    </row>
    <row r="1691" spans="2:14" ht="15" x14ac:dyDescent="0.25">
      <c r="B1691" s="65"/>
      <c r="C1691" s="78"/>
      <c r="D1691" s="100"/>
      <c r="E1691" s="101"/>
      <c r="F1691" s="77"/>
      <c r="G1691" s="311"/>
      <c r="H1691" s="321"/>
      <c r="I1691" s="313"/>
      <c r="J1691" s="352"/>
      <c r="K1691" s="69"/>
      <c r="L1691" s="322"/>
      <c r="M1691" s="82"/>
      <c r="N1691" s="319"/>
    </row>
    <row r="1692" spans="2:14" ht="15" x14ac:dyDescent="0.25">
      <c r="B1692" s="65"/>
      <c r="C1692" s="78"/>
      <c r="D1692" s="100"/>
      <c r="E1692" s="101"/>
      <c r="F1692" s="77"/>
      <c r="G1692" s="311"/>
      <c r="H1692" s="321"/>
      <c r="I1692" s="313"/>
      <c r="J1692" s="352"/>
      <c r="K1692" s="69"/>
      <c r="L1692" s="322"/>
      <c r="M1692" s="82"/>
      <c r="N1692" s="323"/>
    </row>
    <row r="1693" spans="2:14" ht="15" x14ac:dyDescent="0.25">
      <c r="B1693" s="65"/>
      <c r="C1693" s="78"/>
      <c r="D1693" s="100"/>
      <c r="E1693" s="101"/>
      <c r="F1693" s="77"/>
      <c r="G1693" s="311"/>
      <c r="H1693" s="321"/>
      <c r="I1693" s="313"/>
      <c r="J1693" s="352"/>
      <c r="K1693" s="69"/>
      <c r="L1693" s="322"/>
      <c r="M1693" s="82"/>
      <c r="N1693" s="323"/>
    </row>
    <row r="1694" spans="2:14" ht="15" x14ac:dyDescent="0.25">
      <c r="B1694" s="65"/>
      <c r="C1694" s="78"/>
      <c r="D1694" s="100"/>
      <c r="E1694" s="101"/>
      <c r="F1694" s="77"/>
      <c r="G1694" s="311"/>
      <c r="H1694" s="321"/>
      <c r="I1694" s="313"/>
      <c r="J1694" s="352"/>
      <c r="K1694" s="69"/>
      <c r="L1694" s="322"/>
      <c r="M1694" s="82"/>
      <c r="N1694" s="323"/>
    </row>
    <row r="1695" spans="2:14" ht="15" x14ac:dyDescent="0.25">
      <c r="B1695" s="65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23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ht="15" x14ac:dyDescent="0.25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23"/>
    </row>
    <row r="1699" spans="2:14" ht="15" x14ac:dyDescent="0.25">
      <c r="B1699" s="91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23"/>
    </row>
    <row r="1700" spans="2:14" ht="15" x14ac:dyDescent="0.25">
      <c r="B1700" s="91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23"/>
    </row>
    <row r="1701" spans="2:14" ht="15" x14ac:dyDescent="0.25">
      <c r="B1701" s="91"/>
      <c r="C1701" s="66"/>
      <c r="D1701" s="100"/>
      <c r="E1701" s="101"/>
      <c r="F1701" s="68"/>
      <c r="G1701" s="104"/>
      <c r="H1701" s="106"/>
      <c r="I1701" s="107"/>
      <c r="J1701" s="351"/>
      <c r="K1701" s="69"/>
      <c r="L1701" s="84"/>
      <c r="M1701" s="82"/>
      <c r="N1701" s="323"/>
    </row>
    <row r="1702" spans="2:14" ht="15" x14ac:dyDescent="0.25">
      <c r="B1702" s="91"/>
      <c r="C1702" s="78"/>
      <c r="D1702" s="100"/>
      <c r="E1702" s="101"/>
      <c r="F1702" s="77"/>
      <c r="G1702" s="311"/>
      <c r="H1702" s="321"/>
      <c r="I1702" s="107"/>
      <c r="J1702" s="351"/>
      <c r="K1702" s="69"/>
      <c r="L1702" s="84"/>
      <c r="M1702" s="82"/>
      <c r="N1702" s="323"/>
    </row>
    <row r="1703" spans="2:14" ht="15" x14ac:dyDescent="0.25">
      <c r="B1703" s="91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23"/>
    </row>
    <row r="1704" spans="2:14" ht="15" x14ac:dyDescent="0.25">
      <c r="B1704" s="91"/>
      <c r="C1704" s="66"/>
      <c r="D1704" s="100"/>
      <c r="E1704" s="101"/>
      <c r="F1704" s="77"/>
      <c r="G1704" s="104"/>
      <c r="H1704" s="106"/>
      <c r="I1704" s="107"/>
      <c r="J1704" s="351"/>
      <c r="K1704" s="70"/>
      <c r="L1704" s="84"/>
      <c r="M1704" s="82"/>
      <c r="N1704" s="323"/>
    </row>
    <row r="1705" spans="2:14" ht="15" x14ac:dyDescent="0.25">
      <c r="B1705" s="91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23"/>
    </row>
    <row r="1706" spans="2:14" ht="15" x14ac:dyDescent="0.25">
      <c r="B1706" s="91"/>
      <c r="C1706" s="78"/>
      <c r="D1706" s="100"/>
      <c r="E1706" s="101"/>
      <c r="F1706" s="68"/>
      <c r="G1706" s="311"/>
      <c r="H1706" s="321"/>
      <c r="I1706" s="107"/>
      <c r="J1706" s="351"/>
      <c r="K1706" s="69"/>
      <c r="L1706" s="84"/>
      <c r="M1706" s="82"/>
      <c r="N1706" s="323"/>
    </row>
    <row r="1707" spans="2:14" ht="15" x14ac:dyDescent="0.25">
      <c r="B1707" s="91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66"/>
      <c r="D1709" s="100"/>
      <c r="E1709" s="101"/>
      <c r="F1709" s="68"/>
      <c r="G1709" s="104"/>
      <c r="H1709" s="106"/>
      <c r="I1709" s="107"/>
      <c r="J1709" s="351"/>
      <c r="K1709" s="69"/>
      <c r="L1709" s="84"/>
      <c r="M1709" s="82"/>
      <c r="N1709" s="323"/>
    </row>
    <row r="1710" spans="2:14" ht="15" x14ac:dyDescent="0.25">
      <c r="B1710" s="65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84"/>
      <c r="M1710" s="82"/>
      <c r="N1710" s="323"/>
    </row>
    <row r="1711" spans="2:14" ht="15" x14ac:dyDescent="0.25">
      <c r="B1711" s="65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322"/>
      <c r="M1711" s="82"/>
      <c r="N1711" s="323"/>
    </row>
    <row r="1712" spans="2:14" ht="15" x14ac:dyDescent="0.25">
      <c r="B1712" s="65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322"/>
      <c r="M1712" s="82"/>
      <c r="N1712" s="323"/>
    </row>
    <row r="1713" spans="2:14" x14ac:dyDescent="0.2">
      <c r="B1713" s="65"/>
      <c r="C1713" s="78"/>
      <c r="D1713" s="100"/>
      <c r="E1713" s="101"/>
      <c r="F1713" s="77"/>
      <c r="G1713" s="311"/>
      <c r="H1713" s="321"/>
      <c r="I1713" s="324"/>
      <c r="J1713" s="354"/>
      <c r="K1713" s="69"/>
      <c r="L1713" s="84"/>
      <c r="M1713" s="82"/>
      <c r="N1713" s="323"/>
    </row>
    <row r="1714" spans="2:14" x14ac:dyDescent="0.2">
      <c r="B1714" s="65"/>
      <c r="C1714" s="78"/>
      <c r="D1714" s="100"/>
      <c r="E1714" s="101"/>
      <c r="F1714" s="77"/>
      <c r="G1714" s="311"/>
      <c r="H1714" s="321"/>
      <c r="I1714" s="324"/>
      <c r="J1714" s="354"/>
      <c r="K1714" s="69"/>
      <c r="L1714" s="84"/>
      <c r="M1714" s="82"/>
      <c r="N1714" s="323"/>
    </row>
    <row r="1715" spans="2:14" ht="15" x14ac:dyDescent="0.25">
      <c r="B1715" s="65"/>
      <c r="C1715" s="78"/>
      <c r="D1715" s="100"/>
      <c r="E1715" s="101"/>
      <c r="F1715" s="77"/>
      <c r="G1715" s="311"/>
      <c r="H1715" s="321"/>
      <c r="I1715" s="313"/>
      <c r="J1715" s="352"/>
      <c r="K1715" s="69"/>
      <c r="L1715" s="322"/>
      <c r="M1715" s="82"/>
      <c r="N1715" s="323"/>
    </row>
    <row r="1716" spans="2:14" ht="15" x14ac:dyDescent="0.25">
      <c r="B1716" s="65"/>
      <c r="C1716" s="78"/>
      <c r="D1716" s="100"/>
      <c r="E1716" s="102"/>
      <c r="F1716" s="77"/>
      <c r="G1716" s="325"/>
      <c r="H1716" s="321"/>
      <c r="I1716" s="313"/>
      <c r="J1716" s="352"/>
      <c r="K1716" s="69"/>
      <c r="L1716" s="322"/>
      <c r="M1716" s="82"/>
      <c r="N1716" s="323"/>
    </row>
    <row r="1717" spans="2:14" ht="15" x14ac:dyDescent="0.25">
      <c r="B1717" s="65"/>
      <c r="C1717" s="78"/>
      <c r="D1717" s="97"/>
      <c r="E1717" s="67"/>
      <c r="F1717" s="77"/>
      <c r="G1717" s="325"/>
      <c r="H1717" s="321"/>
      <c r="I1717" s="313"/>
      <c r="J1717" s="352"/>
      <c r="K1717" s="69"/>
      <c r="L1717" s="322"/>
      <c r="M1717" s="82"/>
      <c r="N1717" s="323"/>
    </row>
    <row r="1718" spans="2:14" ht="15" x14ac:dyDescent="0.25">
      <c r="B1718" s="65"/>
      <c r="C1718" s="78"/>
      <c r="D1718" s="97"/>
      <c r="E1718" s="67"/>
      <c r="F1718" s="77"/>
      <c r="G1718" s="325"/>
      <c r="H1718" s="321"/>
      <c r="I1718" s="313"/>
      <c r="J1718" s="352"/>
      <c r="K1718" s="69"/>
      <c r="L1718" s="322"/>
      <c r="M1718" s="82"/>
      <c r="N1718" s="323"/>
    </row>
    <row r="1719" spans="2:14" ht="15" x14ac:dyDescent="0.25">
      <c r="B1719" s="65"/>
      <c r="C1719" s="78"/>
      <c r="D1719" s="97"/>
      <c r="E1719" s="67"/>
      <c r="F1719" s="77"/>
      <c r="G1719" s="325"/>
      <c r="H1719" s="321"/>
      <c r="I1719" s="326"/>
      <c r="J1719" s="355"/>
      <c r="K1719" s="69"/>
      <c r="L1719" s="322"/>
      <c r="M1719" s="82"/>
      <c r="N1719" s="323"/>
    </row>
    <row r="1720" spans="2:14" ht="15" x14ac:dyDescent="0.25">
      <c r="B1720" s="65"/>
      <c r="C1720" s="78"/>
      <c r="D1720" s="97"/>
      <c r="E1720" s="67"/>
      <c r="F1720" s="77"/>
      <c r="G1720" s="325"/>
      <c r="H1720" s="321"/>
      <c r="I1720" s="326"/>
      <c r="J1720" s="355"/>
      <c r="K1720" s="69"/>
      <c r="L1720" s="322"/>
      <c r="M1720" s="82"/>
      <c r="N1720" s="323"/>
    </row>
    <row r="1721" spans="2:14" x14ac:dyDescent="0.2">
      <c r="B1721" s="65"/>
      <c r="C1721" s="66"/>
      <c r="D1721" s="90"/>
      <c r="E1721" s="67"/>
      <c r="F1721" s="77"/>
      <c r="G1721" s="77"/>
      <c r="H1721" s="106"/>
      <c r="I1721" s="94"/>
      <c r="J1721" s="356"/>
      <c r="K1721" s="80"/>
      <c r="L1721" s="84"/>
      <c r="M1721" s="82"/>
      <c r="N1721" s="327"/>
    </row>
    <row r="1722" spans="2:14" ht="15" x14ac:dyDescent="0.25">
      <c r="B1722" s="65"/>
      <c r="C1722" s="78"/>
      <c r="D1722" s="90"/>
      <c r="E1722" s="67"/>
      <c r="F1722" s="77"/>
      <c r="G1722" s="328"/>
      <c r="H1722" s="321"/>
      <c r="I1722" s="326"/>
      <c r="J1722" s="355"/>
      <c r="K1722" s="69"/>
      <c r="L1722" s="322"/>
      <c r="M1722" s="82"/>
      <c r="N1722" s="327"/>
    </row>
    <row r="1723" spans="2:14" ht="15" x14ac:dyDescent="0.25">
      <c r="B1723" s="65"/>
      <c r="C1723" s="66"/>
      <c r="D1723" s="90"/>
      <c r="E1723" s="67"/>
      <c r="F1723" s="77"/>
      <c r="G1723" s="77"/>
      <c r="H1723" s="106"/>
      <c r="I1723" s="95"/>
      <c r="J1723" s="357"/>
      <c r="K1723" s="80"/>
      <c r="L1723" s="84"/>
      <c r="M1723" s="82"/>
      <c r="N1723" s="327"/>
    </row>
    <row r="1724" spans="2:14" ht="15" x14ac:dyDescent="0.25">
      <c r="B1724" s="91"/>
      <c r="C1724" s="66"/>
      <c r="D1724" s="90"/>
      <c r="E1724" s="67"/>
      <c r="F1724" s="77"/>
      <c r="G1724" s="77"/>
      <c r="H1724" s="106"/>
      <c r="I1724" s="95"/>
      <c r="J1724" s="357"/>
      <c r="K1724" s="69"/>
      <c r="L1724" s="84"/>
      <c r="M1724" s="82"/>
      <c r="N1724" s="327"/>
    </row>
    <row r="1725" spans="2:14" x14ac:dyDescent="0.2">
      <c r="B1725" s="91"/>
      <c r="C1725" s="66"/>
      <c r="D1725" s="90"/>
      <c r="E1725" s="67"/>
      <c r="F1725" s="77"/>
      <c r="G1725" s="77"/>
      <c r="H1725" s="106"/>
      <c r="I1725" s="94"/>
      <c r="J1725" s="356"/>
      <c r="K1725" s="69"/>
      <c r="L1725" s="84"/>
      <c r="M1725" s="82"/>
      <c r="N1725" s="327"/>
    </row>
    <row r="1726" spans="2:14" x14ac:dyDescent="0.2">
      <c r="B1726" s="91"/>
      <c r="C1726" s="66"/>
      <c r="D1726" s="90"/>
      <c r="E1726" s="67"/>
      <c r="F1726" s="77"/>
      <c r="G1726" s="77"/>
      <c r="H1726" s="106"/>
      <c r="I1726" s="94"/>
      <c r="J1726" s="356"/>
      <c r="K1726" s="69"/>
      <c r="L1726" s="84"/>
      <c r="M1726" s="82"/>
      <c r="N1726" s="327"/>
    </row>
    <row r="1727" spans="2:14" ht="15" x14ac:dyDescent="0.25">
      <c r="B1727" s="91"/>
      <c r="C1727" s="66"/>
      <c r="D1727" s="90"/>
      <c r="E1727" s="67"/>
      <c r="F1727" s="77"/>
      <c r="G1727" s="77"/>
      <c r="H1727" s="106"/>
      <c r="I1727" s="95"/>
      <c r="J1727" s="357"/>
      <c r="K1727" s="80"/>
      <c r="L1727" s="84"/>
      <c r="M1727" s="82"/>
      <c r="N1727" s="327"/>
    </row>
    <row r="1728" spans="2:14" ht="15" x14ac:dyDescent="0.25">
      <c r="B1728" s="91"/>
      <c r="C1728" s="66"/>
      <c r="D1728" s="90"/>
      <c r="E1728" s="67"/>
      <c r="F1728" s="77"/>
      <c r="G1728" s="77"/>
      <c r="H1728" s="106"/>
      <c r="I1728" s="95"/>
      <c r="J1728" s="357"/>
      <c r="K1728" s="69"/>
      <c r="L1728" s="84"/>
      <c r="M1728" s="82"/>
      <c r="N1728" s="327"/>
    </row>
    <row r="1729" spans="2:14" ht="15" x14ac:dyDescent="0.25">
      <c r="B1729" s="91"/>
      <c r="C1729" s="78"/>
      <c r="D1729" s="90"/>
      <c r="E1729" s="67"/>
      <c r="F1729" s="77"/>
      <c r="G1729" s="328"/>
      <c r="H1729" s="321"/>
      <c r="I1729" s="326"/>
      <c r="J1729" s="355"/>
      <c r="K1729" s="69"/>
      <c r="L1729" s="84"/>
      <c r="M1729" s="82"/>
      <c r="N1729" s="327"/>
    </row>
    <row r="1730" spans="2:14" x14ac:dyDescent="0.2">
      <c r="B1730" s="91"/>
      <c r="C1730" s="66"/>
      <c r="D1730" s="90"/>
      <c r="E1730" s="67"/>
      <c r="F1730" s="77"/>
      <c r="G1730" s="77"/>
      <c r="H1730" s="106"/>
      <c r="I1730" s="94"/>
      <c r="J1730" s="356"/>
      <c r="K1730" s="69"/>
      <c r="L1730" s="84"/>
      <c r="M1730" s="82"/>
      <c r="N1730" s="327"/>
    </row>
    <row r="1731" spans="2:14" ht="15" x14ac:dyDescent="0.25">
      <c r="B1731" s="91"/>
      <c r="C1731" s="66"/>
      <c r="D1731" s="90"/>
      <c r="E1731" s="67"/>
      <c r="F1731" s="77"/>
      <c r="G1731" s="77"/>
      <c r="H1731" s="106"/>
      <c r="I1731" s="95"/>
      <c r="J1731" s="357"/>
      <c r="K1731" s="69"/>
      <c r="L1731" s="84"/>
      <c r="M1731" s="82"/>
      <c r="N1731" s="327"/>
    </row>
    <row r="1732" spans="2:14" ht="15" x14ac:dyDescent="0.25">
      <c r="B1732" s="91"/>
      <c r="C1732" s="66"/>
      <c r="D1732" s="90"/>
      <c r="E1732" s="67"/>
      <c r="F1732" s="77"/>
      <c r="G1732" s="77"/>
      <c r="H1732" s="106"/>
      <c r="I1732" s="95"/>
      <c r="J1732" s="357"/>
      <c r="K1732" s="80"/>
      <c r="L1732" s="84"/>
      <c r="M1732" s="82"/>
      <c r="N1732" s="327"/>
    </row>
    <row r="1733" spans="2:14" x14ac:dyDescent="0.2">
      <c r="B1733" s="91"/>
      <c r="C1733" s="66"/>
      <c r="D1733" s="90"/>
      <c r="E1733" s="67"/>
      <c r="F1733" s="77"/>
      <c r="G1733" s="77"/>
      <c r="H1733" s="106"/>
      <c r="I1733" s="94"/>
      <c r="J1733" s="356"/>
      <c r="K1733" s="69"/>
      <c r="L1733" s="84"/>
      <c r="M1733" s="82"/>
      <c r="N1733" s="323"/>
    </row>
    <row r="1734" spans="2:14" ht="15" x14ac:dyDescent="0.25">
      <c r="B1734" s="91"/>
      <c r="C1734" s="66"/>
      <c r="D1734" s="90"/>
      <c r="E1734" s="67"/>
      <c r="F1734" s="77"/>
      <c r="G1734" s="77"/>
      <c r="H1734" s="106"/>
      <c r="I1734" s="95"/>
      <c r="J1734" s="357"/>
      <c r="K1734" s="69"/>
      <c r="L1734" s="322"/>
      <c r="M1734" s="82"/>
      <c r="N1734" s="323"/>
    </row>
    <row r="1735" spans="2:14" ht="15" x14ac:dyDescent="0.25">
      <c r="B1735" s="91"/>
      <c r="C1735" s="66"/>
      <c r="D1735" s="90"/>
      <c r="E1735" s="67"/>
      <c r="F1735" s="77"/>
      <c r="G1735" s="77"/>
      <c r="H1735" s="106"/>
      <c r="I1735" s="95"/>
      <c r="J1735" s="357"/>
      <c r="K1735" s="69"/>
      <c r="L1735" s="84"/>
      <c r="M1735" s="82"/>
      <c r="N1735" s="323"/>
    </row>
    <row r="1736" spans="2:14" ht="15" x14ac:dyDescent="0.25">
      <c r="B1736" s="65"/>
      <c r="C1736" s="78"/>
      <c r="D1736" s="90"/>
      <c r="E1736" s="67"/>
      <c r="F1736" s="77"/>
      <c r="G1736" s="328"/>
      <c r="H1736" s="321"/>
      <c r="I1736" s="326"/>
      <c r="J1736" s="355"/>
      <c r="K1736" s="69"/>
      <c r="L1736" s="322"/>
      <c r="M1736" s="82"/>
      <c r="N1736" s="323"/>
    </row>
    <row r="1737" spans="2:14" ht="15" x14ac:dyDescent="0.25">
      <c r="B1737" s="37"/>
      <c r="C1737" s="52"/>
      <c r="D1737" s="24"/>
      <c r="E1737" s="25"/>
      <c r="F1737" s="26"/>
      <c r="G1737" s="26"/>
      <c r="H1737" s="329"/>
      <c r="I1737" s="41"/>
      <c r="J1737" s="358"/>
      <c r="K1737" s="27"/>
      <c r="L1737" s="330"/>
      <c r="M1737" s="34"/>
      <c r="N1737" s="331"/>
    </row>
    <row r="1738" spans="2:14" ht="15" x14ac:dyDescent="0.25">
      <c r="B1738" s="37"/>
      <c r="C1738" s="53"/>
      <c r="D1738" s="24"/>
      <c r="E1738" s="25"/>
      <c r="F1738" s="26"/>
      <c r="G1738" s="325"/>
      <c r="H1738" s="332"/>
      <c r="I1738" s="333"/>
      <c r="J1738" s="359"/>
      <c r="K1738" s="27"/>
      <c r="L1738" s="33"/>
      <c r="M1738" s="34"/>
      <c r="N1738" s="331"/>
    </row>
    <row r="1739" spans="2:14" ht="15" x14ac:dyDescent="0.25">
      <c r="B1739" s="37"/>
      <c r="C1739" s="53"/>
      <c r="D1739" s="24"/>
      <c r="E1739" s="25"/>
      <c r="F1739" s="26"/>
      <c r="G1739" s="325"/>
      <c r="H1739" s="332"/>
      <c r="I1739" s="333"/>
      <c r="J1739" s="359"/>
      <c r="K1739" s="27"/>
      <c r="L1739" s="330"/>
      <c r="M1739" s="34"/>
      <c r="N1739" s="331"/>
    </row>
    <row r="1740" spans="2:14" ht="15" x14ac:dyDescent="0.25">
      <c r="B1740" s="37"/>
      <c r="C1740" s="53"/>
      <c r="D1740" s="24"/>
      <c r="E1740" s="25"/>
      <c r="F1740" s="26"/>
      <c r="G1740" s="325"/>
      <c r="H1740" s="332"/>
      <c r="I1740" s="333"/>
      <c r="J1740" s="359"/>
      <c r="K1740" s="27"/>
      <c r="L1740" s="330"/>
      <c r="M1740" s="34"/>
      <c r="N1740" s="331"/>
    </row>
    <row r="1741" spans="2:14" ht="15" x14ac:dyDescent="0.25">
      <c r="B1741" s="37"/>
      <c r="C1741" s="53"/>
      <c r="D1741" s="24"/>
      <c r="E1741" s="25"/>
      <c r="F1741" s="26"/>
      <c r="G1741" s="325"/>
      <c r="H1741" s="332"/>
      <c r="I1741" s="333"/>
      <c r="J1741" s="359"/>
      <c r="K1741" s="27"/>
      <c r="L1741" s="330"/>
      <c r="M1741" s="34"/>
      <c r="N1741" s="331"/>
    </row>
    <row r="1742" spans="2:14" ht="15" x14ac:dyDescent="0.25">
      <c r="B1742" s="30"/>
      <c r="C1742" s="52"/>
      <c r="D1742" s="24"/>
      <c r="E1742" s="25"/>
      <c r="F1742" s="26"/>
      <c r="G1742" s="26"/>
      <c r="H1742" s="329"/>
      <c r="I1742" s="41"/>
      <c r="J1742" s="358"/>
      <c r="K1742" s="27"/>
      <c r="L1742" s="330"/>
      <c r="M1742" s="34"/>
      <c r="N1742" s="331"/>
    </row>
    <row r="1743" spans="2:14" ht="15" x14ac:dyDescent="0.25">
      <c r="B1743" s="37"/>
      <c r="C1743" s="53"/>
      <c r="D1743" s="24"/>
      <c r="E1743" s="25"/>
      <c r="F1743" s="26"/>
      <c r="G1743" s="325"/>
      <c r="H1743" s="332"/>
      <c r="I1743" s="333"/>
      <c r="J1743" s="359"/>
      <c r="K1743" s="27"/>
      <c r="L1743" s="330"/>
      <c r="M1743" s="34"/>
      <c r="N1743" s="331"/>
    </row>
    <row r="1744" spans="2:14" ht="15" x14ac:dyDescent="0.25">
      <c r="B1744" s="37"/>
      <c r="C1744" s="53"/>
      <c r="D1744" s="24"/>
      <c r="E1744" s="25"/>
      <c r="F1744" s="26"/>
      <c r="G1744" s="325"/>
      <c r="H1744" s="332"/>
      <c r="I1744" s="333"/>
      <c r="J1744" s="359"/>
      <c r="K1744" s="27"/>
      <c r="L1744" s="330"/>
      <c r="M1744" s="34"/>
      <c r="N1744" s="331"/>
    </row>
    <row r="1745" spans="2:14" ht="15" x14ac:dyDescent="0.25">
      <c r="B1745" s="37"/>
      <c r="C1745" s="53"/>
      <c r="D1745" s="24"/>
      <c r="E1745" s="25"/>
      <c r="F1745" s="26"/>
      <c r="G1745" s="325"/>
      <c r="H1745" s="332"/>
      <c r="I1745" s="333"/>
      <c r="J1745" s="359"/>
      <c r="K1745" s="27"/>
      <c r="L1745" s="330"/>
      <c r="M1745" s="34"/>
      <c r="N1745" s="35"/>
    </row>
    <row r="1746" spans="2:14" ht="15" x14ac:dyDescent="0.25">
      <c r="B1746" s="30"/>
      <c r="C1746" s="23"/>
      <c r="D1746" s="24"/>
      <c r="E1746" s="25"/>
      <c r="F1746" s="26"/>
      <c r="G1746" s="325"/>
      <c r="H1746" s="332"/>
      <c r="I1746" s="333"/>
      <c r="J1746" s="359"/>
      <c r="K1746" s="27"/>
      <c r="L1746" s="330"/>
      <c r="M1746" s="34"/>
      <c r="N1746" s="35"/>
    </row>
    <row r="1747" spans="2:14" ht="15" x14ac:dyDescent="0.25">
      <c r="B1747" s="30"/>
      <c r="C1747" s="52"/>
      <c r="D1747" s="24"/>
      <c r="E1747" s="25"/>
      <c r="F1747" s="26"/>
      <c r="G1747" s="26"/>
      <c r="H1747" s="329"/>
      <c r="I1747" s="41"/>
      <c r="J1747" s="358"/>
      <c r="K1747" s="27"/>
      <c r="L1747" s="33"/>
      <c r="M1747" s="34"/>
      <c r="N1747" s="35"/>
    </row>
    <row r="1748" spans="2:14" ht="15" x14ac:dyDescent="0.25">
      <c r="B1748" s="37"/>
      <c r="C1748" s="52"/>
      <c r="D1748" s="24"/>
      <c r="E1748" s="25"/>
      <c r="F1748" s="26"/>
      <c r="G1748" s="26"/>
      <c r="H1748" s="329"/>
      <c r="I1748" s="41"/>
      <c r="J1748" s="358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60"/>
      <c r="G1749" s="26"/>
      <c r="H1749" s="329"/>
      <c r="I1749" s="41"/>
      <c r="J1749" s="358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"/>
      <c r="M1753" s="34"/>
      <c r="N1753" s="35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"/>
      <c r="M1754" s="34"/>
      <c r="N1754" s="35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"/>
      <c r="M1755" s="34"/>
      <c r="N1755" s="35"/>
    </row>
    <row r="1756" spans="2:14" ht="15" x14ac:dyDescent="0.25">
      <c r="B1756" s="37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0"/>
      <c r="M1756" s="34"/>
      <c r="N1756" s="35"/>
    </row>
    <row r="1757" spans="2:14" x14ac:dyDescent="0.2">
      <c r="B1757" s="37"/>
      <c r="C1757" s="23"/>
      <c r="D1757" s="24"/>
      <c r="E1757" s="25"/>
      <c r="F1757" s="60"/>
      <c r="G1757" s="26"/>
      <c r="H1757" s="329"/>
      <c r="I1757" s="42"/>
      <c r="J1757" s="360"/>
      <c r="K1757" s="27"/>
      <c r="L1757" s="33"/>
      <c r="M1757" s="34"/>
      <c r="N1757" s="35"/>
    </row>
    <row r="1758" spans="2:14" ht="15" x14ac:dyDescent="0.25">
      <c r="B1758" s="37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"/>
      <c r="M1758" s="34"/>
      <c r="N1758" s="35"/>
    </row>
    <row r="1759" spans="2:14" ht="15" x14ac:dyDescent="0.25">
      <c r="B1759" s="37"/>
      <c r="C1759" s="52"/>
      <c r="D1759" s="24"/>
      <c r="E1759" s="25"/>
      <c r="F1759" s="60"/>
      <c r="G1759" s="26"/>
      <c r="H1759" s="329"/>
      <c r="I1759" s="41"/>
      <c r="J1759" s="358"/>
      <c r="K1759" s="27"/>
      <c r="L1759" s="33"/>
      <c r="M1759" s="34"/>
      <c r="N1759" s="35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52"/>
      <c r="D1761" s="24"/>
      <c r="E1761" s="25"/>
      <c r="F1761" s="26"/>
      <c r="G1761" s="26"/>
      <c r="H1761" s="329"/>
      <c r="I1761" s="41"/>
      <c r="J1761" s="358"/>
      <c r="K1761" s="27"/>
      <c r="L1761" s="33"/>
      <c r="M1761" s="34"/>
      <c r="N1761" s="35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7"/>
      <c r="C1764" s="5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0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0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3"/>
      <c r="D1768" s="24"/>
      <c r="E1768" s="25"/>
      <c r="F1768" s="26"/>
      <c r="G1768" s="325"/>
      <c r="H1768" s="332"/>
      <c r="I1768" s="333"/>
      <c r="J1768" s="359"/>
      <c r="K1768" s="27"/>
      <c r="L1768" s="330"/>
      <c r="M1768" s="34"/>
      <c r="N1768" s="35"/>
    </row>
    <row r="1769" spans="2:14" ht="15" x14ac:dyDescent="0.25">
      <c r="B1769" s="37"/>
      <c r="C1769" s="53"/>
      <c r="D1769" s="24"/>
      <c r="E1769" s="25"/>
      <c r="F1769" s="26"/>
      <c r="G1769" s="325"/>
      <c r="H1769" s="332"/>
      <c r="I1769" s="333"/>
      <c r="J1769" s="359"/>
      <c r="K1769" s="27"/>
      <c r="L1769" s="330"/>
      <c r="M1769" s="34"/>
      <c r="N1769" s="35"/>
    </row>
    <row r="1770" spans="2:14" ht="15" x14ac:dyDescent="0.25">
      <c r="B1770" s="37"/>
      <c r="C1770" s="53"/>
      <c r="D1770" s="24"/>
      <c r="E1770" s="25"/>
      <c r="F1770" s="26"/>
      <c r="G1770" s="325"/>
      <c r="H1770" s="332"/>
      <c r="I1770" s="333"/>
      <c r="J1770" s="359"/>
      <c r="K1770" s="27"/>
      <c r="L1770" s="330"/>
      <c r="M1770" s="34"/>
      <c r="N1770" s="35"/>
    </row>
    <row r="1771" spans="2:14" ht="15" x14ac:dyDescent="0.25">
      <c r="B1771" s="30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0"/>
      <c r="C1772" s="23"/>
      <c r="D1772" s="24"/>
      <c r="E1772" s="25"/>
      <c r="F1772" s="26"/>
      <c r="G1772" s="26"/>
      <c r="H1772" s="329"/>
      <c r="I1772" s="41"/>
      <c r="J1772" s="358"/>
      <c r="K1772" s="36"/>
      <c r="L1772" s="33"/>
      <c r="M1772" s="34"/>
      <c r="N1772" s="35"/>
    </row>
    <row r="1773" spans="2:14" ht="15" x14ac:dyDescent="0.25">
      <c r="B1773" s="30"/>
      <c r="C1773" s="23"/>
      <c r="D1773" s="24"/>
      <c r="E1773" s="25"/>
      <c r="F1773" s="26"/>
      <c r="G1773" s="325"/>
      <c r="H1773" s="332"/>
      <c r="I1773" s="333"/>
      <c r="J1773" s="359"/>
      <c r="K1773" s="27"/>
      <c r="L1773" s="33"/>
      <c r="M1773" s="34"/>
      <c r="N1773" s="35"/>
    </row>
    <row r="1774" spans="2:14" ht="15" x14ac:dyDescent="0.25">
      <c r="B1774" s="30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x14ac:dyDescent="0.2">
      <c r="B1775" s="37"/>
      <c r="C1775" s="52"/>
      <c r="D1775" s="24"/>
      <c r="E1775" s="25"/>
      <c r="F1775" s="26"/>
      <c r="G1775" s="26"/>
      <c r="H1775" s="329"/>
      <c r="I1775" s="42"/>
      <c r="J1775" s="360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x14ac:dyDescent="0.2">
      <c r="B1778" s="37"/>
      <c r="C1778" s="52"/>
      <c r="D1778" s="24"/>
      <c r="E1778" s="25"/>
      <c r="F1778" s="26"/>
      <c r="G1778" s="26"/>
      <c r="H1778" s="329"/>
      <c r="I1778" s="42"/>
      <c r="J1778" s="360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x14ac:dyDescent="0.2">
      <c r="B1780" s="37"/>
      <c r="C1780" s="52"/>
      <c r="D1780" s="24"/>
      <c r="E1780" s="25"/>
      <c r="F1780" s="26"/>
      <c r="G1780" s="26"/>
      <c r="H1780" s="329"/>
      <c r="I1780" s="42"/>
      <c r="J1780" s="360"/>
      <c r="K1780" s="27"/>
      <c r="L1780" s="33"/>
      <c r="M1780" s="34"/>
      <c r="N1780" s="35"/>
    </row>
    <row r="1781" spans="2:14" x14ac:dyDescent="0.2">
      <c r="B1781" s="37"/>
      <c r="C1781" s="23"/>
      <c r="D1781" s="24"/>
      <c r="E1781" s="25"/>
      <c r="F1781" s="26"/>
      <c r="G1781" s="325"/>
      <c r="H1781" s="332"/>
      <c r="I1781" s="334"/>
      <c r="J1781" s="361"/>
      <c r="K1781" s="27"/>
      <c r="L1781" s="33"/>
      <c r="M1781" s="34"/>
      <c r="N1781" s="35"/>
    </row>
    <row r="1782" spans="2:14" x14ac:dyDescent="0.2">
      <c r="B1782" s="37"/>
      <c r="C1782" s="52"/>
      <c r="D1782" s="24"/>
      <c r="E1782" s="25"/>
      <c r="F1782" s="26"/>
      <c r="G1782" s="26"/>
      <c r="H1782" s="329"/>
      <c r="I1782" s="42"/>
      <c r="J1782" s="360"/>
      <c r="K1782" s="36"/>
      <c r="L1782" s="33"/>
      <c r="M1782" s="34"/>
      <c r="N1782" s="35"/>
    </row>
    <row r="1783" spans="2:14" x14ac:dyDescent="0.2">
      <c r="B1783" s="37"/>
      <c r="C1783" s="53"/>
      <c r="D1783" s="24"/>
      <c r="E1783" s="25"/>
      <c r="F1783" s="26"/>
      <c r="G1783" s="26"/>
      <c r="H1783" s="329"/>
      <c r="I1783" s="334"/>
      <c r="J1783" s="361"/>
      <c r="K1783" s="36"/>
      <c r="L1783" s="330"/>
      <c r="M1783" s="34"/>
      <c r="N1783" s="35"/>
    </row>
    <row r="1784" spans="2:14" ht="15" x14ac:dyDescent="0.25">
      <c r="B1784" s="37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0"/>
      <c r="M1784" s="34"/>
      <c r="N1784" s="35"/>
    </row>
    <row r="1785" spans="2:14" ht="15" x14ac:dyDescent="0.25">
      <c r="B1785" s="37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26"/>
      <c r="H1786" s="329"/>
      <c r="I1786" s="333"/>
      <c r="J1786" s="359"/>
      <c r="K1786" s="36"/>
      <c r="L1786" s="33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ht="15" x14ac:dyDescent="0.25">
      <c r="B1791" s="37"/>
      <c r="C1791" s="53"/>
      <c r="D1791" s="24"/>
      <c r="E1791" s="25"/>
      <c r="F1791" s="26"/>
      <c r="G1791" s="325"/>
      <c r="H1791" s="332"/>
      <c r="I1791" s="333"/>
      <c r="J1791" s="359"/>
      <c r="K1791" s="27"/>
      <c r="L1791" s="330"/>
      <c r="M1791" s="34"/>
      <c r="N1791" s="35"/>
    </row>
    <row r="1792" spans="2:14" ht="15" x14ac:dyDescent="0.25">
      <c r="B1792" s="37"/>
      <c r="C1792" s="53"/>
      <c r="D1792" s="24"/>
      <c r="E1792" s="25"/>
      <c r="F1792" s="26"/>
      <c r="G1792" s="325"/>
      <c r="H1792" s="332"/>
      <c r="I1792" s="333"/>
      <c r="J1792" s="359"/>
      <c r="K1792" s="27"/>
      <c r="L1792" s="330"/>
      <c r="M1792" s="34"/>
      <c r="N1792" s="35"/>
    </row>
    <row r="1793" spans="2:14" ht="15" x14ac:dyDescent="0.25">
      <c r="B1793" s="37"/>
      <c r="C1793" s="53"/>
      <c r="D1793" s="24"/>
      <c r="E1793" s="25"/>
      <c r="F1793" s="26"/>
      <c r="G1793" s="325"/>
      <c r="H1793" s="332"/>
      <c r="I1793" s="333"/>
      <c r="J1793" s="359"/>
      <c r="K1793" s="27"/>
      <c r="L1793" s="330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ht="15" x14ac:dyDescent="0.25">
      <c r="B1795" s="30"/>
      <c r="C1795" s="52"/>
      <c r="D1795" s="24"/>
      <c r="E1795" s="25"/>
      <c r="F1795" s="26"/>
      <c r="G1795" s="26"/>
      <c r="H1795" s="329"/>
      <c r="I1795" s="41"/>
      <c r="J1795" s="358"/>
      <c r="K1795" s="36"/>
      <c r="L1795" s="33"/>
      <c r="M1795" s="34"/>
      <c r="N1795" s="35"/>
    </row>
    <row r="1796" spans="2:14" ht="15" x14ac:dyDescent="0.25">
      <c r="B1796" s="30"/>
      <c r="C1796" s="52"/>
      <c r="D1796" s="24"/>
      <c r="E1796" s="25"/>
      <c r="F1796" s="26"/>
      <c r="G1796" s="26"/>
      <c r="H1796" s="329"/>
      <c r="I1796" s="41"/>
      <c r="J1796" s="358"/>
      <c r="K1796" s="36"/>
      <c r="L1796" s="33"/>
      <c r="M1796" s="34"/>
      <c r="N1796" s="35"/>
    </row>
    <row r="1797" spans="2:14" ht="15" x14ac:dyDescent="0.25">
      <c r="B1797" s="30"/>
      <c r="C1797" s="23"/>
      <c r="D1797" s="24"/>
      <c r="E1797" s="25"/>
      <c r="F1797" s="26"/>
      <c r="G1797" s="26"/>
      <c r="H1797" s="329"/>
      <c r="I1797" s="41"/>
      <c r="J1797" s="358"/>
      <c r="K1797" s="36"/>
      <c r="L1797" s="33"/>
      <c r="M1797" s="34"/>
      <c r="N1797" s="35"/>
    </row>
    <row r="1798" spans="2:14" ht="15" x14ac:dyDescent="0.25">
      <c r="B1798" s="30"/>
      <c r="C1798" s="23"/>
      <c r="D1798" s="24"/>
      <c r="E1798" s="25"/>
      <c r="F1798" s="26"/>
      <c r="G1798" s="26"/>
      <c r="H1798" s="329"/>
      <c r="I1798" s="41"/>
      <c r="J1798" s="358"/>
      <c r="K1798" s="27"/>
      <c r="L1798" s="33"/>
      <c r="M1798" s="34"/>
      <c r="N1798" s="35"/>
    </row>
    <row r="1799" spans="2:14" ht="15" x14ac:dyDescent="0.25">
      <c r="B1799" s="30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0"/>
      <c r="C1800" s="23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0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0"/>
      <c r="C1802" s="53"/>
      <c r="D1802" s="24"/>
      <c r="E1802" s="25"/>
      <c r="F1802" s="26"/>
      <c r="G1802" s="325"/>
      <c r="H1802" s="332"/>
      <c r="I1802" s="333"/>
      <c r="J1802" s="359"/>
      <c r="K1802" s="36"/>
      <c r="L1802" s="33"/>
      <c r="M1802" s="34"/>
      <c r="N1802" s="35"/>
    </row>
    <row r="1803" spans="2:14" ht="15" x14ac:dyDescent="0.25">
      <c r="B1803" s="30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ht="15" x14ac:dyDescent="0.25">
      <c r="B1804" s="30"/>
      <c r="C1804" s="52"/>
      <c r="D1804" s="24"/>
      <c r="E1804" s="25"/>
      <c r="F1804" s="26"/>
      <c r="G1804" s="26"/>
      <c r="H1804" s="329"/>
      <c r="I1804" s="41"/>
      <c r="J1804" s="358"/>
      <c r="K1804" s="36"/>
      <c r="L1804" s="33"/>
      <c r="M1804" s="34"/>
      <c r="N1804" s="35"/>
    </row>
    <row r="1805" spans="2:14" ht="15" x14ac:dyDescent="0.25">
      <c r="B1805" s="37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x14ac:dyDescent="0.2">
      <c r="B1806" s="37"/>
      <c r="C1806" s="23"/>
      <c r="D1806" s="24"/>
      <c r="E1806" s="25"/>
      <c r="F1806" s="26"/>
      <c r="G1806" s="26"/>
      <c r="H1806" s="329"/>
      <c r="I1806" s="42"/>
      <c r="J1806" s="360"/>
      <c r="K1806" s="36"/>
      <c r="L1806" s="33"/>
      <c r="M1806" s="34"/>
      <c r="N1806" s="35"/>
    </row>
    <row r="1807" spans="2:14" x14ac:dyDescent="0.2">
      <c r="B1807" s="37"/>
      <c r="C1807" s="23"/>
      <c r="D1807" s="24"/>
      <c r="E1807" s="25"/>
      <c r="F1807" s="26"/>
      <c r="G1807" s="26"/>
      <c r="H1807" s="329"/>
      <c r="I1807" s="42"/>
      <c r="J1807" s="360"/>
      <c r="K1807" s="36"/>
      <c r="L1807" s="33"/>
      <c r="M1807" s="34"/>
      <c r="N1807" s="35"/>
    </row>
    <row r="1808" spans="2:14" ht="15" x14ac:dyDescent="0.25">
      <c r="B1808" s="37"/>
      <c r="C1808" s="23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x14ac:dyDescent="0.2">
      <c r="B1809" s="37"/>
      <c r="C1809" s="52"/>
      <c r="D1809" s="24"/>
      <c r="E1809" s="25"/>
      <c r="F1809" s="26"/>
      <c r="G1809" s="26"/>
      <c r="H1809" s="329"/>
      <c r="I1809" s="42"/>
      <c r="J1809" s="360"/>
      <c r="K1809" s="36"/>
      <c r="L1809" s="33"/>
      <c r="M1809" s="34"/>
      <c r="N1809" s="35"/>
    </row>
    <row r="1810" spans="2:14" ht="15" x14ac:dyDescent="0.25">
      <c r="B1810" s="37"/>
      <c r="C1810" s="52"/>
      <c r="D1810" s="24"/>
      <c r="E1810" s="25"/>
      <c r="F1810" s="26"/>
      <c r="G1810" s="26"/>
      <c r="H1810" s="329"/>
      <c r="I1810" s="41"/>
      <c r="J1810" s="358"/>
      <c r="K1810" s="27"/>
      <c r="L1810" s="33"/>
      <c r="M1810" s="34"/>
      <c r="N1810" s="35"/>
    </row>
    <row r="1811" spans="2:14" x14ac:dyDescent="0.2">
      <c r="B1811" s="37"/>
      <c r="C1811" s="52"/>
      <c r="D1811" s="24"/>
      <c r="E1811" s="25"/>
      <c r="F1811" s="26"/>
      <c r="G1811" s="26"/>
      <c r="H1811" s="329"/>
      <c r="I1811" s="42"/>
      <c r="J1811" s="360"/>
      <c r="K1811" s="36"/>
      <c r="L1811" s="330"/>
      <c r="M1811" s="34"/>
      <c r="N1811" s="35"/>
    </row>
    <row r="1812" spans="2:14" ht="15" x14ac:dyDescent="0.25">
      <c r="B1812" s="37"/>
      <c r="C1812" s="23"/>
      <c r="D1812" s="24"/>
      <c r="E1812" s="25"/>
      <c r="F1812" s="26"/>
      <c r="G1812" s="26"/>
      <c r="H1812" s="329"/>
      <c r="I1812" s="41"/>
      <c r="J1812" s="358"/>
      <c r="K1812" s="27"/>
      <c r="L1812" s="330"/>
      <c r="M1812" s="34"/>
      <c r="N1812" s="35"/>
    </row>
    <row r="1813" spans="2:14" ht="15" x14ac:dyDescent="0.25">
      <c r="B1813" s="37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0"/>
      <c r="M1813" s="34"/>
      <c r="N1813" s="35"/>
    </row>
    <row r="1814" spans="2:14" x14ac:dyDescent="0.2">
      <c r="B1814" s="37"/>
      <c r="C1814" s="23"/>
      <c r="D1814" s="24"/>
      <c r="E1814" s="25"/>
      <c r="F1814" s="26"/>
      <c r="G1814" s="325"/>
      <c r="H1814" s="332"/>
      <c r="I1814" s="334"/>
      <c r="J1814" s="361"/>
      <c r="K1814" s="27"/>
      <c r="L1814" s="33"/>
      <c r="M1814" s="34"/>
      <c r="N1814" s="35"/>
    </row>
    <row r="1815" spans="2:14" ht="15" x14ac:dyDescent="0.25">
      <c r="B1815" s="37"/>
      <c r="C1815" s="53"/>
      <c r="D1815" s="24"/>
      <c r="E1815" s="25"/>
      <c r="F1815" s="26"/>
      <c r="G1815" s="325"/>
      <c r="H1815" s="332"/>
      <c r="I1815" s="333"/>
      <c r="J1815" s="359"/>
      <c r="K1815" s="27"/>
      <c r="L1815" s="330"/>
      <c r="M1815" s="34"/>
      <c r="N1815" s="35"/>
    </row>
    <row r="1816" spans="2:14" ht="15" x14ac:dyDescent="0.25">
      <c r="B1816" s="37"/>
      <c r="C1816" s="53"/>
      <c r="D1816" s="24"/>
      <c r="E1816" s="25"/>
      <c r="F1816" s="26"/>
      <c r="G1816" s="325"/>
      <c r="H1816" s="332"/>
      <c r="I1816" s="333"/>
      <c r="J1816" s="359"/>
      <c r="K1816" s="27"/>
      <c r="L1816" s="330"/>
      <c r="M1816" s="34"/>
      <c r="N1816" s="35"/>
    </row>
    <row r="1817" spans="2:14" ht="15" x14ac:dyDescent="0.25">
      <c r="B1817" s="37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x14ac:dyDescent="0.2">
      <c r="B1818" s="37"/>
      <c r="C1818" s="23"/>
      <c r="D1818" s="24"/>
      <c r="E1818" s="25"/>
      <c r="F1818" s="26"/>
      <c r="G1818" s="325"/>
      <c r="H1818" s="332"/>
      <c r="I1818" s="334"/>
      <c r="J1818" s="361"/>
      <c r="K1818" s="27"/>
      <c r="L1818" s="33"/>
      <c r="M1818" s="34"/>
      <c r="N1818" s="35"/>
    </row>
    <row r="1819" spans="2:14" ht="15" x14ac:dyDescent="0.25">
      <c r="B1819" s="37"/>
      <c r="C1819" s="53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ht="15" x14ac:dyDescent="0.25">
      <c r="B1820" s="37"/>
      <c r="C1820" s="53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ht="15" x14ac:dyDescent="0.25">
      <c r="B1821" s="37"/>
      <c r="C1821" s="53"/>
      <c r="D1821" s="24"/>
      <c r="E1821" s="25"/>
      <c r="F1821" s="26"/>
      <c r="G1821" s="325"/>
      <c r="H1821" s="332"/>
      <c r="I1821" s="333"/>
      <c r="J1821" s="359"/>
      <c r="K1821" s="27"/>
      <c r="L1821" s="330"/>
      <c r="M1821" s="34"/>
      <c r="N1821" s="35"/>
    </row>
    <row r="1822" spans="2:14" ht="15" x14ac:dyDescent="0.25">
      <c r="B1822" s="37"/>
      <c r="C1822" s="53"/>
      <c r="D1822" s="24"/>
      <c r="E1822" s="25"/>
      <c r="F1822" s="26"/>
      <c r="G1822" s="325"/>
      <c r="H1822" s="332"/>
      <c r="I1822" s="333"/>
      <c r="J1822" s="359"/>
      <c r="K1822" s="27"/>
      <c r="L1822" s="330"/>
      <c r="M1822" s="34"/>
      <c r="N1822" s="35"/>
    </row>
    <row r="1823" spans="2:14" ht="15" x14ac:dyDescent="0.25">
      <c r="B1823" s="37"/>
      <c r="D1823" s="24"/>
      <c r="E1823" s="25"/>
      <c r="F1823" s="26"/>
      <c r="G1823" s="325"/>
      <c r="H1823" s="332"/>
      <c r="I1823" s="333"/>
      <c r="J1823" s="359"/>
      <c r="K1823" s="27"/>
      <c r="L1823" s="330"/>
      <c r="M1823" s="34"/>
      <c r="N1823" s="35"/>
    </row>
    <row r="1824" spans="2:14" ht="15" x14ac:dyDescent="0.25">
      <c r="B1824" s="30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ht="15" x14ac:dyDescent="0.25">
      <c r="B1825" s="30"/>
      <c r="C1825" s="23"/>
      <c r="D1825" s="24"/>
      <c r="E1825" s="25"/>
      <c r="F1825" s="26"/>
      <c r="G1825" s="26"/>
      <c r="H1825" s="329"/>
      <c r="I1825" s="41"/>
      <c r="J1825" s="358"/>
      <c r="K1825" s="36"/>
      <c r="L1825" s="33"/>
      <c r="M1825" s="34"/>
      <c r="N1825" s="35"/>
    </row>
    <row r="1826" spans="2:14" ht="15" x14ac:dyDescent="0.25">
      <c r="B1826" s="30"/>
      <c r="C1826" s="23"/>
      <c r="D1826" s="24"/>
      <c r="E1826" s="25"/>
      <c r="F1826" s="26"/>
      <c r="G1826" s="325"/>
      <c r="H1826" s="332"/>
      <c r="I1826" s="333"/>
      <c r="J1826" s="359"/>
      <c r="K1826" s="27"/>
      <c r="L1826" s="33"/>
      <c r="M1826" s="34"/>
      <c r="N1826" s="35"/>
    </row>
    <row r="1827" spans="2:14" x14ac:dyDescent="0.2">
      <c r="B1827" s="30"/>
      <c r="C1827" s="23"/>
      <c r="D1827" s="24"/>
      <c r="E1827" s="25"/>
      <c r="F1827" s="26"/>
      <c r="G1827" s="26"/>
      <c r="H1827" s="329"/>
      <c r="I1827" s="42"/>
      <c r="J1827" s="360"/>
      <c r="K1827" s="27"/>
      <c r="L1827" s="33"/>
      <c r="M1827" s="34"/>
      <c r="N1827" s="35"/>
    </row>
    <row r="1828" spans="2:14" x14ac:dyDescent="0.2">
      <c r="B1828" s="37"/>
      <c r="C1828" s="23"/>
      <c r="D1828" s="24"/>
      <c r="E1828" s="25"/>
      <c r="F1828" s="26"/>
      <c r="G1828" s="26"/>
      <c r="H1828" s="329"/>
      <c r="I1828" s="42"/>
      <c r="J1828" s="360"/>
      <c r="K1828" s="27"/>
      <c r="L1828" s="33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26"/>
      <c r="H1829" s="329"/>
      <c r="I1829" s="42"/>
      <c r="J1829" s="360"/>
      <c r="K1829" s="36"/>
      <c r="L1829" s="33"/>
      <c r="M1829" s="34"/>
      <c r="N1829" s="35"/>
    </row>
    <row r="1830" spans="2:14" ht="15" x14ac:dyDescent="0.25">
      <c r="B1830" s="30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"/>
      <c r="M1830" s="34"/>
      <c r="N1830" s="35"/>
    </row>
    <row r="1831" spans="2:14" x14ac:dyDescent="0.2">
      <c r="B1831" s="30"/>
      <c r="C1831" s="23"/>
      <c r="D1831" s="24"/>
      <c r="E1831" s="25"/>
      <c r="F1831" s="26"/>
      <c r="G1831" s="26"/>
      <c r="H1831" s="329"/>
      <c r="I1831" s="42"/>
      <c r="J1831" s="360"/>
      <c r="K1831" s="27"/>
      <c r="L1831" s="33"/>
      <c r="M1831" s="34"/>
      <c r="N1831" s="35"/>
    </row>
    <row r="1832" spans="2:14" ht="15" x14ac:dyDescent="0.25">
      <c r="B1832" s="30"/>
      <c r="C1832" s="23"/>
      <c r="D1832" s="24"/>
      <c r="E1832" s="25"/>
      <c r="F1832" s="26"/>
      <c r="G1832" s="325"/>
      <c r="H1832" s="332"/>
      <c r="I1832" s="333"/>
      <c r="J1832" s="359"/>
      <c r="K1832" s="27"/>
      <c r="L1832" s="33"/>
      <c r="M1832" s="34"/>
      <c r="N1832" s="35"/>
    </row>
    <row r="1833" spans="2:14" ht="15" x14ac:dyDescent="0.25">
      <c r="B1833" s="37"/>
      <c r="C1833" s="23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26"/>
      <c r="H1834" s="329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23"/>
      <c r="D1835" s="24"/>
      <c r="E1835" s="25"/>
      <c r="F1835" s="26"/>
      <c r="G1835" s="26"/>
      <c r="H1835" s="329"/>
      <c r="I1835" s="41"/>
      <c r="J1835" s="358"/>
      <c r="K1835" s="27"/>
      <c r="L1835" s="330"/>
      <c r="M1835" s="34"/>
      <c r="N1835" s="35"/>
    </row>
    <row r="1836" spans="2:14" ht="15" x14ac:dyDescent="0.25">
      <c r="B1836" s="37"/>
      <c r="C1836" s="23"/>
      <c r="D1836" s="24"/>
      <c r="E1836" s="25"/>
      <c r="F1836" s="26"/>
      <c r="G1836" s="26"/>
      <c r="H1836" s="329"/>
      <c r="I1836" s="41"/>
      <c r="J1836" s="358"/>
      <c r="K1836" s="27"/>
      <c r="L1836" s="330"/>
      <c r="M1836" s="34"/>
      <c r="N1836" s="35"/>
    </row>
    <row r="1837" spans="2:14" x14ac:dyDescent="0.2">
      <c r="B1837" s="37"/>
      <c r="C1837" s="23"/>
      <c r="D1837" s="24"/>
      <c r="E1837" s="25"/>
      <c r="F1837" s="26"/>
      <c r="G1837" s="26"/>
      <c r="H1837" s="329"/>
      <c r="I1837" s="42"/>
      <c r="J1837" s="360"/>
      <c r="K1837" s="27"/>
      <c r="L1837" s="33"/>
      <c r="M1837" s="34"/>
      <c r="N1837" s="35"/>
    </row>
    <row r="1838" spans="2:14" x14ac:dyDescent="0.2">
      <c r="B1838" s="30"/>
      <c r="C1838" s="23"/>
      <c r="D1838" s="24"/>
      <c r="E1838" s="25"/>
      <c r="F1838" s="26"/>
      <c r="G1838" s="26"/>
      <c r="H1838" s="329"/>
      <c r="I1838" s="42"/>
      <c r="J1838" s="360"/>
      <c r="K1838" s="27"/>
      <c r="L1838" s="33"/>
      <c r="M1838" s="34"/>
      <c r="N1838" s="35"/>
    </row>
    <row r="1839" spans="2:14" ht="15" x14ac:dyDescent="0.25">
      <c r="B1839" s="37"/>
      <c r="C1839" s="2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C1840" s="2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27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27"/>
      <c r="L1843" s="330"/>
      <c r="M1843" s="34"/>
      <c r="N1843" s="35"/>
    </row>
    <row r="1844" spans="2:14" ht="15" x14ac:dyDescent="0.25">
      <c r="B1844" s="37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0"/>
      <c r="M1844" s="34"/>
      <c r="N1844" s="35"/>
    </row>
    <row r="1845" spans="2:14" ht="15" x14ac:dyDescent="0.25">
      <c r="B1845" s="37"/>
      <c r="C1845" s="23"/>
      <c r="D1845" s="24"/>
      <c r="E1845" s="25"/>
      <c r="F1845" s="26"/>
      <c r="G1845" s="325"/>
      <c r="H1845" s="332"/>
      <c r="I1845" s="333"/>
      <c r="J1845" s="359"/>
      <c r="K1845" s="27"/>
      <c r="L1845" s="330"/>
      <c r="M1845" s="34"/>
      <c r="N1845" s="35"/>
    </row>
    <row r="1846" spans="2:14" ht="15" x14ac:dyDescent="0.25">
      <c r="B1846" s="37"/>
      <c r="C1846" s="23"/>
      <c r="D1846" s="24"/>
      <c r="E1846" s="25"/>
      <c r="F1846" s="26"/>
      <c r="G1846" s="325"/>
      <c r="H1846" s="332"/>
      <c r="I1846" s="333"/>
      <c r="J1846" s="359"/>
      <c r="K1846" s="27"/>
      <c r="L1846" s="330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x14ac:dyDescent="0.2">
      <c r="B1848" s="37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42"/>
      <c r="J1849" s="360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36"/>
      <c r="L1850" s="33"/>
      <c r="M1850" s="34"/>
      <c r="N1850" s="35"/>
    </row>
  </sheetData>
  <sortState xmlns:xlrd2="http://schemas.microsoft.com/office/spreadsheetml/2017/richdata2" ref="B7:I1048557">
    <sortCondition ref="C7:C29"/>
  </sortState>
  <mergeCells count="3">
    <mergeCell ref="D1:H1"/>
    <mergeCell ref="D2:K2"/>
    <mergeCell ref="B3:F4"/>
  </mergeCells>
  <phoneticPr fontId="19" type="noConversion"/>
  <conditionalFormatting sqref="H1823:H1846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3:H1845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3:H1844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3:E1850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3:E1850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3:E1850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3:E1850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3:E1850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3:E1850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3:E1850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3:E1850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3:H1850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3:H1850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3:H1850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3:E1850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3:H1850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3:E1850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3:H1850">
    <cfRule type="iconSet" priority="282941">
      <iconSet>
        <cfvo type="percent" val="0"/>
        <cfvo type="percent" val="23"/>
        <cfvo type="percent" val="70"/>
      </iconSet>
    </cfRule>
  </conditionalFormatting>
  <conditionalFormatting sqref="H1823:H1850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3:H1850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3:H1850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3:H1850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3:E1850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3:H1850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3:H1850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3:H1850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3:H1850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3:H1850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3:E1850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3:H1850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3:H1850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3:E1850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3:E1850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3:H1850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3:H1850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3:H1850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3:E1850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3:H1850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3:H1850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3:H1850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3:H1850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3:H1850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3:H1850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3:E1850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3:H1850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3:H1850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3:H1850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3:H1850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3:H1850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3:H1850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3:H1850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3:H1850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3:E1850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3:H1850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3:E1850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3:H1850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3:E1850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3:H1850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3:H1850">
    <cfRule type="iconSet" priority="283409">
      <iconSet>
        <cfvo type="percent" val="0"/>
        <cfvo type="num" val="22"/>
        <cfvo type="num" val="26"/>
      </iconSet>
    </cfRule>
  </conditionalFormatting>
  <conditionalFormatting sqref="H1823:H1850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3:H1850">
    <cfRule type="iconSet" priority="283415">
      <iconSet>
        <cfvo type="percent" val="0"/>
        <cfvo type="num" val="21"/>
        <cfvo type="num" val="25"/>
      </iconSet>
    </cfRule>
  </conditionalFormatting>
  <conditionalFormatting sqref="H1823:H1850">
    <cfRule type="iconSet" priority="283417">
      <iconSet>
        <cfvo type="percent" val="0"/>
        <cfvo type="num" val="19"/>
        <cfvo type="num" val="23"/>
      </iconSet>
    </cfRule>
  </conditionalFormatting>
  <conditionalFormatting sqref="H1823:H1850">
    <cfRule type="iconSet" priority="283419">
      <iconSet>
        <cfvo type="percent" val="0"/>
        <cfvo type="num" val="23"/>
        <cfvo type="num" val="27"/>
      </iconSet>
    </cfRule>
  </conditionalFormatting>
  <conditionalFormatting sqref="E1737:E1739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32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31:E1160 E7:E29">
    <cfRule type="cellIs" dxfId="30" priority="170" operator="greaterThan">
      <formula>7</formula>
    </cfRule>
  </conditionalFormatting>
  <conditionalFormatting sqref="E1470:E4748">
    <cfRule type="cellIs" dxfId="29" priority="137" operator="greaterThan">
      <formula>7</formula>
    </cfRule>
  </conditionalFormatting>
  <conditionalFormatting sqref="I31:I1232 G31:G33 I7:I29">
    <cfRule type="cellIs" dxfId="28" priority="41" operator="lessThan">
      <formula>E7</formula>
    </cfRule>
  </conditionalFormatting>
  <conditionalFormatting sqref="I1823:I1850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3:I1850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3:I1850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3:I1850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3:I1850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3:I1850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3:I1850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3:I1850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3:I1850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3:I1850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3:I1850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3:I1850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3:I1850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3:I1850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9:H1456 H1243:H1417 H31:H1232 H7:H29">
    <cfRule type="cellIs" dxfId="27" priority="297711" operator="greaterThan">
      <formula>$H$30</formula>
    </cfRule>
  </conditionalFormatting>
  <conditionalFormatting sqref="L7:L1232">
    <cfRule type="top10" dxfId="26" priority="29771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76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E1823:E1850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H1823:H1850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E1737:E1739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I1823:I1850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H1823:H1850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H1823:H1850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L1823:L1850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L1823:L1850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L1823:L1850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L1823:L1850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L1823:L1850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H1823:H1850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E1717:E1736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$H$30</xm:f>
              </x14:cfvo>
              <x14:cfIcon iconSet="NoIcons" iconId="0"/>
              <x14:cfIcon iconSet="NoIcons" iconId="0"/>
              <x14:cfIcon iconSet="3Stars" iconId="2"/>
            </x14:iconSet>
          </x14:cfRule>
          <xm:sqref>H1243:H1253 H31:H1232 H7:H29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2025-12-08T05:03:33Z</cp:lastPrinted>
  <dcterms:created xsi:type="dcterms:W3CDTF">2021-05-05T13:25:05Z</dcterms:created>
  <dcterms:modified xsi:type="dcterms:W3CDTF">2025-12-08T05:04:02Z</dcterms:modified>
</cp:coreProperties>
</file>