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B66A01D-158B-4453-A982-5025794E65A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M7" i="1"/>
  <c r="O42" i="1"/>
  <c r="Q42" i="1" s="1"/>
  <c r="T42" i="1"/>
  <c r="H42" i="1"/>
  <c r="M42" i="1"/>
  <c r="O43" i="1"/>
  <c r="Q43" i="1" s="1"/>
  <c r="T43" i="1"/>
  <c r="C44" i="1"/>
  <c r="G44" i="1"/>
  <c r="I7" i="1" s="1"/>
  <c r="J7" i="1" s="1"/>
  <c r="F44" i="1"/>
  <c r="E44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M8" i="1"/>
  <c r="M9" i="1"/>
  <c r="M10" i="1"/>
  <c r="N7" i="1" s="1"/>
  <c r="M11" i="1"/>
  <c r="M12" i="1"/>
  <c r="M13" i="1"/>
  <c r="M14" i="1"/>
  <c r="M43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H20" i="1"/>
  <c r="H21" i="1"/>
  <c r="H40" i="1"/>
  <c r="H41" i="1"/>
  <c r="H8" i="1"/>
  <c r="H9" i="1"/>
  <c r="H10" i="1"/>
  <c r="H11" i="1"/>
  <c r="H12" i="1"/>
  <c r="H13" i="1"/>
  <c r="H14" i="1"/>
  <c r="H22" i="1"/>
  <c r="H43" i="1"/>
  <c r="H23" i="1"/>
  <c r="H15" i="1"/>
  <c r="H24" i="1"/>
  <c r="H16" i="1"/>
  <c r="H17" i="1"/>
  <c r="H25" i="1"/>
  <c r="H26" i="1"/>
  <c r="H18" i="1"/>
  <c r="H27" i="1"/>
  <c r="H19" i="1"/>
  <c r="H28" i="1"/>
  <c r="H35" i="1"/>
  <c r="H29" i="1"/>
  <c r="H30" i="1"/>
  <c r="H31" i="1"/>
  <c r="H32" i="1"/>
  <c r="H33" i="1"/>
  <c r="H34" i="1"/>
  <c r="H36" i="1"/>
  <c r="H37" i="1"/>
  <c r="H38" i="1"/>
  <c r="H39" i="1"/>
  <c r="T44" i="1"/>
  <c r="O44" i="1"/>
  <c r="Q44" i="1" s="1"/>
  <c r="P3" i="6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H11" i="3"/>
  <c r="E13" i="3"/>
  <c r="D12" i="3"/>
  <c r="AP6" i="3"/>
  <c r="I33" i="1" l="1"/>
  <c r="I29" i="1"/>
  <c r="N42" i="1"/>
  <c r="I42" i="1"/>
  <c r="I38" i="1"/>
  <c r="J38" i="1" s="1"/>
  <c r="I41" i="1"/>
  <c r="J41" i="1" s="1"/>
  <c r="I27" i="1"/>
  <c r="P27" i="1" s="1"/>
  <c r="L27" i="1" s="1"/>
  <c r="I17" i="1"/>
  <c r="P17" i="1" s="1"/>
  <c r="L17" i="1" s="1"/>
  <c r="I23" i="1"/>
  <c r="P23" i="1" s="1"/>
  <c r="L23" i="1" s="1"/>
  <c r="I13" i="1"/>
  <c r="J13" i="1" s="1"/>
  <c r="I9" i="1"/>
  <c r="J9" i="1" s="1"/>
  <c r="I40" i="1"/>
  <c r="J40" i="1" s="1"/>
  <c r="I37" i="1"/>
  <c r="P37" i="1" s="1"/>
  <c r="L37" i="1" s="1"/>
  <c r="I35" i="1"/>
  <c r="P35" i="1" s="1"/>
  <c r="L35" i="1" s="1"/>
  <c r="I16" i="1"/>
  <c r="J16" i="1" s="1"/>
  <c r="I12" i="1"/>
  <c r="J12" i="1" s="1"/>
  <c r="I21" i="1"/>
  <c r="J21" i="1" s="1"/>
  <c r="I36" i="1"/>
  <c r="I31" i="1"/>
  <c r="J31" i="1" s="1"/>
  <c r="I28" i="1"/>
  <c r="J28" i="1" s="1"/>
  <c r="I26" i="1"/>
  <c r="P26" i="1" s="1"/>
  <c r="L26" i="1" s="1"/>
  <c r="I24" i="1"/>
  <c r="P24" i="1" s="1"/>
  <c r="L24" i="1" s="1"/>
  <c r="I22" i="1"/>
  <c r="J22" i="1" s="1"/>
  <c r="I11" i="1"/>
  <c r="I8" i="1"/>
  <c r="J8" i="1" s="1"/>
  <c r="I20" i="1"/>
  <c r="J20" i="1" s="1"/>
  <c r="I32" i="1"/>
  <c r="P32" i="1" s="1"/>
  <c r="L32" i="1" s="1"/>
  <c r="I18" i="1"/>
  <c r="P18" i="1" s="1"/>
  <c r="L18" i="1" s="1"/>
  <c r="I43" i="1"/>
  <c r="I39" i="1"/>
  <c r="P39" i="1" s="1"/>
  <c r="L39" i="1" s="1"/>
  <c r="I34" i="1"/>
  <c r="P34" i="1" s="1"/>
  <c r="L34" i="1" s="1"/>
  <c r="I30" i="1"/>
  <c r="J30" i="1" s="1"/>
  <c r="I19" i="1"/>
  <c r="J19" i="1" s="1"/>
  <c r="I25" i="1"/>
  <c r="P25" i="1" s="1"/>
  <c r="L25" i="1" s="1"/>
  <c r="I15" i="1"/>
  <c r="J15" i="1" s="1"/>
  <c r="I14" i="1"/>
  <c r="I10" i="1"/>
  <c r="J10" i="1" s="1"/>
  <c r="N10" i="1"/>
  <c r="H44" i="1"/>
  <c r="U12" i="1" s="1"/>
  <c r="N40" i="1"/>
  <c r="N36" i="1"/>
  <c r="N32" i="1"/>
  <c r="N28" i="1"/>
  <c r="N24" i="1"/>
  <c r="N20" i="1"/>
  <c r="N16" i="1"/>
  <c r="N13" i="1"/>
  <c r="N9" i="1"/>
  <c r="N39" i="1"/>
  <c r="N35" i="1"/>
  <c r="N31" i="1"/>
  <c r="N27" i="1"/>
  <c r="N23" i="1"/>
  <c r="N19" i="1"/>
  <c r="N15" i="1"/>
  <c r="N12" i="1"/>
  <c r="N8" i="1"/>
  <c r="N38" i="1"/>
  <c r="N34" i="1"/>
  <c r="N30" i="1"/>
  <c r="N26" i="1"/>
  <c r="N22" i="1"/>
  <c r="N18" i="1"/>
  <c r="N43" i="1"/>
  <c r="N11" i="1"/>
  <c r="J33" i="1"/>
  <c r="J29" i="1"/>
  <c r="N41" i="1"/>
  <c r="N37" i="1"/>
  <c r="N33" i="1"/>
  <c r="N29" i="1"/>
  <c r="N25" i="1"/>
  <c r="N21" i="1"/>
  <c r="N17" i="1"/>
  <c r="N14" i="1"/>
  <c r="P33" i="1"/>
  <c r="L33" i="1" s="1"/>
  <c r="P29" i="1"/>
  <c r="L29" i="1" s="1"/>
  <c r="U44" i="1"/>
  <c r="P44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9" i="1" l="1"/>
  <c r="L19" i="1" s="1"/>
  <c r="P31" i="1"/>
  <c r="L31" i="1" s="1"/>
  <c r="J27" i="1"/>
  <c r="J26" i="1"/>
  <c r="P38" i="1"/>
  <c r="L38" i="1" s="1"/>
  <c r="P41" i="1"/>
  <c r="L41" i="1" s="1"/>
  <c r="U41" i="1"/>
  <c r="P13" i="1"/>
  <c r="P10" i="1"/>
  <c r="J23" i="1"/>
  <c r="P43" i="1"/>
  <c r="J42" i="1"/>
  <c r="P42" i="1"/>
  <c r="U42" i="1"/>
  <c r="U43" i="1"/>
  <c r="P28" i="1"/>
  <c r="L28" i="1" s="1"/>
  <c r="P22" i="1"/>
  <c r="L22" i="1" s="1"/>
  <c r="P9" i="1"/>
  <c r="U11" i="1"/>
  <c r="U8" i="1"/>
  <c r="U9" i="1"/>
  <c r="P14" i="1"/>
  <c r="U40" i="1"/>
  <c r="U39" i="1"/>
  <c r="U38" i="1"/>
  <c r="U37" i="1"/>
  <c r="P15" i="1"/>
  <c r="L15" i="1" s="1"/>
  <c r="P8" i="1"/>
  <c r="U28" i="1"/>
  <c r="U27" i="1"/>
  <c r="U26" i="1"/>
  <c r="U25" i="1"/>
  <c r="J17" i="1"/>
  <c r="J11" i="1"/>
  <c r="P11" i="1"/>
  <c r="P40" i="1"/>
  <c r="L40" i="1" s="1"/>
  <c r="P16" i="1"/>
  <c r="L16" i="1" s="1"/>
  <c r="U10" i="1"/>
  <c r="U24" i="1"/>
  <c r="U23" i="1"/>
  <c r="U22" i="1"/>
  <c r="U21" i="1"/>
  <c r="J32" i="1"/>
  <c r="J39" i="1"/>
  <c r="P12" i="1"/>
  <c r="U14" i="1"/>
  <c r="U36" i="1"/>
  <c r="U20" i="1"/>
  <c r="U35" i="1"/>
  <c r="U19" i="1"/>
  <c r="U34" i="1"/>
  <c r="U18" i="1"/>
  <c r="U33" i="1"/>
  <c r="U17" i="1"/>
  <c r="U7" i="1"/>
  <c r="U32" i="1"/>
  <c r="U16" i="1"/>
  <c r="U31" i="1"/>
  <c r="U15" i="1"/>
  <c r="U30" i="1"/>
  <c r="U13" i="1"/>
  <c r="U29" i="1"/>
  <c r="J43" i="1"/>
  <c r="J36" i="1"/>
  <c r="I44" i="1"/>
  <c r="P30" i="1"/>
  <c r="L30" i="1" s="1"/>
  <c r="P7" i="1"/>
  <c r="P20" i="1"/>
  <c r="L20" i="1" s="1"/>
  <c r="P36" i="1"/>
  <c r="L36" i="1" s="1"/>
  <c r="J14" i="1"/>
  <c r="J37" i="1"/>
  <c r="J18" i="1"/>
  <c r="J34" i="1"/>
  <c r="J24" i="1"/>
  <c r="J35" i="1"/>
  <c r="J25" i="1"/>
  <c r="P21" i="1"/>
  <c r="L21" i="1" s="1"/>
  <c r="M11" i="6"/>
  <c r="N44" i="1"/>
  <c r="U45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3" i="1" l="1"/>
  <c r="L42" i="1"/>
  <c r="L13" i="1"/>
  <c r="L14" i="1"/>
  <c r="L10" i="1"/>
  <c r="R43" i="1"/>
  <c r="S43" i="1" s="1"/>
  <c r="R42" i="1"/>
  <c r="S42" i="1" s="1"/>
  <c r="L7" i="1"/>
  <c r="L9" i="1"/>
  <c r="L8" i="1"/>
  <c r="L12" i="1"/>
  <c r="L11" i="1"/>
  <c r="J44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<sst xmlns="http://schemas.openxmlformats.org/spreadsheetml/2006/main" count="301" uniqueCount="197">
  <si>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</si>
  <si>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</si>
  <si>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</si>
  <si>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</si>
  <si>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</si>
  <si>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</si>
  <si>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</si>
  <si>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</si>
  <si>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</si>
  <si>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</si>
  <si>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</si>
  <si>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</si>
  <si>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</si>
  <si>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</si>
  <si>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</si>
  <si>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</si>
  <si>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</si>
  <si>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</si>
  <si>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</si>
  <si>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</si>
  <si>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</si>
  <si>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</si>
  <si>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</si>
  <si>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</si>
  <si>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</si>
  <si>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</si>
  <si>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</si>
  <si>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</si>
  <si>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</si>
  <si>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</si>
  <si>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</si>
  <si>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</si>
  <si>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</si>
  <si>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</si>
  <si>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</si>
  <si>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</si>
  <si>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</si>
  <si>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</si>
  <si>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</si>
  <si>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</si>
  <si>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</si>
  <si>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</si>
  <si>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</si>
  <si>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</si>
  <si>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</si>
  <si>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</si>
  <si>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</si>
  <si>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</si>
  <si>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</si>
  <si>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</si>
  <si>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</si>
  <si>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</si>
  <si>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</si>
  <si>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</si>
  <si>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</si>
  <si>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</si>
  <si>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</si>
  <si>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</si>
  <si>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</si>
  <si>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</si>
  <si>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</si>
  <si>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</si>
  <si>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</si>
  <si>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</si>
  <si>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</si>
  <si>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</si>
  <si>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</si>
  <si>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</si>
  <si>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</si>
  <si>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</si>
  <si>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</si>
  <si>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</si>
  <si>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</si>
  <si>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</si>
  <si>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</si>
  <si>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</si>
  <si>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</si>
  <si>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</si>
  <si>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</si>
  <si>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</si>
  <si>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</si>
  <si>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</si>
  <si>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</si>
  <si>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</si>
  <si>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</si>
  <si>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</si>
  <si>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</si>
  <si>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</si>
  <si>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</si>
  <si>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</si>
  <si>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</si>
  <si>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</si>
  <si>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</si>
  <si>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</si>
  <si>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</si>
  <si>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</si>
  <si>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</si>
  <si>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</si>
  <si>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</si>
  <si>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</si>
  <si>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</si>
  <si>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</si>
  <si>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</si>
  <si>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</si>
  <si>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</si>
  <si>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</si>
  <si>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</si>
  <si>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</si>
  <si>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</si>
  <si>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</si>
  <si>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</si>
  <si>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</si>
  <si>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</si>
  <si>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</si>
  <si>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</si>
  <si>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</si>
  <si>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</si>
  <si>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</si>
  <si>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</si>
  <si>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</si>
  <si>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</si>
  <si>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</si>
  <si>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</si>
  <si>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</si>
  <si>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</si>
  <si>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</si>
  <si>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</si>
  <si>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</si>
  <si>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</si>
  <si>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</si>
  <si>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</si>
  <si>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</si>
  <si>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</si>
  <si>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</si>
  <si>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</si>
  <si>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</si>
  <si>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</si>
  <si>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</si>
  <si>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</si>
  <si>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</si>
  <si>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</si>
  <si>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</si>
  <si>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</si>
  <si>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</si>
  <si>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</si>
  <si>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</si>
  <si>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</si>
  <si>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</si>
  <si>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TUBERQUIA URREGO HAROL</t>
  </si>
  <si>
    <t>VERENZUELA MARTINEZ ALEXANDER</t>
  </si>
  <si>
    <t>ARAQUE ARROYAVE JOSE ALBEIRO</t>
  </si>
  <si>
    <t>CARTAGENA RAMIREZ FREDY ALONSO</t>
  </si>
  <si>
    <t>TUBERQUIA  MAICOL</t>
  </si>
  <si>
    <t>PARIAS MURIEL JHON FREDY</t>
  </si>
  <si>
    <t>LONDOÑO LOPERA DUVAN ANDRES</t>
  </si>
  <si>
    <t>QUIRAMA CASTAÑEDA JHON JADER</t>
  </si>
  <si>
    <t>LOPEZ PINEDA DANIEL ESTIVEN</t>
  </si>
  <si>
    <t>PEREZ GARCIA JUAN ESTEBAN</t>
  </si>
  <si>
    <t>SANCHEZ BETANCOURT FRANSCISCO</t>
  </si>
  <si>
    <t>HERNANDEZ MACIAS GILBERTO</t>
  </si>
  <si>
    <t>JIMENEZ HERNANDEZ ESTEBAN CAMILO</t>
  </si>
  <si>
    <t>ALBERTO ARISTIZABAL RAFAEL</t>
  </si>
  <si>
    <t>MURILLO  YOIMAR ANDRES</t>
  </si>
  <si>
    <t>MARTINEZ CHAVERRA LUIS NORBERTO</t>
  </si>
  <si>
    <t>DAVID  HENRY GIOVANNY</t>
  </si>
  <si>
    <t>JARAMILLO JARAMILLO FRANCISCO WBEIMAR</t>
  </si>
  <si>
    <t>ESPINOZA ECHAVARRIA EMANUEL</t>
  </si>
  <si>
    <t>LAYOS JIMENEZ JOHAN CAMILO</t>
  </si>
  <si>
    <t>IBARGUEN GARRIDO JUAN ESTEBAN</t>
  </si>
  <si>
    <t>SALDARRIAGA PARRA LUIS ALBERTO</t>
  </si>
  <si>
    <t>TABORDA ROJAS DIEGO ALEJANDRO</t>
  </si>
  <si>
    <t>GONZALEZ IPUANA RENE</t>
  </si>
  <si>
    <t>SUAREZ ESCUDERO JONATAN</t>
  </si>
  <si>
    <t>LEON PEREZ RAUL ENRIQUE</t>
  </si>
  <si>
    <t>AGUDELO GARCIA LLORDIN ELIAS</t>
  </si>
  <si>
    <t>LOPERA ALVAREZ ESTIVEN</t>
  </si>
  <si>
    <t>PALMAR PANA EDIXON JOSUE</t>
  </si>
  <si>
    <t>AGUDELO GARCIA DENIN ANGELO</t>
  </si>
  <si>
    <t>MARIN ALZATE KEVIN ANDRES</t>
  </si>
  <si>
    <t>DURANGO DAVID JOSE</t>
  </si>
  <si>
    <t>OSORIO URREGO SANTIAGO</t>
  </si>
  <si>
    <t>MARULANDA JARAMILLO DAWER ANDRES</t>
  </si>
  <si>
    <t>HENAO MUÑOZ FERNEY</t>
  </si>
  <si>
    <t>FRANCO CARVAJAL GERARDO ANTONIO</t>
  </si>
  <si>
    <t xml:space="preserve">JORGE FLORES Realizó 3 viajes donde movilizó 78 Usuarios </t>
  </si>
  <si>
    <t xml:space="preserve">CARDONA EDISON </t>
  </si>
  <si>
    <t xml:space="preserve">5 Descuentos (transbordo y despachador) </t>
  </si>
  <si>
    <t xml:space="preserve">2 Descuentos (Jefe de ruta) </t>
  </si>
  <si>
    <t xml:space="preserve">2 Descuentos (Usuarios desubicados) </t>
  </si>
  <si>
    <t xml:space="preserve">2 Descuentos (Conducts) </t>
  </si>
  <si>
    <t xml:space="preserve">3 Descuentos (Conducts) </t>
  </si>
  <si>
    <t xml:space="preserve">3 Descuentos (Conducts y despachador) </t>
  </si>
  <si>
    <t xml:space="preserve">2 Descuentos (conducts) </t>
  </si>
  <si>
    <t xml:space="preserve">Se descuenta 0.5 viaje de 12 06 am ya que NO ingresa al 13 </t>
  </si>
  <si>
    <t xml:space="preserve">Se descuenta 0.5 viaje de 6 32 am ya que NO espera el tiempo indicado en el paradero. 1 Descuento (Conduct) </t>
  </si>
  <si>
    <t xml:space="preserve">Se descuenta 0.5 viaje de 1 23 pm ya que NO espera el tiempo indicado en el paradero.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</si>
  <si>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17.9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</si>
</sst>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0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 formatCode="General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 formatCode="General">
                  <c:v>24</c:v>
                </c:pt>
                <c:pt idx="20" formatCode="General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42</c:v>
                </c:pt>
                <c:pt idx="36">
                  <c:v>44</c:v>
                </c:pt>
              </c:numCache>
            </c:numRef>
          </c:cat>
          <c:val>
            <c:numRef>
              <c:f>Import!$H$7:$H$44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4" totalsRowCount="1" headerRowDxfId="62" dataDxfId="61" totalsRowDxfId="60">
  <sortState xmlns:xlrd2="http://schemas.microsoft.com/office/spreadsheetml/2017/richdata2" ref="B7:N43">
    <sortCondition ref="C9:C43"/>
  </sortState>
  <tableColumns count="13">
    <tableColumn id="1" xr3:uid="{00000000-0010-0000-0000-000001000000}" name="RUTA" dataDxfId="25" totalsRowDxfId="24"/>
    <tableColumn id="2" xr3:uid="{00000000-0010-0000-0000-000002000000}" name="VEH" totalsRowFunction="countNums" dataDxfId="23" totalsRowDxfId="22"/>
    <tableColumn id="3" xr3:uid="{00000000-0010-0000-0000-000003000000}" name="CONDUCTOR" totalsRowLabel="Vehs " dataDxfId="21" totalsRowDxfId="20"/>
    <tableColumn id="4" xr3:uid="{00000000-0010-0000-0000-000004000000}" name="VIAJES" totalsRowFunction="sum" dataDxfId="19" totalsRowDxfId="18"/>
    <tableColumn id="5" xr3:uid="{00000000-0010-0000-0000-000005000000}" name="VIAJES PERD." totalsRowFunction="sum" dataDxfId="17" totalsRowDxfId="16"/>
    <tableColumn id="6" xr3:uid="{00000000-0010-0000-0000-000006000000}" name="USUARIOS" totalsRowFunction="sum" dataDxfId="15" totalsRowDxfId="14" dataCellStyle="Millares"/>
    <tableColumn id="12" xr3:uid="{00000000-0010-0000-0000-00000C000000}" name="PROM X VIAJE" totalsRowFunction="custom" dataDxfId="13" totalsRowDxfId="12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1" totalsRowDxfId="10" dataCellStyle="Millares"/>
    <tableColumn id="13" xr3:uid="{FCD2DCC9-9A34-483A-B1DC-9E398E7F3EDE}" name="RECIBE / ENTREGA" totalsRowFunction="sum" dataDxfId="9" totalsRowDxfId="8" dataCellStyle="Millares"/>
    <tableColumn id="8" xr3:uid="{00000000-0010-0000-0000-000008000000}" name="NOVEDADES" totalsRowLabel="PROMEDIO X VIAJE 17.9 USUARIOS " dataDxfId="7" totalsRowDxfId="6"/>
    <tableColumn id="9" xr3:uid="{00000000-0010-0000-0000-000009000000}" name="VALOR OPERACIÓN" dataDxfId="5" totalsRowDxfId="4"/>
    <tableColumn id="10" xr3:uid="{00000000-0010-0000-0000-00000A000000}" name="CLASIFIC." dataDxfId="3" totalsRowDxfId="2"/>
    <tableColumn id="11" xr3:uid="{00000000-0010-0000-0000-00000B000000}" name="DIFER. MICRO - BUS " totalsRowFunction="sum" dataDxfId="1" totalsRowDxfId="0" dataCellStyle="Millares">
      <calculatedColumnFormula>+(SUMIFS(G:G,M:M,"MICRO",E:E,"&gt;0")*100)/COUNTIF($E$7:$E$43,"&gt;0")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3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+SUM(G6:G1855)/2</f>
        <v>5977</v>
      </c>
      <c r="R3" s="55">
        <f>+SUM(E6:E1855)/2</f>
        <v>333.5</v>
      </c>
      <c r="S3" s="55">
        <f>+Q3-R3</f>
        <v>5643.5</v>
      </c>
      <c r="T3" s="56">
        <f>+S3/R3</f>
        <v>16.922038980509747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185</v>
      </c>
      <c r="E7" s="150">
        <v>5</v>
      </c>
      <c r="F7" s="150">
        <v>0</v>
      </c>
      <c r="G7" s="165">
        <v>93</v>
      </c>
      <c r="H7" s="226">
        <f>+G7/E7</f>
        <v>18.600000000000001</v>
      </c>
      <c r="I7" s="227">
        <f>+(SUM($G$7:$G$1048576)/SUM($E$7:$E$1048576))*E7</f>
        <v>89.610194902548727</v>
      </c>
      <c r="J7" s="363">
        <f>+Tabla2[[#This Row],[PROM DE USUARIOS]]-Tabla2[[#This Row],[USUARIOS]]</f>
        <v>-3.3898050974512728</v>
      </c>
      <c r="K7" s="151"/>
      <c r="L7" s="163">
        <f>P7*585</f>
        <v>49496.964017991006</v>
      </c>
      <c r="M7" s="162" t="str">
        <f>+VLOOKUP(C7,Lista!B:D,3,0)</f>
        <v>MICRO</v>
      </c>
      <c r="N7" s="164">
        <f>+(SUMIFS(G:G,M:M,"MICRO",E:E,"&gt;0")*100)/COUNTIF($E$7:$E$43,"&gt;0")</f>
        <v>9497.2972972972966</v>
      </c>
      <c r="O7" s="50">
        <f t="shared" ref="O7:O41" si="0">+(E7*1)-V7</f>
        <v>5</v>
      </c>
      <c r="P7" s="47">
        <f t="shared" ref="P7:P41" si="1">+I7-O7-W7</f>
        <v>84.610194902548727</v>
      </c>
      <c r="Q7" s="49">
        <f t="shared" ref="Q7:Q41" si="2">+G7-O7</f>
        <v>88</v>
      </c>
      <c r="R7" s="51">
        <f t="shared" ref="R7:R41" si="3">+E7*$T$3</f>
        <v>84.610194902548727</v>
      </c>
      <c r="S7" s="46">
        <f t="shared" ref="S7:S42" si="4">+R7*550</f>
        <v>46535.607196401797</v>
      </c>
      <c r="T7" t="str">
        <f t="shared" ref="T7:T41" si="5">+IF(K7&lt;&gt;"",K7,"")</f>
        <v/>
      </c>
      <c r="U7">
        <f>+RANK(H7,$H$6:$H$1048576,1)</f>
        <v>24</v>
      </c>
      <c r="V7"/>
      <c r="W7"/>
      <c r="Y7" t="str">
        <f>TRIM(Tabla2[[#This Row],[CONDUCTOR]])</f>
        <v>CARDONA EDISON</v>
      </c>
    </row>
    <row r="8" spans="1:32" s="2" customFormat="1" ht="22.5" x14ac:dyDescent="0.2">
      <c r="B8" s="136" t="s">
        <v>121</v>
      </c>
      <c r="C8" s="166">
        <v>2</v>
      </c>
      <c r="D8" s="136" t="s">
        <v>153</v>
      </c>
      <c r="E8" s="150">
        <v>9</v>
      </c>
      <c r="F8" s="150">
        <v>0.5</v>
      </c>
      <c r="G8" s="381">
        <v>181</v>
      </c>
      <c r="H8" s="377">
        <f>+G8/E8</f>
        <v>20.111111111111111</v>
      </c>
      <c r="I8" s="382">
        <f>+(SUM($G$7:$G$1048576)/SUM($E$7:$E$1048576))*E8</f>
        <v>161.29835082458771</v>
      </c>
      <c r="J8" s="379">
        <f>+Tabla2[[#This Row],[PROM DE USUARIOS]]-Tabla2[[#This Row],[USUARIOS]]</f>
        <v>-19.701649175412285</v>
      </c>
      <c r="K8" s="380" t="s">
        <v>195</v>
      </c>
      <c r="L8" s="163">
        <f>P8*585</f>
        <v>84144.850232383804</v>
      </c>
      <c r="M8" s="162">
        <f>+VLOOKUP(C8,Lista!B:D,3,0)</f>
        <v>0</v>
      </c>
      <c r="N8" s="164">
        <f>+(SUMIFS(G:G,M:M,"MICRO",E:E,"&gt;0")*100)/COUNTIF($E$7:$E$43,"&gt;0")</f>
        <v>9497.2972972972966</v>
      </c>
      <c r="O8" s="50">
        <f t="shared" si="0"/>
        <v>8.5</v>
      </c>
      <c r="P8" s="47">
        <f t="shared" si="1"/>
        <v>143.8373508245877</v>
      </c>
      <c r="Q8" s="49">
        <f t="shared" si="2"/>
        <v>172.5</v>
      </c>
      <c r="R8" s="51">
        <f t="shared" si="3"/>
        <v>152.29835082458771</v>
      </c>
      <c r="S8" s="46">
        <f t="shared" si="4"/>
        <v>83764.092953523243</v>
      </c>
      <c r="T8" s="2" t="str">
        <f t="shared" si="5"/>
        <v xml:space="preserve">Se descuenta 0.5 viaje de 1 23 pm ya que NO espera el tiempo indicado en el paradero. </v>
      </c>
      <c r="U8" s="2">
        <f>+RANK(H8,$H$6:$H$1048576,1)</f>
        <v>31</v>
      </c>
      <c r="V8" s="2">
        <v>0.5</v>
      </c>
      <c r="W8" s="2">
        <v>8.9610000000000003</v>
      </c>
      <c r="Y8" s="2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166</v>
      </c>
      <c r="E9" s="150">
        <v>11</v>
      </c>
      <c r="F9" s="150">
        <v>0</v>
      </c>
      <c r="G9" s="165">
        <v>183</v>
      </c>
      <c r="H9" s="226">
        <f>+G9/E9</f>
        <v>16.636363636363637</v>
      </c>
      <c r="I9" s="227">
        <f>+(SUM($G$7:$G$1048576)/SUM($E$7:$E$1048576))*E9</f>
        <v>197.14242878560722</v>
      </c>
      <c r="J9" s="363">
        <f>+Tabla2[[#This Row],[PROM DE USUARIOS]]-Tabla2[[#This Row],[USUARIOS]]</f>
        <v>14.142428785607223</v>
      </c>
      <c r="K9" s="151"/>
      <c r="L9" s="163">
        <f>P9*585</f>
        <v>108893.32083958022</v>
      </c>
      <c r="M9" s="162" t="str">
        <f>+VLOOKUP(C9,Lista!B:D,3,0)</f>
        <v>MICRO</v>
      </c>
      <c r="N9" s="164">
        <f>+(SUMIFS(G:G,M:M,"MICRO",E:E,"&gt;0")*100)/COUNTIF($E$7:$E$43,"&gt;0")</f>
        <v>9497.2972972972966</v>
      </c>
      <c r="O9" s="50">
        <f t="shared" si="0"/>
        <v>11</v>
      </c>
      <c r="P9" s="47">
        <f t="shared" si="1"/>
        <v>186.14242878560722</v>
      </c>
      <c r="Q9" s="49">
        <f t="shared" si="2"/>
        <v>172</v>
      </c>
      <c r="R9" s="51">
        <f t="shared" si="3"/>
        <v>186.14242878560722</v>
      </c>
      <c r="S9" s="46">
        <f t="shared" si="4"/>
        <v>102378.33583208398</v>
      </c>
      <c r="T9" t="str">
        <f t="shared" si="5"/>
        <v/>
      </c>
      <c r="U9">
        <f>+RANK(H9,$H$6:$H$1048576,1)</f>
        <v>11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158</v>
      </c>
      <c r="E10" s="150">
        <v>11</v>
      </c>
      <c r="F10" s="150">
        <v>0</v>
      </c>
      <c r="G10" s="146">
        <v>228</v>
      </c>
      <c r="H10" s="226">
        <f>+G10/E10</f>
        <v>20.727272727272727</v>
      </c>
      <c r="I10" s="364">
        <f>+(SUM($G$7:$G$1048576)/SUM($E$7:$E$1048576))*E10</f>
        <v>197.14242878560722</v>
      </c>
      <c r="J10" s="363">
        <f>+Tabla2[[#This Row],[PROM DE USUARIOS]]-Tabla2[[#This Row],[USUARIOS]]</f>
        <v>-30.857571214392777</v>
      </c>
      <c r="K10" s="151"/>
      <c r="L10" s="163">
        <f>P10*585</f>
        <v>108893.32083958022</v>
      </c>
      <c r="M10" s="162" t="str">
        <f>+VLOOKUP(C10,Lista!B:D,3,0)</f>
        <v>MICRO</v>
      </c>
      <c r="N10" s="164">
        <f>+(SUMIFS(G:G,M:M,"MICRO",E:E,"&gt;0")*100)/COUNTIF($E$7:$E$43,"&gt;0")</f>
        <v>9497.2972972972966</v>
      </c>
      <c r="O10" s="50">
        <f t="shared" si="0"/>
        <v>11</v>
      </c>
      <c r="P10" s="47">
        <f t="shared" si="1"/>
        <v>186.14242878560722</v>
      </c>
      <c r="Q10" s="49">
        <f t="shared" si="2"/>
        <v>217</v>
      </c>
      <c r="R10" s="51">
        <f t="shared" si="3"/>
        <v>186.14242878560722</v>
      </c>
      <c r="S10" s="46">
        <f t="shared" si="4"/>
        <v>102378.33583208398</v>
      </c>
      <c r="T10" t="str">
        <f t="shared" si="5"/>
        <v/>
      </c>
      <c r="U10">
        <f>+RANK(H10,$H$6:$H$1048576,1)</f>
        <v>34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154</v>
      </c>
      <c r="E11" s="150">
        <v>11</v>
      </c>
      <c r="F11" s="150">
        <v>0</v>
      </c>
      <c r="G11" s="146">
        <v>221</v>
      </c>
      <c r="H11" s="226">
        <f>+G11/E11</f>
        <v>20.09090909090909</v>
      </c>
      <c r="I11" s="364">
        <f>+(SUM($G$7:$G$1048576)/SUM($E$7:$E$1048576))*E11</f>
        <v>197.14242878560722</v>
      </c>
      <c r="J11" s="363">
        <f>+Tabla2[[#This Row],[PROM DE USUARIOS]]-Tabla2[[#This Row],[USUARIOS]]</f>
        <v>-23.857571214392777</v>
      </c>
      <c r="K11" s="151" t="s">
        <v>186</v>
      </c>
      <c r="L11" s="163">
        <f>P11*585</f>
        <v>108893.32083958022</v>
      </c>
      <c r="M11" s="162">
        <f>+VLOOKUP(C11,Lista!B:D,3,0)</f>
        <v>0</v>
      </c>
      <c r="N11" s="164">
        <f>+(SUMIFS(G:G,M:M,"MICRO",E:E,"&gt;0")*100)/COUNTIF($E$7:$E$43,"&gt;0")</f>
        <v>9497.2972972972966</v>
      </c>
      <c r="O11" s="50">
        <f t="shared" si="0"/>
        <v>11</v>
      </c>
      <c r="P11" s="47">
        <f t="shared" si="1"/>
        <v>186.14242878560722</v>
      </c>
      <c r="Q11" s="49">
        <f t="shared" si="2"/>
        <v>210</v>
      </c>
      <c r="R11" s="51">
        <f t="shared" si="3"/>
        <v>186.14242878560722</v>
      </c>
      <c r="S11" s="46">
        <f t="shared" si="4"/>
        <v>102378.33583208398</v>
      </c>
      <c r="T11" t="str">
        <f t="shared" si="5"/>
        <v xml:space="preserve">5 Descuentos (transbordo y despachador) </v>
      </c>
      <c r="U11">
        <f>+RANK(H11,$H$6:$H$1048576,1)</f>
        <v>30</v>
      </c>
      <c r="Y11" t="str">
        <f>TRIM(Tabla2[[#This Row],[CONDUCTOR]])</f>
        <v>LONDOÑO LOPERA DUVAN ANDRES</v>
      </c>
    </row>
    <row r="12" spans="1:32" x14ac:dyDescent="0.2">
      <c r="B12" s="136" t="s">
        <v>121</v>
      </c>
      <c r="C12" s="166">
        <v>6</v>
      </c>
      <c r="D12" s="151" t="s">
        <v>156</v>
      </c>
      <c r="E12" s="150">
        <v>11</v>
      </c>
      <c r="F12" s="150">
        <v>0.5</v>
      </c>
      <c r="G12" s="146">
        <v>182</v>
      </c>
      <c r="H12" s="226">
        <f>+G12/E12</f>
        <v>16.545454545454547</v>
      </c>
      <c r="I12" s="364">
        <f>+(SUM($G$7:$G$1048576)/SUM($E$7:$E$1048576))*E12</f>
        <v>197.14242878560722</v>
      </c>
      <c r="J12" s="363">
        <f>+Tabla2[[#This Row],[PROM DE USUARIOS]]-Tabla2[[#This Row],[USUARIOS]]</f>
        <v>15.142428785607223</v>
      </c>
      <c r="K12" s="151" t="s">
        <v>193</v>
      </c>
      <c r="L12" s="163">
        <f>P12*585</f>
        <v>103943.63583958022</v>
      </c>
      <c r="M12" s="162" t="str">
        <f>+VLOOKUP(C12,Lista!B:D,3,0)</f>
        <v>MICRO</v>
      </c>
      <c r="N12" s="164">
        <f>+(SUMIFS(G:G,M:M,"MICRO",E:E,"&gt;0")*100)/COUNTIF($E$7:$E$43,"&gt;0")</f>
        <v>9497.2972972972966</v>
      </c>
      <c r="O12" s="50">
        <f t="shared" si="0"/>
        <v>10.5</v>
      </c>
      <c r="P12" s="47">
        <f t="shared" si="1"/>
        <v>177.68142878560721</v>
      </c>
      <c r="Q12" s="49">
        <f t="shared" si="2"/>
        <v>171.5</v>
      </c>
      <c r="R12" s="51">
        <f t="shared" si="3"/>
        <v>186.14242878560722</v>
      </c>
      <c r="S12" s="46">
        <f t="shared" si="4"/>
        <v>102378.33583208398</v>
      </c>
      <c r="T12" t="str">
        <f t="shared" si="5"/>
        <v xml:space="preserve">Se descuenta 0.5 viaje de 12 06 am ya que NO ingresa al 13 </v>
      </c>
      <c r="U12">
        <f>+RANK(H12,$H$6:$H$1048576,1)</f>
        <v>10</v>
      </c>
      <c r="V12">
        <v>0.5</v>
      </c>
      <c r="W12">
        <v>8.9610000000000003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148</v>
      </c>
      <c r="E13" s="150">
        <v>10</v>
      </c>
      <c r="F13" s="150">
        <v>0</v>
      </c>
      <c r="G13" s="146">
        <v>216</v>
      </c>
      <c r="H13" s="226">
        <f>+G13/E13</f>
        <v>21.6</v>
      </c>
      <c r="I13" s="364">
        <f>+(SUM($G$7:$G$1048576)/SUM($E$7:$E$1048576))*E13</f>
        <v>179.22038980509745</v>
      </c>
      <c r="J13" s="363">
        <f>+Tabla2[[#This Row],[PROM DE USUARIOS]]-Tabla2[[#This Row],[USUARIOS]]</f>
        <v>-36.779610194902546</v>
      </c>
      <c r="K13" s="151" t="s">
        <v>187</v>
      </c>
      <c r="L13" s="163">
        <f>P13*585</f>
        <v>98993.928035982011</v>
      </c>
      <c r="M13" s="162">
        <f>+VLOOKUP(C13,Lista!B:D,3,0)</f>
        <v>0</v>
      </c>
      <c r="N13" s="164">
        <f>+(SUMIFS(G:G,M:M,"MICRO",E:E,"&gt;0")*100)/COUNTIF($E$7:$E$43,"&gt;0")</f>
        <v>9497.2972972972966</v>
      </c>
      <c r="O13" s="50">
        <f t="shared" si="0"/>
        <v>10</v>
      </c>
      <c r="P13" s="47">
        <f t="shared" si="1"/>
        <v>169.22038980509745</v>
      </c>
      <c r="Q13" s="49">
        <f t="shared" si="2"/>
        <v>206</v>
      </c>
      <c r="R13" s="51">
        <f t="shared" si="3"/>
        <v>169.22038980509745</v>
      </c>
      <c r="S13" s="46">
        <f t="shared" si="4"/>
        <v>93071.214392803595</v>
      </c>
      <c r="T13" t="str">
        <f t="shared" si="5"/>
        <v xml:space="preserve">2 Descuentos (Jefe de ruta) </v>
      </c>
      <c r="U13">
        <f>+RANK(H13,$H$6:$H$1048576,1)</f>
        <v>37</v>
      </c>
      <c r="Y13" t="str">
        <f>TRIM(Tabla2[[#This Row],[CONDUCTOR]])</f>
        <v>TUBERQUIA URREGO HAROL</v>
      </c>
    </row>
    <row r="14" spans="1:32" x14ac:dyDescent="0.2">
      <c r="B14" s="136" t="s">
        <v>121</v>
      </c>
      <c r="C14" s="166">
        <v>9</v>
      </c>
      <c r="D14" s="151" t="s">
        <v>151</v>
      </c>
      <c r="E14" s="150">
        <v>7</v>
      </c>
      <c r="F14" s="150">
        <v>0</v>
      </c>
      <c r="G14" s="165">
        <v>146</v>
      </c>
      <c r="H14" s="226">
        <f>+G14/E14</f>
        <v>20.857142857142858</v>
      </c>
      <c r="I14" s="227">
        <f>+(SUM($G$7:$G$1048576)/SUM($E$7:$E$1048576))*E14</f>
        <v>125.45427286356824</v>
      </c>
      <c r="J14" s="363">
        <f>+Tabla2[[#This Row],[PROM DE USUARIOS]]-Tabla2[[#This Row],[USUARIOS]]</f>
        <v>-20.545727136431765</v>
      </c>
      <c r="K14" s="151"/>
      <c r="L14" s="163">
        <f>P14*585</f>
        <v>69295.749625187411</v>
      </c>
      <c r="M14" s="162" t="str">
        <f>+VLOOKUP(C14,Lista!B:D,3,0)</f>
        <v>MICRO</v>
      </c>
      <c r="N14" s="164">
        <f>+(SUMIFS(G:G,M:M,"MICRO",E:E,"&gt;0")*100)/COUNTIF($E$7:$E$43,"&gt;0")</f>
        <v>9497.2972972972966</v>
      </c>
      <c r="O14" s="50">
        <f t="shared" si="0"/>
        <v>7</v>
      </c>
      <c r="P14" s="47">
        <f t="shared" si="1"/>
        <v>118.45427286356824</v>
      </c>
      <c r="Q14" s="49">
        <f t="shared" si="2"/>
        <v>139</v>
      </c>
      <c r="R14" s="51">
        <f t="shared" si="3"/>
        <v>118.45427286356824</v>
      </c>
      <c r="S14" s="46">
        <f t="shared" si="4"/>
        <v>65149.850074962531</v>
      </c>
      <c r="T14" t="str">
        <f t="shared" si="5"/>
        <v/>
      </c>
      <c r="U14">
        <f>+RANK(H14,$H$6:$H$1048576,1)</f>
        <v>35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12</v>
      </c>
      <c r="D15" s="151" t="s">
        <v>164</v>
      </c>
      <c r="E15" s="150">
        <v>10</v>
      </c>
      <c r="F15" s="150">
        <v>0</v>
      </c>
      <c r="G15" s="165">
        <v>175</v>
      </c>
      <c r="H15" s="226">
        <f>+G15/E15</f>
        <v>17.5</v>
      </c>
      <c r="I15" s="227">
        <f>+(SUM($G$7:$G$1048576)/SUM($E$7:$E$1048576))*E15</f>
        <v>179.22038980509745</v>
      </c>
      <c r="J15" s="363">
        <f>+Tabla2[[#This Row],[PROM DE USUARIOS]]-Tabla2[[#This Row],[USUARIOS]]</f>
        <v>4.2203898050974544</v>
      </c>
      <c r="K15" s="151"/>
      <c r="L15" s="163">
        <f>P15*585</f>
        <v>98993.928035982011</v>
      </c>
      <c r="M15" s="162">
        <f>+VLOOKUP(C15,Lista!B:D,3,0)</f>
        <v>0</v>
      </c>
      <c r="N15" s="164">
        <f>+(SUMIFS(G:G,M:M,"MICRO",E:E,"&gt;0")*100)/COUNTIF($E$7:$E$43,"&gt;0")</f>
        <v>9497.2972972972966</v>
      </c>
      <c r="O15" s="50">
        <f t="shared" si="0"/>
        <v>10</v>
      </c>
      <c r="P15" s="47">
        <f t="shared" si="1"/>
        <v>169.22038980509745</v>
      </c>
      <c r="Q15" s="49">
        <f t="shared" si="2"/>
        <v>165</v>
      </c>
      <c r="R15" s="51">
        <f t="shared" si="3"/>
        <v>169.22038980509745</v>
      </c>
      <c r="S15" s="46">
        <f t="shared" si="4"/>
        <v>93071.214392803595</v>
      </c>
      <c r="T15" t="str">
        <f t="shared" si="5"/>
        <v/>
      </c>
      <c r="U15">
        <f>+RANK(H15,$H$6:$H$1048576,1)</f>
        <v>17</v>
      </c>
      <c r="Y15" t="str">
        <f>TRIM(Tabla2[[#This Row],[CONDUCTOR]])</f>
        <v>DAVID HENRY GIOVANNY</v>
      </c>
    </row>
    <row r="16" spans="1:32" x14ac:dyDescent="0.2">
      <c r="B16" s="136" t="s">
        <v>122</v>
      </c>
      <c r="C16" s="166">
        <v>13</v>
      </c>
      <c r="D16" s="151" t="s">
        <v>168</v>
      </c>
      <c r="E16" s="150">
        <v>10</v>
      </c>
      <c r="F16" s="150">
        <v>0</v>
      </c>
      <c r="G16" s="165">
        <v>206</v>
      </c>
      <c r="H16" s="226">
        <f>+G16/E16</f>
        <v>20.6</v>
      </c>
      <c r="I16" s="227">
        <f>+(SUM($G$7:$G$1048576)/SUM($E$7:$E$1048576))*E16</f>
        <v>179.22038980509745</v>
      </c>
      <c r="J16" s="363">
        <f>+Tabla2[[#This Row],[PROM DE USUARIOS]]-Tabla2[[#This Row],[USUARIOS]]</f>
        <v>-26.779610194902546</v>
      </c>
      <c r="K16" s="151"/>
      <c r="L16" s="163">
        <f>P16*585</f>
        <v>98993.928035982011</v>
      </c>
      <c r="M16" s="162" t="str">
        <f>+VLOOKUP(C16,Lista!B:D,3,0)</f>
        <v>MICRO</v>
      </c>
      <c r="N16" s="164">
        <f>+(SUMIFS(G:G,M:M,"MICRO",E:E,"&gt;0")*100)/COUNTIF($E$7:$E$43,"&gt;0")</f>
        <v>9497.2972972972966</v>
      </c>
      <c r="O16" s="50">
        <f t="shared" si="0"/>
        <v>10</v>
      </c>
      <c r="P16" s="47">
        <f t="shared" si="1"/>
        <v>169.22038980509745</v>
      </c>
      <c r="Q16" s="49">
        <f t="shared" si="2"/>
        <v>196</v>
      </c>
      <c r="R16" s="51">
        <f t="shared" si="3"/>
        <v>169.22038980509745</v>
      </c>
      <c r="S16" s="46">
        <f t="shared" si="4"/>
        <v>93071.214392803595</v>
      </c>
      <c r="T16" t="str">
        <f t="shared" si="5"/>
        <v/>
      </c>
      <c r="U16">
        <f>+RANK(H16,$H$6:$H$1048576,1)</f>
        <v>33</v>
      </c>
      <c r="Y16" t="str">
        <f>TRIM(Tabla2[[#This Row],[CONDUCTOR]])</f>
        <v>IBARGUEN GARRIDO JUAN ESTEBAN</v>
      </c>
    </row>
    <row r="17" spans="2:25" x14ac:dyDescent="0.2">
      <c r="B17" s="136" t="s">
        <v>121</v>
      </c>
      <c r="C17" s="166">
        <v>14</v>
      </c>
      <c r="D17" s="151" t="s">
        <v>149</v>
      </c>
      <c r="E17" s="150">
        <v>11</v>
      </c>
      <c r="F17" s="150">
        <v>0</v>
      </c>
      <c r="G17" s="165">
        <v>207</v>
      </c>
      <c r="H17" s="226">
        <f>+G17/E17</f>
        <v>18.818181818181817</v>
      </c>
      <c r="I17" s="227">
        <f>+(SUM($G$7:$G$1048576)/SUM($E$7:$E$1048576))*E17</f>
        <v>197.14242878560722</v>
      </c>
      <c r="J17" s="363">
        <f>+Tabla2[[#This Row],[PROM DE USUARIOS]]-Tabla2[[#This Row],[USUARIOS]]</f>
        <v>-9.8575712143927774</v>
      </c>
      <c r="K17" s="151"/>
      <c r="L17" s="163">
        <f>P17*585</f>
        <v>108893.32083958022</v>
      </c>
      <c r="M17" s="162">
        <f>+VLOOKUP(C17,Lista!B:D,3,0)</f>
        <v>0</v>
      </c>
      <c r="N17" s="164">
        <f>+(SUMIFS(G:G,M:M,"MICRO",E:E,"&gt;0")*100)/COUNTIF($E$7:$E$43,"&gt;0")</f>
        <v>9497.2972972972966</v>
      </c>
      <c r="O17" s="50">
        <f t="shared" si="0"/>
        <v>11</v>
      </c>
      <c r="P17" s="47">
        <f t="shared" si="1"/>
        <v>186.14242878560722</v>
      </c>
      <c r="Q17" s="49">
        <f t="shared" si="2"/>
        <v>196</v>
      </c>
      <c r="R17" s="51">
        <f t="shared" si="3"/>
        <v>186.14242878560722</v>
      </c>
      <c r="S17" s="46">
        <f t="shared" si="4"/>
        <v>102378.33583208398</v>
      </c>
      <c r="T17" t="str">
        <f t="shared" si="5"/>
        <v/>
      </c>
      <c r="U17">
        <f>+RANK(H17,$H$6:$H$1048576,1)</f>
        <v>27</v>
      </c>
      <c r="Y17" t="str">
        <f>TRIM(Tabla2[[#This Row],[CONDUCTOR]])</f>
        <v>VERENZUELA MARTINEZ ALEXANDER</v>
      </c>
    </row>
    <row r="18" spans="2:25" x14ac:dyDescent="0.2">
      <c r="B18" s="136" t="s">
        <v>122</v>
      </c>
      <c r="C18" s="166">
        <v>15</v>
      </c>
      <c r="D18" s="151" t="s">
        <v>159</v>
      </c>
      <c r="E18" s="150">
        <v>10</v>
      </c>
      <c r="F18" s="150">
        <v>0</v>
      </c>
      <c r="G18" s="146">
        <v>218</v>
      </c>
      <c r="H18" s="226">
        <f>+G18/E18</f>
        <v>21.8</v>
      </c>
      <c r="I18" s="364">
        <f>+(SUM($G$7:$G$1048576)/SUM($E$7:$E$1048576))*E18</f>
        <v>179.22038980509745</v>
      </c>
      <c r="J18" s="363">
        <f>+Tabla2[[#This Row],[PROM DE USUARIOS]]-Tabla2[[#This Row],[USUARIOS]]</f>
        <v>-38.779610194902546</v>
      </c>
      <c r="K18" s="151"/>
      <c r="L18" s="163">
        <f>P18*585</f>
        <v>98993.928035982011</v>
      </c>
      <c r="M18" s="162">
        <f>+VLOOKUP(C18,Lista!B:D,3,0)</f>
        <v>0</v>
      </c>
      <c r="N18" s="164">
        <f>+(SUMIFS(G:G,M:M,"MICRO",E:E,"&gt;0")*100)/COUNTIF($E$7:$E$43,"&gt;0")</f>
        <v>9497.2972972972966</v>
      </c>
      <c r="O18" s="50">
        <f t="shared" si="0"/>
        <v>10</v>
      </c>
      <c r="P18" s="47">
        <f t="shared" si="1"/>
        <v>169.22038980509745</v>
      </c>
      <c r="Q18" s="49">
        <f t="shared" si="2"/>
        <v>208</v>
      </c>
      <c r="R18" s="51">
        <f t="shared" si="3"/>
        <v>169.22038980509745</v>
      </c>
      <c r="S18" s="46">
        <f t="shared" si="4"/>
        <v>93071.214392803595</v>
      </c>
      <c r="T18" t="str">
        <f t="shared" si="5"/>
        <v/>
      </c>
      <c r="U18">
        <f>+RANK(H18,$H$6:$H$1048576,1)</f>
        <v>38</v>
      </c>
      <c r="Y18" t="str">
        <f>TRIM(Tabla2[[#This Row],[CONDUCTOR]])</f>
        <v>HERNANDEZ MACIAS GILBERTO</v>
      </c>
    </row>
    <row r="19" spans="2:25" x14ac:dyDescent="0.2">
      <c r="B19" s="136" t="s">
        <v>121</v>
      </c>
      <c r="C19" s="166">
        <v>16</v>
      </c>
      <c r="D19" s="151" t="s">
        <v>157</v>
      </c>
      <c r="E19" s="150">
        <v>6</v>
      </c>
      <c r="F19" s="150">
        <v>0</v>
      </c>
      <c r="G19" s="165">
        <v>106</v>
      </c>
      <c r="H19" s="226">
        <f>+G19/E19</f>
        <v>17.666666666666668</v>
      </c>
      <c r="I19" s="227">
        <f>+(SUM($G$7:$G$1048576)/SUM($E$7:$E$1048576))*E19</f>
        <v>107.53223388305848</v>
      </c>
      <c r="J19" s="363">
        <f>+Tabla2[[#This Row],[PROM DE USUARIOS]]-Tabla2[[#This Row],[USUARIOS]]</f>
        <v>1.5322338830584812</v>
      </c>
      <c r="K19" s="151"/>
      <c r="L19" s="163">
        <f>P19*585</f>
        <v>59396.356821589208</v>
      </c>
      <c r="M19" s="162" t="str">
        <f>+VLOOKUP(C19,Lista!B:D,3,0)</f>
        <v>MICRO</v>
      </c>
      <c r="N19" s="164">
        <f>+(SUMIFS(G:G,M:M,"MICRO",E:E,"&gt;0")*100)/COUNTIF($E$7:$E$43,"&gt;0")</f>
        <v>9497.2972972972966</v>
      </c>
      <c r="O19" s="50">
        <f t="shared" si="0"/>
        <v>6</v>
      </c>
      <c r="P19" s="47">
        <f t="shared" si="1"/>
        <v>101.53223388305848</v>
      </c>
      <c r="Q19" s="49">
        <f t="shared" si="2"/>
        <v>100</v>
      </c>
      <c r="R19" s="51">
        <f t="shared" si="3"/>
        <v>101.53223388305848</v>
      </c>
      <c r="S19" s="46">
        <f t="shared" si="4"/>
        <v>55842.728635682164</v>
      </c>
      <c r="T19" t="str">
        <f t="shared" si="5"/>
        <v/>
      </c>
      <c r="U19">
        <f>+RANK(H19,$H$6:$H$1048576,1)</f>
        <v>19</v>
      </c>
      <c r="Y19" t="str">
        <f>TRIM(Tabla2[[#This Row],[CONDUCTOR]])</f>
        <v>PEREZ GARCIA JUAN ESTEBAN</v>
      </c>
    </row>
    <row r="20" spans="2:25" x14ac:dyDescent="0.2">
      <c r="B20" s="136" t="s">
        <v>122</v>
      </c>
      <c r="C20" s="166">
        <v>18</v>
      </c>
      <c r="D20" s="151" t="s">
        <v>161</v>
      </c>
      <c r="E20" s="150">
        <v>9</v>
      </c>
      <c r="F20" s="150">
        <v>0</v>
      </c>
      <c r="G20" s="165">
        <v>158</v>
      </c>
      <c r="H20" s="226">
        <f>+G20/E20</f>
        <v>17.555555555555557</v>
      </c>
      <c r="I20" s="227">
        <f>+(SUM($G$7:$G$1048576)/SUM($E$7:$E$1048576))*E20</f>
        <v>161.29835082458771</v>
      </c>
      <c r="J20" s="363">
        <f>+Tabla2[[#This Row],[PROM DE USUARIOS]]-Tabla2[[#This Row],[USUARIOS]]</f>
        <v>3.2983508245877147</v>
      </c>
      <c r="K20" s="151"/>
      <c r="L20" s="163">
        <f>P20*585</f>
        <v>89094.535232383816</v>
      </c>
      <c r="M20" s="162" t="str">
        <f>+VLOOKUP(C20,Lista!B:D,3,0)</f>
        <v>MICRO</v>
      </c>
      <c r="N20" s="164">
        <f>+(SUMIFS(G:G,M:M,"MICRO",E:E,"&gt;0")*100)/COUNTIF($E$7:$E$43,"&gt;0")</f>
        <v>9497.2972972972966</v>
      </c>
      <c r="O20" s="50">
        <f t="shared" si="0"/>
        <v>9</v>
      </c>
      <c r="P20" s="47">
        <f t="shared" si="1"/>
        <v>152.29835082458771</v>
      </c>
      <c r="Q20" s="49">
        <f t="shared" si="2"/>
        <v>149</v>
      </c>
      <c r="R20" s="51">
        <f t="shared" si="3"/>
        <v>152.29835082458771</v>
      </c>
      <c r="S20" s="46">
        <f t="shared" si="4"/>
        <v>83764.092953523243</v>
      </c>
      <c r="T20" t="str">
        <f t="shared" si="5"/>
        <v/>
      </c>
      <c r="U20">
        <f>+RANK(H20,$H$6:$H$1048576,1)</f>
        <v>18</v>
      </c>
      <c r="Y20" t="str">
        <f>TRIM(Tabla2[[#This Row],[CONDUCTOR]])</f>
        <v>ALBERTO ARISTIZABAL RAFAEL</v>
      </c>
    </row>
    <row r="21" spans="2:25" x14ac:dyDescent="0.2">
      <c r="B21" s="136" t="s">
        <v>121</v>
      </c>
      <c r="C21" s="166">
        <v>19</v>
      </c>
      <c r="D21" s="151" t="s">
        <v>175</v>
      </c>
      <c r="E21" s="150">
        <v>15</v>
      </c>
      <c r="F21" s="150">
        <v>0</v>
      </c>
      <c r="G21" s="165">
        <v>265</v>
      </c>
      <c r="H21" s="226">
        <f>+G21/E21</f>
        <v>17.666666666666668</v>
      </c>
      <c r="I21" s="227">
        <f>+(SUM($G$7:$G$1048576)/SUM($E$7:$E$1048576))*E21</f>
        <v>268.83058470764621</v>
      </c>
      <c r="J21" s="363">
        <f>+Tabla2[[#This Row],[PROM DE USUARIOS]]-Tabla2[[#This Row],[USUARIOS]]</f>
        <v>3.8305847076462101</v>
      </c>
      <c r="K21" s="151"/>
      <c r="L21" s="163">
        <f>P21*585</f>
        <v>148490.89205397305</v>
      </c>
      <c r="M21" s="162" t="str">
        <f>+VLOOKUP(C21,Lista!B:D,3,0)</f>
        <v>MICRO</v>
      </c>
      <c r="N21" s="164">
        <f>+(SUMIFS(G:G,M:M,"MICRO",E:E,"&gt;0")*100)/COUNTIF($E$7:$E$43,"&gt;0")</f>
        <v>9497.2972972972966</v>
      </c>
      <c r="O21" s="50">
        <f t="shared" si="0"/>
        <v>15</v>
      </c>
      <c r="P21" s="47">
        <f t="shared" si="1"/>
        <v>253.83058470764621</v>
      </c>
      <c r="Q21" s="49">
        <f t="shared" si="2"/>
        <v>250</v>
      </c>
      <c r="R21" s="51">
        <f t="shared" si="3"/>
        <v>253.83058470764621</v>
      </c>
      <c r="S21" s="46">
        <f t="shared" si="4"/>
        <v>139606.82158920541</v>
      </c>
      <c r="T21" t="str">
        <f t="shared" si="5"/>
        <v/>
      </c>
      <c r="U21">
        <f>+RANK(H21,$H$6:$H$1048576,1)</f>
        <v>19</v>
      </c>
      <c r="Y21" t="str">
        <f>TRIM(Tabla2[[#This Row],[CONDUCTOR]])</f>
        <v>LOPERA ALVAREZ ESTIVEN</v>
      </c>
    </row>
    <row r="22" spans="2:25" x14ac:dyDescent="0.2">
      <c r="B22" s="136" t="s">
        <v>122</v>
      </c>
      <c r="C22" s="137">
        <v>20</v>
      </c>
      <c r="D22" s="151" t="s">
        <v>162</v>
      </c>
      <c r="E22" s="150">
        <v>9</v>
      </c>
      <c r="F22" s="150">
        <v>0</v>
      </c>
      <c r="G22" s="165">
        <v>171</v>
      </c>
      <c r="H22" s="226">
        <f>+G22/E22</f>
        <v>19</v>
      </c>
      <c r="I22" s="227">
        <f>+(SUM($G$7:$G$1048576)/SUM($E$7:$E$1048576))*E22</f>
        <v>161.29835082458771</v>
      </c>
      <c r="J22" s="363">
        <f>+Tabla2[[#This Row],[PROM DE USUARIOS]]-Tabla2[[#This Row],[USUARIOS]]</f>
        <v>-9.7016491754122853</v>
      </c>
      <c r="K22" s="151"/>
      <c r="L22" s="163">
        <f>P22*585</f>
        <v>89094.535232383816</v>
      </c>
      <c r="M22" s="162" t="str">
        <f>+VLOOKUP(C22,Lista!B:D,3,0)</f>
        <v>MICRO</v>
      </c>
      <c r="N22" s="164">
        <f>+(SUMIFS(G:G,M:M,"MICRO",E:E,"&gt;0")*100)/COUNTIF($E$7:$E$43,"&gt;0")</f>
        <v>9497.2972972972966</v>
      </c>
      <c r="O22" s="50">
        <f t="shared" si="0"/>
        <v>9</v>
      </c>
      <c r="P22" s="47">
        <f t="shared" si="1"/>
        <v>152.29835082458771</v>
      </c>
      <c r="Q22" s="49">
        <f t="shared" si="2"/>
        <v>162</v>
      </c>
      <c r="R22" s="51">
        <f t="shared" si="3"/>
        <v>152.29835082458771</v>
      </c>
      <c r="S22" s="46">
        <f t="shared" si="4"/>
        <v>83764.092953523243</v>
      </c>
      <c r="T22" t="str">
        <f t="shared" si="5"/>
        <v/>
      </c>
      <c r="U22">
        <f>+RANK(H22,$H$6:$H$1048576,1)</f>
        <v>28</v>
      </c>
      <c r="Y22" t="str">
        <f>TRIM(Tabla2[[#This Row],[CONDUCTOR]])</f>
        <v>MURILLO YOIMAR ANDRES</v>
      </c>
    </row>
    <row r="23" spans="2:25" x14ac:dyDescent="0.2">
      <c r="B23" s="136" t="s">
        <v>121</v>
      </c>
      <c r="C23" s="166">
        <v>21</v>
      </c>
      <c r="D23" s="151" t="s">
        <v>179</v>
      </c>
      <c r="E23" s="150">
        <v>7</v>
      </c>
      <c r="F23" s="150">
        <v>0</v>
      </c>
      <c r="G23" s="146">
        <v>121</v>
      </c>
      <c r="H23" s="226">
        <f>+G23/E23</f>
        <v>17.285714285714285</v>
      </c>
      <c r="I23" s="364">
        <f>+(SUM($G$7:$G$1048576)/SUM($E$7:$E$1048576))*E23</f>
        <v>125.45427286356824</v>
      </c>
      <c r="J23" s="363">
        <f>+Tabla2[[#This Row],[PROM DE USUARIOS]]-Tabla2[[#This Row],[USUARIOS]]</f>
        <v>4.4542728635682352</v>
      </c>
      <c r="K23" s="151"/>
      <c r="L23" s="163">
        <f>P23*585</f>
        <v>69295.749625187411</v>
      </c>
      <c r="M23" s="162" t="str">
        <f>+VLOOKUP(C23,Lista!B:D,3,0)</f>
        <v>MICRO</v>
      </c>
      <c r="N23" s="164">
        <f>+(SUMIFS(G:G,M:M,"MICRO",E:E,"&gt;0")*100)/COUNTIF($E$7:$E$43,"&gt;0")</f>
        <v>9497.2972972972966</v>
      </c>
      <c r="O23" s="50">
        <f t="shared" si="0"/>
        <v>7</v>
      </c>
      <c r="P23" s="47">
        <f t="shared" si="1"/>
        <v>118.45427286356824</v>
      </c>
      <c r="Q23" s="49">
        <f t="shared" si="2"/>
        <v>114</v>
      </c>
      <c r="R23" s="51">
        <f t="shared" si="3"/>
        <v>118.45427286356824</v>
      </c>
      <c r="S23" s="46">
        <f t="shared" si="4"/>
        <v>65149.850074962531</v>
      </c>
      <c r="T23" t="str">
        <f t="shared" si="5"/>
        <v/>
      </c>
      <c r="U23">
        <f>+RANK(H23,$H$6:$H$1048576,1)</f>
        <v>16</v>
      </c>
      <c r="Y23" t="str">
        <f>TRIM(Tabla2[[#This Row],[CONDUCTOR]])</f>
        <v>DURANGO DAVID JOSE</v>
      </c>
    </row>
    <row r="24" spans="2:25" x14ac:dyDescent="0.2">
      <c r="B24" s="136" t="s">
        <v>122</v>
      </c>
      <c r="C24" s="166">
        <v>22</v>
      </c>
      <c r="D24" s="151" t="s">
        <v>155</v>
      </c>
      <c r="E24" s="150">
        <v>9</v>
      </c>
      <c r="F24" s="150">
        <v>0</v>
      </c>
      <c r="G24" s="146">
        <v>132</v>
      </c>
      <c r="H24" s="226">
        <f>+G24/E24</f>
        <v>14.666666666666666</v>
      </c>
      <c r="I24" s="364">
        <f>+(SUM($G$7:$G$1048576)/SUM($E$7:$E$1048576))*E24</f>
        <v>161.29835082458771</v>
      </c>
      <c r="J24" s="363">
        <f>+Tabla2[[#This Row],[PROM DE USUARIOS]]-Tabla2[[#This Row],[USUARIOS]]</f>
        <v>29.298350824587715</v>
      </c>
      <c r="K24" s="151"/>
      <c r="L24" s="163">
        <f>P24*585</f>
        <v>89094.535232383816</v>
      </c>
      <c r="M24" s="162">
        <f>+VLOOKUP(C24,Lista!B:D,3,0)</f>
        <v>0</v>
      </c>
      <c r="N24" s="164">
        <f>+(SUMIFS(G:G,M:M,"MICRO",E:E,"&gt;0")*100)/COUNTIF($E$7:$E$43,"&gt;0")</f>
        <v>9497.2972972972966</v>
      </c>
      <c r="O24" s="50">
        <f t="shared" si="0"/>
        <v>9</v>
      </c>
      <c r="P24" s="47">
        <f t="shared" si="1"/>
        <v>152.29835082458771</v>
      </c>
      <c r="Q24" s="49">
        <f t="shared" si="2"/>
        <v>123</v>
      </c>
      <c r="R24" s="51">
        <f t="shared" si="3"/>
        <v>152.29835082458771</v>
      </c>
      <c r="S24" s="46">
        <f t="shared" si="4"/>
        <v>83764.092953523243</v>
      </c>
      <c r="T24" t="str">
        <f t="shared" si="5"/>
        <v/>
      </c>
      <c r="U24">
        <f>+RANK(H24,$H$6:$H$1048576,1)</f>
        <v>3</v>
      </c>
      <c r="Y24" t="str">
        <f>TRIM(Tabla2[[#This Row],[CONDUCTOR]])</f>
        <v>QUIRAMA CASTAÑEDA JHON JADER</v>
      </c>
    </row>
    <row r="25" spans="2:25" s="2" customFormat="1" ht="22.5" x14ac:dyDescent="0.2">
      <c r="B25" s="136" t="s">
        <v>121</v>
      </c>
      <c r="C25" s="166">
        <v>23</v>
      </c>
      <c r="D25" s="136" t="s">
        <v>169</v>
      </c>
      <c r="E25" s="150">
        <v>9</v>
      </c>
      <c r="F25" s="150">
        <v>0.5</v>
      </c>
      <c r="G25" s="376">
        <v>126</v>
      </c>
      <c r="H25" s="377">
        <f>+G25/E25</f>
        <v>14</v>
      </c>
      <c r="I25" s="378">
        <f>+(SUM($G$7:$G$1048576)/SUM($E$7:$E$1048576))*E25</f>
        <v>161.29835082458771</v>
      </c>
      <c r="J25" s="379">
        <f>+Tabla2[[#This Row],[PROM DE USUARIOS]]-Tabla2[[#This Row],[USUARIOS]]</f>
        <v>35.298350824587715</v>
      </c>
      <c r="K25" s="380" t="s">
        <v>194</v>
      </c>
      <c r="L25" s="163">
        <f>P25*585</f>
        <v>84144.850232383804</v>
      </c>
      <c r="M25" s="162" t="str">
        <f>+VLOOKUP(C25,Lista!B:D,3,0)</f>
        <v xml:space="preserve">MICRO </v>
      </c>
      <c r="N25" s="164">
        <f>+(SUMIFS(G:G,M:M,"MICRO",E:E,"&gt;0")*100)/COUNTIF($E$7:$E$43,"&gt;0")</f>
        <v>9497.2972972972966</v>
      </c>
      <c r="O25" s="50">
        <f t="shared" si="0"/>
        <v>8.5</v>
      </c>
      <c r="P25" s="47">
        <f t="shared" si="1"/>
        <v>143.8373508245877</v>
      </c>
      <c r="Q25" s="49">
        <f t="shared" si="2"/>
        <v>117.5</v>
      </c>
      <c r="R25" s="51">
        <f t="shared" si="3"/>
        <v>152.29835082458771</v>
      </c>
      <c r="S25" s="46">
        <f t="shared" si="4"/>
        <v>83764.092953523243</v>
      </c>
      <c r="T25" s="2" t="str">
        <f t="shared" si="5"/>
        <v xml:space="preserve">Se descuenta 0.5 viaje de 6 32 am ya que NO espera el tiempo indicado en el paradero. 1 Descuento (Conduct) </v>
      </c>
      <c r="U25" s="2">
        <f>+RANK(H25,$H$6:$H$1048576,1)</f>
        <v>2</v>
      </c>
      <c r="V25" s="2">
        <v>0.5</v>
      </c>
      <c r="W25" s="2">
        <v>8.9610000000000003</v>
      </c>
      <c r="Y25" s="2" t="str">
        <f>TRIM(Tabla2[[#This Row],[CONDUCTOR]])</f>
        <v>SALDARRIAGA PARRA LUIS ALBERTO</v>
      </c>
    </row>
    <row r="26" spans="2:25" x14ac:dyDescent="0.2">
      <c r="B26" s="136" t="s">
        <v>122</v>
      </c>
      <c r="C26" s="137">
        <v>24</v>
      </c>
      <c r="D26" s="151" t="s">
        <v>160</v>
      </c>
      <c r="E26" s="150">
        <v>9</v>
      </c>
      <c r="F26" s="150">
        <v>0</v>
      </c>
      <c r="G26" s="146">
        <v>161</v>
      </c>
      <c r="H26" s="226">
        <f>+G26/E26</f>
        <v>17.888888888888889</v>
      </c>
      <c r="I26" s="227">
        <f>+(SUM($G$7:$G$1048576)/SUM($E$7:$E$1048576))*E26</f>
        <v>161.29835082458771</v>
      </c>
      <c r="J26" s="363">
        <f>+Tabla2[[#This Row],[PROM DE USUARIOS]]-Tabla2[[#This Row],[USUARIOS]]</f>
        <v>0.29835082458771467</v>
      </c>
      <c r="K26" s="151"/>
      <c r="L26" s="163">
        <f>P26*585</f>
        <v>89094.535232383816</v>
      </c>
      <c r="M26" s="162" t="str">
        <f>+VLOOKUP(C26,Lista!B:D,3,0)</f>
        <v>MICRO</v>
      </c>
      <c r="N26" s="164">
        <f>+(SUMIFS(G:G,M:M,"MICRO",E:E,"&gt;0")*100)/COUNTIF($E$7:$E$43,"&gt;0")</f>
        <v>9497.2972972972966</v>
      </c>
      <c r="O26" s="50">
        <f t="shared" si="0"/>
        <v>9</v>
      </c>
      <c r="P26" s="47">
        <f t="shared" si="1"/>
        <v>152.29835082458771</v>
      </c>
      <c r="Q26" s="49">
        <f t="shared" si="2"/>
        <v>152</v>
      </c>
      <c r="R26" s="51">
        <f t="shared" si="3"/>
        <v>152.29835082458771</v>
      </c>
      <c r="S26" s="46">
        <f t="shared" si="4"/>
        <v>83764.092953523243</v>
      </c>
      <c r="T26" t="str">
        <f t="shared" si="5"/>
        <v/>
      </c>
      <c r="U26">
        <f>+RANK(H26,$H$6:$H$1048576,1)</f>
        <v>21</v>
      </c>
      <c r="Y26" t="str">
        <f>TRIM(Tabla2[[#This Row],[CONDUCTOR]])</f>
        <v>JIMENEZ HERNANDEZ ESTEBAN CAMILO</v>
      </c>
    </row>
    <row r="27" spans="2:25" x14ac:dyDescent="0.2">
      <c r="B27" s="136" t="s">
        <v>121</v>
      </c>
      <c r="C27" s="137">
        <v>25</v>
      </c>
      <c r="D27" s="151" t="s">
        <v>180</v>
      </c>
      <c r="E27" s="150">
        <v>9</v>
      </c>
      <c r="F27" s="150">
        <v>0</v>
      </c>
      <c r="G27" s="146">
        <v>173</v>
      </c>
      <c r="H27" s="226">
        <f>+G27/E27</f>
        <v>19.222222222222221</v>
      </c>
      <c r="I27" s="227">
        <f>+(SUM($G$7:$G$1048576)/SUM($E$7:$E$1048576))*E27</f>
        <v>161.29835082458771</v>
      </c>
      <c r="J27" s="363">
        <f>+Tabla2[[#This Row],[PROM DE USUARIOS]]-Tabla2[[#This Row],[USUARIOS]]</f>
        <v>-11.701649175412285</v>
      </c>
      <c r="K27" s="151" t="s">
        <v>188</v>
      </c>
      <c r="L27" s="163">
        <f>P27*585</f>
        <v>89094.535232383816</v>
      </c>
      <c r="M27" s="162">
        <f>+VLOOKUP(C27,Lista!B:D,3,0)</f>
        <v>0</v>
      </c>
      <c r="N27" s="164">
        <f>+(SUMIFS(G:G,M:M,"MICRO",E:E,"&gt;0")*100)/COUNTIF($E$7:$E$43,"&gt;0")</f>
        <v>9497.2972972972966</v>
      </c>
      <c r="O27" s="50">
        <f t="shared" si="0"/>
        <v>9</v>
      </c>
      <c r="P27" s="47">
        <f t="shared" si="1"/>
        <v>152.29835082458771</v>
      </c>
      <c r="Q27" s="49">
        <f t="shared" si="2"/>
        <v>164</v>
      </c>
      <c r="R27" s="51">
        <f t="shared" si="3"/>
        <v>152.29835082458771</v>
      </c>
      <c r="S27" s="46">
        <f t="shared" si="4"/>
        <v>83764.092953523243</v>
      </c>
      <c r="T27" t="str">
        <f t="shared" si="5"/>
        <v xml:space="preserve">2 Descuentos (Usuarios desubicados) </v>
      </c>
      <c r="U27">
        <f>+RANK(H27,$H$6:$H$1048576,1)</f>
        <v>29</v>
      </c>
      <c r="Y27" t="str">
        <f>TRIM(Tabla2[[#This Row],[CONDUCTOR]])</f>
        <v>OSORIO URREGO SANTIAGO</v>
      </c>
    </row>
    <row r="28" spans="2:25" x14ac:dyDescent="0.2">
      <c r="B28" s="136" t="s">
        <v>122</v>
      </c>
      <c r="C28" s="166">
        <v>26</v>
      </c>
      <c r="D28" s="151" t="s">
        <v>172</v>
      </c>
      <c r="E28" s="150">
        <v>8</v>
      </c>
      <c r="F28" s="150">
        <v>0</v>
      </c>
      <c r="G28" s="165">
        <v>129</v>
      </c>
      <c r="H28" s="226">
        <f>+G28/E28</f>
        <v>16.125</v>
      </c>
      <c r="I28" s="227">
        <f>+(SUM($G$7:$G$1048576)/SUM($E$7:$E$1048576))*E28</f>
        <v>143.37631184407797</v>
      </c>
      <c r="J28" s="363">
        <f>+Tabla2[[#This Row],[PROM DE USUARIOS]]-Tabla2[[#This Row],[USUARIOS]]</f>
        <v>14.376311844077975</v>
      </c>
      <c r="K28" s="151"/>
      <c r="L28" s="163">
        <f>P28*585</f>
        <v>79195.142428785621</v>
      </c>
      <c r="M28" s="162" t="str">
        <f>+VLOOKUP(C28,Lista!B:D,3,0)</f>
        <v>MICRO</v>
      </c>
      <c r="N28" s="164">
        <f>+(SUMIFS(G:G,M:M,"MICRO",E:E,"&gt;0")*100)/COUNTIF($E$7:$E$43,"&gt;0")</f>
        <v>9497.2972972972966</v>
      </c>
      <c r="O28" s="50">
        <f t="shared" si="0"/>
        <v>8</v>
      </c>
      <c r="P28" s="47">
        <f t="shared" si="1"/>
        <v>135.37631184407797</v>
      </c>
      <c r="Q28" s="49">
        <f t="shared" si="2"/>
        <v>121</v>
      </c>
      <c r="R28" s="51">
        <f t="shared" si="3"/>
        <v>135.37631184407797</v>
      </c>
      <c r="S28" s="46">
        <f t="shared" si="4"/>
        <v>74456.97151424289</v>
      </c>
      <c r="T28" t="str">
        <f t="shared" si="5"/>
        <v/>
      </c>
      <c r="U28">
        <f>+RANK(H28,$H$6:$H$1048576,1)</f>
        <v>8</v>
      </c>
      <c r="Y28" t="str">
        <f>TRIM(Tabla2[[#This Row],[CONDUCTOR]])</f>
        <v>SUAREZ ESCUDERO JONATAN</v>
      </c>
    </row>
    <row r="29" spans="2:25" x14ac:dyDescent="0.2">
      <c r="B29" s="136" t="s">
        <v>121</v>
      </c>
      <c r="C29" s="166">
        <v>27</v>
      </c>
      <c r="D29" s="151" t="s">
        <v>182</v>
      </c>
      <c r="E29" s="150">
        <v>7</v>
      </c>
      <c r="F29" s="150">
        <v>0</v>
      </c>
      <c r="G29" s="146">
        <v>146</v>
      </c>
      <c r="H29" s="226">
        <f>+G29/E29</f>
        <v>20.857142857142858</v>
      </c>
      <c r="I29" s="364">
        <f>+(SUM($G$7:$G$1048576)/SUM($E$7:$E$1048576))*E29</f>
        <v>125.45427286356824</v>
      </c>
      <c r="J29" s="363">
        <f>+Tabla2[[#This Row],[PROM DE USUARIOS]]-Tabla2[[#This Row],[USUARIOS]]</f>
        <v>-20.545727136431765</v>
      </c>
      <c r="K29" s="151" t="s">
        <v>184</v>
      </c>
      <c r="L29" s="366">
        <f>P29*585</f>
        <v>69295.749625187411</v>
      </c>
      <c r="M29" s="367">
        <f>+VLOOKUP(C29,Lista!B:D,3,0)</f>
        <v>0</v>
      </c>
      <c r="N29" s="164">
        <f>+(SUMIFS(G:G,M:M,"MICRO",E:E,"&gt;0")*100)/COUNTIF($E$7:$E$43,"&gt;0")</f>
        <v>9497.2972972972966</v>
      </c>
      <c r="O29" s="50">
        <f t="shared" si="0"/>
        <v>7</v>
      </c>
      <c r="P29" s="47">
        <f t="shared" si="1"/>
        <v>118.45427286356824</v>
      </c>
      <c r="Q29" s="49">
        <f t="shared" si="2"/>
        <v>139</v>
      </c>
      <c r="R29" s="51">
        <f t="shared" si="3"/>
        <v>118.45427286356824</v>
      </c>
      <c r="S29" s="46">
        <f t="shared" si="4"/>
        <v>65149.850074962531</v>
      </c>
      <c r="T29" t="str">
        <f t="shared" si="5"/>
        <v xml:space="preserve">JORGE FLORES Realizó 3 viajes donde movilizó 78 Usuarios </v>
      </c>
      <c r="U29">
        <f>+RANK(H29,$H$6:$H$1048576,1)</f>
        <v>35</v>
      </c>
      <c r="Y29" t="str">
        <f>TRIM(Tabla2[[#This Row],[CONDUCTOR]])</f>
        <v>HENAO MUÑOZ FERNEY</v>
      </c>
    </row>
    <row r="30" spans="2:25" s="2" customFormat="1" x14ac:dyDescent="0.2">
      <c r="B30" s="136" t="s">
        <v>122</v>
      </c>
      <c r="C30" s="166">
        <v>28</v>
      </c>
      <c r="D30" s="151" t="s">
        <v>152</v>
      </c>
      <c r="E30" s="150">
        <v>12</v>
      </c>
      <c r="F30" s="150">
        <v>0</v>
      </c>
      <c r="G30" s="146">
        <v>183</v>
      </c>
      <c r="H30" s="226">
        <f>+G30/E30</f>
        <v>15.25</v>
      </c>
      <c r="I30" s="364">
        <f>+(SUM($G$7:$G$1048576)/SUM($E$7:$E$1048576))*E30</f>
        <v>215.06446776611696</v>
      </c>
      <c r="J30" s="363">
        <f>+Tabla2[[#This Row],[PROM DE USUARIOS]]-Tabla2[[#This Row],[USUARIOS]]</f>
        <v>32.064467766116962</v>
      </c>
      <c r="K30" s="151"/>
      <c r="L30" s="163">
        <f>P30*585</f>
        <v>118792.71364317842</v>
      </c>
      <c r="M30" s="367" t="str">
        <f>+VLOOKUP(C30,Lista!B:D,3,0)</f>
        <v>MICRO</v>
      </c>
      <c r="N30" s="164">
        <f>+(SUMIFS(G:G,M:M,"MICRO",E:E,"&gt;0")*100)/COUNTIF($E$7:$E$43,"&gt;0")</f>
        <v>9497.2972972972966</v>
      </c>
      <c r="O30" s="50">
        <f t="shared" si="0"/>
        <v>12</v>
      </c>
      <c r="P30" s="47">
        <f t="shared" si="1"/>
        <v>203.06446776611696</v>
      </c>
      <c r="Q30" s="49">
        <f t="shared" si="2"/>
        <v>171</v>
      </c>
      <c r="R30" s="51">
        <f t="shared" si="3"/>
        <v>203.06446776611696</v>
      </c>
      <c r="S30" s="46">
        <f t="shared" si="4"/>
        <v>111685.45727136433</v>
      </c>
      <c r="T30" t="str">
        <f t="shared" si="5"/>
        <v/>
      </c>
      <c r="U30">
        <f>+RANK(H30,$H$6:$H$1048576,1)</f>
        <v>5</v>
      </c>
      <c r="Y30" t="str">
        <f>TRIM(Tabla2[[#This Row],[CONDUCTOR]])</f>
        <v>TUBERQUIA MAICOL</v>
      </c>
    </row>
    <row r="31" spans="2:25" x14ac:dyDescent="0.2">
      <c r="B31" s="136" t="s">
        <v>121</v>
      </c>
      <c r="C31" s="166">
        <v>29</v>
      </c>
      <c r="D31" s="151" t="s">
        <v>173</v>
      </c>
      <c r="E31" s="150">
        <v>7</v>
      </c>
      <c r="F31" s="150">
        <v>0</v>
      </c>
      <c r="G31" s="146">
        <v>119</v>
      </c>
      <c r="H31" s="226">
        <f>+G31/E31</f>
        <v>17</v>
      </c>
      <c r="I31" s="364">
        <f>+(SUM($G$7:$G$1048576)/SUM($E$7:$E$1048576))*E31</f>
        <v>125.45427286356824</v>
      </c>
      <c r="J31" s="363">
        <f>+Tabla2[[#This Row],[PROM DE USUARIOS]]-Tabla2[[#This Row],[USUARIOS]]</f>
        <v>6.4542728635682352</v>
      </c>
      <c r="K31" s="151" t="s">
        <v>189</v>
      </c>
      <c r="L31" s="163">
        <f>P31*585</f>
        <v>69295.749625187411</v>
      </c>
      <c r="M31" s="367" t="str">
        <f>+VLOOKUP(C31,Lista!B:D,3,0)</f>
        <v>MICRO</v>
      </c>
      <c r="N31" s="164">
        <f>+(SUMIFS(G:G,M:M,"MICRO",E:E,"&gt;0")*100)/COUNTIF($E$7:$E$43,"&gt;0")</f>
        <v>9497.2972972972966</v>
      </c>
      <c r="O31" s="50">
        <f t="shared" si="0"/>
        <v>7</v>
      </c>
      <c r="P31" s="47">
        <f t="shared" si="1"/>
        <v>118.45427286356824</v>
      </c>
      <c r="Q31" s="49">
        <f t="shared" si="2"/>
        <v>112</v>
      </c>
      <c r="R31" s="51">
        <f t="shared" si="3"/>
        <v>118.45427286356824</v>
      </c>
      <c r="S31" s="46">
        <f t="shared" si="4"/>
        <v>65149.850074962531</v>
      </c>
      <c r="T31" t="str">
        <f t="shared" si="5"/>
        <v xml:space="preserve">2 Descuentos (Conducts) </v>
      </c>
      <c r="U31">
        <f>+RANK(H31,$H$6:$H$1048576,1)</f>
        <v>12</v>
      </c>
      <c r="Y31" t="str">
        <f>TRIM(Tabla2[[#This Row],[CONDUCTOR]])</f>
        <v>LEON PEREZ RAUL ENRIQUE</v>
      </c>
    </row>
    <row r="32" spans="2:25" x14ac:dyDescent="0.2">
      <c r="B32" s="136" t="s">
        <v>122</v>
      </c>
      <c r="C32" s="166">
        <v>30</v>
      </c>
      <c r="D32" s="151" t="s">
        <v>174</v>
      </c>
      <c r="E32" s="150">
        <v>9</v>
      </c>
      <c r="F32" s="150">
        <v>0</v>
      </c>
      <c r="G32" s="146">
        <v>168</v>
      </c>
      <c r="H32" s="226">
        <f>+G32/E32</f>
        <v>18.666666666666668</v>
      </c>
      <c r="I32" s="227">
        <f>+(SUM($G$7:$G$1048576)/SUM($E$7:$E$1048576))*E32</f>
        <v>161.29835082458771</v>
      </c>
      <c r="J32" s="363">
        <f>+Tabla2[[#This Row],[PROM DE USUARIOS]]-Tabla2[[#This Row],[USUARIOS]]</f>
        <v>-6.7016491754122853</v>
      </c>
      <c r="K32" s="151" t="s">
        <v>190</v>
      </c>
      <c r="L32" s="163">
        <f>P32*585</f>
        <v>89094.535232383816</v>
      </c>
      <c r="M32" s="367">
        <f>+VLOOKUP(C32,Lista!B:D,3,0)</f>
        <v>0</v>
      </c>
      <c r="N32" s="164">
        <f>+(SUMIFS(G:G,M:M,"MICRO",E:E,"&gt;0")*100)/COUNTIF($E$7:$E$43,"&gt;0")</f>
        <v>9497.2972972972966</v>
      </c>
      <c r="O32" s="50">
        <f t="shared" si="0"/>
        <v>9</v>
      </c>
      <c r="P32" s="47">
        <f t="shared" si="1"/>
        <v>152.29835082458771</v>
      </c>
      <c r="Q32" s="49">
        <f t="shared" si="2"/>
        <v>159</v>
      </c>
      <c r="R32" s="51">
        <f t="shared" si="3"/>
        <v>152.29835082458771</v>
      </c>
      <c r="S32" s="46">
        <f t="shared" si="4"/>
        <v>83764.092953523243</v>
      </c>
      <c r="T32" t="str">
        <f t="shared" si="5"/>
        <v xml:space="preserve">3 Descuentos (Conducts) </v>
      </c>
      <c r="U32">
        <f>+RANK(H32,$H$6:$H$1048576,1)</f>
        <v>25</v>
      </c>
      <c r="Y32" t="str">
        <f>TRIM(Tabla2[[#This Row],[CONDUCTOR]])</f>
        <v>AGUDELO GARCIA LLORDIN ELIAS</v>
      </c>
    </row>
    <row r="33" spans="2:25" x14ac:dyDescent="0.2">
      <c r="B33" s="136" t="s">
        <v>121</v>
      </c>
      <c r="C33" s="166">
        <v>31</v>
      </c>
      <c r="D33" s="151" t="s">
        <v>183</v>
      </c>
      <c r="E33" s="150">
        <v>10</v>
      </c>
      <c r="F33" s="150">
        <v>0</v>
      </c>
      <c r="G33" s="146">
        <v>188</v>
      </c>
      <c r="H33" s="226">
        <f>+G33/E33</f>
        <v>18.8</v>
      </c>
      <c r="I33" s="364">
        <f>+(SUM($G$7:$G$1048576)/SUM($E$7:$E$1048576))*E33</f>
        <v>179.22038980509745</v>
      </c>
      <c r="J33" s="363">
        <f>+Tabla2[[#This Row],[PROM DE USUARIOS]]-Tabla2[[#This Row],[USUARIOS]]</f>
        <v>-8.7796101949025456</v>
      </c>
      <c r="K33" s="151" t="s">
        <v>191</v>
      </c>
      <c r="L33" s="163">
        <f>P33*585</f>
        <v>98993.928035982011</v>
      </c>
      <c r="M33" s="367" t="str">
        <f>+VLOOKUP(C33,Lista!B:D,3,0)</f>
        <v>MICRO</v>
      </c>
      <c r="N33" s="164">
        <f>+(SUMIFS(G:G,M:M,"MICRO",E:E,"&gt;0")*100)/COUNTIF($E$7:$E$43,"&gt;0")</f>
        <v>9497.2972972972966</v>
      </c>
      <c r="O33" s="50">
        <f t="shared" si="0"/>
        <v>10</v>
      </c>
      <c r="P33" s="47">
        <f t="shared" si="1"/>
        <v>169.22038980509745</v>
      </c>
      <c r="Q33" s="49">
        <f t="shared" si="2"/>
        <v>178</v>
      </c>
      <c r="R33" s="51">
        <f t="shared" si="3"/>
        <v>169.22038980509745</v>
      </c>
      <c r="S33" s="46">
        <f t="shared" si="4"/>
        <v>93071.214392803595</v>
      </c>
      <c r="T33" t="str">
        <f t="shared" si="5"/>
        <v xml:space="preserve">3 Descuentos (Conducts y despachador) </v>
      </c>
      <c r="U33">
        <f>+RANK(H33,$H$6:$H$1048576,1)</f>
        <v>26</v>
      </c>
      <c r="Y33" t="str">
        <f>TRIM(Tabla2[[#This Row],[CONDUCTOR]])</f>
        <v>FRANCO CARVAJAL GERARDO ANTONIO</v>
      </c>
    </row>
    <row r="34" spans="2:25" x14ac:dyDescent="0.2">
      <c r="B34" s="136" t="s">
        <v>122</v>
      </c>
      <c r="C34" s="166">
        <v>32</v>
      </c>
      <c r="D34" s="151" t="s">
        <v>167</v>
      </c>
      <c r="E34" s="150">
        <v>7</v>
      </c>
      <c r="F34" s="150">
        <v>0</v>
      </c>
      <c r="G34" s="165">
        <v>103</v>
      </c>
      <c r="H34" s="226">
        <f>+G34/E34</f>
        <v>14.714285714285714</v>
      </c>
      <c r="I34" s="227">
        <f>+(SUM($G$7:$G$1048576)/SUM($E$7:$E$1048576))*E34</f>
        <v>125.45427286356824</v>
      </c>
      <c r="J34" s="363">
        <f>+Tabla2[[#This Row],[PROM DE USUARIOS]]-Tabla2[[#This Row],[USUARIOS]]</f>
        <v>22.454272863568235</v>
      </c>
      <c r="K34" s="151"/>
      <c r="L34" s="163">
        <f>P34*585</f>
        <v>69295.749625187411</v>
      </c>
      <c r="M34" s="367" t="str">
        <f>+VLOOKUP(C34,Lista!B:D,3,0)</f>
        <v>MICRO</v>
      </c>
      <c r="N34" s="164">
        <f>+(SUMIFS(G:G,M:M,"MICRO",E:E,"&gt;0")*100)/COUNTIF($E$7:$E$43,"&gt;0")</f>
        <v>9497.2972972972966</v>
      </c>
      <c r="O34" s="50">
        <f t="shared" si="0"/>
        <v>7</v>
      </c>
      <c r="P34" s="47">
        <f t="shared" si="1"/>
        <v>118.45427286356824</v>
      </c>
      <c r="Q34" s="49">
        <f t="shared" si="2"/>
        <v>96</v>
      </c>
      <c r="R34" s="51">
        <f t="shared" si="3"/>
        <v>118.45427286356824</v>
      </c>
      <c r="S34" s="46">
        <f t="shared" si="4"/>
        <v>65149.850074962531</v>
      </c>
      <c r="T34" t="str">
        <f t="shared" si="5"/>
        <v/>
      </c>
      <c r="U34">
        <f>+RANK(H34,$H$6:$H$1048576,1)</f>
        <v>4</v>
      </c>
      <c r="Y34" t="str">
        <f>TRIM(Tabla2[[#This Row],[CONDUCTOR]])</f>
        <v>LAYOS JIMENEZ JOHAN CAMILO</v>
      </c>
    </row>
    <row r="35" spans="2:25" x14ac:dyDescent="0.2">
      <c r="B35" s="136" t="s">
        <v>121</v>
      </c>
      <c r="C35" s="166">
        <v>33</v>
      </c>
      <c r="D35" s="151" t="s">
        <v>181</v>
      </c>
      <c r="E35" s="150">
        <v>9</v>
      </c>
      <c r="F35" s="150">
        <v>0</v>
      </c>
      <c r="G35" s="165">
        <v>145</v>
      </c>
      <c r="H35" s="226">
        <f>+G35/E35</f>
        <v>16.111111111111111</v>
      </c>
      <c r="I35" s="227">
        <f>+(SUM($G$7:$G$1048576)/SUM($E$7:$E$1048576))*E35</f>
        <v>161.29835082458771</v>
      </c>
      <c r="J35" s="363">
        <f>+Tabla2[[#This Row],[PROM DE USUARIOS]]-Tabla2[[#This Row],[USUARIOS]]</f>
        <v>16.298350824587715</v>
      </c>
      <c r="K35" s="151"/>
      <c r="L35" s="163">
        <f>P35*585</f>
        <v>89094.535232383816</v>
      </c>
      <c r="M35" s="367" t="str">
        <f>+VLOOKUP(C35,Lista!B:D,3,0)</f>
        <v>MICRO</v>
      </c>
      <c r="N35" s="164">
        <f>+(SUMIFS(G:G,M:M,"MICRO",E:E,"&gt;0")*100)/COUNTIF($E$7:$E$43,"&gt;0")</f>
        <v>9497.2972972972966</v>
      </c>
      <c r="O35" s="50">
        <f t="shared" si="0"/>
        <v>9</v>
      </c>
      <c r="P35" s="47">
        <f t="shared" si="1"/>
        <v>152.29835082458771</v>
      </c>
      <c r="Q35" s="49">
        <f t="shared" si="2"/>
        <v>136</v>
      </c>
      <c r="R35" s="51">
        <f t="shared" si="3"/>
        <v>152.29835082458771</v>
      </c>
      <c r="S35" s="46">
        <f t="shared" si="4"/>
        <v>83764.092953523243</v>
      </c>
      <c r="T35" t="str">
        <f t="shared" si="5"/>
        <v/>
      </c>
      <c r="U35">
        <f>+RANK(H35,$H$6:$H$1048576,1)</f>
        <v>7</v>
      </c>
      <c r="Y35" t="str">
        <f>TRIM(Tabla2[[#This Row],[CONDUCTOR]])</f>
        <v>MARULANDA JARAMILLO DAWER ANDRES</v>
      </c>
    </row>
    <row r="36" spans="2:25" x14ac:dyDescent="0.2">
      <c r="B36" s="136" t="s">
        <v>122</v>
      </c>
      <c r="C36" s="166">
        <v>35</v>
      </c>
      <c r="D36" s="151" t="s">
        <v>150</v>
      </c>
      <c r="E36" s="150">
        <v>9</v>
      </c>
      <c r="F36" s="150">
        <v>0</v>
      </c>
      <c r="G36" s="165">
        <v>155</v>
      </c>
      <c r="H36" s="226">
        <f>+G36/E36</f>
        <v>17.222222222222221</v>
      </c>
      <c r="I36" s="227">
        <f>+(SUM($G$7:$G$1048576)/SUM($E$7:$E$1048576))*E36</f>
        <v>161.29835082458771</v>
      </c>
      <c r="J36" s="363">
        <f>+Tabla2[[#This Row],[PROM DE USUARIOS]]-Tabla2[[#This Row],[USUARIOS]]</f>
        <v>6.2983508245877147</v>
      </c>
      <c r="K36" s="151"/>
      <c r="L36" s="163">
        <f>P36*585</f>
        <v>89094.535232383816</v>
      </c>
      <c r="M36" s="367">
        <f>+VLOOKUP(C36,Lista!B:D,3,0)</f>
        <v>0</v>
      </c>
      <c r="N36" s="164">
        <f>+(SUMIFS(G:G,M:M,"MICRO",E:E,"&gt;0")*100)/COUNTIF($E$7:$E$43,"&gt;0")</f>
        <v>9497.2972972972966</v>
      </c>
      <c r="O36" s="50">
        <f t="shared" si="0"/>
        <v>9</v>
      </c>
      <c r="P36" s="47">
        <f t="shared" si="1"/>
        <v>152.29835082458771</v>
      </c>
      <c r="Q36" s="49">
        <f t="shared" si="2"/>
        <v>146</v>
      </c>
      <c r="R36" s="51">
        <f t="shared" si="3"/>
        <v>152.29835082458771</v>
      </c>
      <c r="S36" s="46">
        <f t="shared" si="4"/>
        <v>83764.092953523243</v>
      </c>
      <c r="T36" t="str">
        <f t="shared" si="5"/>
        <v/>
      </c>
      <c r="U36">
        <f>+RANK(H36,$H$6:$H$1048576,1)</f>
        <v>15</v>
      </c>
      <c r="Y36" t="str">
        <f>TRIM(Tabla2[[#This Row],[CONDUCTOR]])</f>
        <v>ARAQUE ARROYAVE JOSE ALBEIRO</v>
      </c>
    </row>
    <row r="37" spans="2:25" x14ac:dyDescent="0.2">
      <c r="B37" s="136" t="s">
        <v>121</v>
      </c>
      <c r="C37" s="166">
        <v>36</v>
      </c>
      <c r="D37" s="151" t="s">
        <v>163</v>
      </c>
      <c r="E37" s="150">
        <v>10</v>
      </c>
      <c r="F37" s="150">
        <v>0</v>
      </c>
      <c r="G37" s="146">
        <v>202</v>
      </c>
      <c r="H37" s="226">
        <f>+G37/E37</f>
        <v>20.2</v>
      </c>
      <c r="I37" s="364">
        <f>+(SUM($G$7:$G$1048576)/SUM($E$7:$E$1048576))*E37</f>
        <v>179.22038980509745</v>
      </c>
      <c r="J37" s="363">
        <f>+Tabla2[[#This Row],[PROM DE USUARIOS]]-Tabla2[[#This Row],[USUARIOS]]</f>
        <v>-22.779610194902546</v>
      </c>
      <c r="K37" s="151"/>
      <c r="L37" s="163">
        <f>P37*585</f>
        <v>98993.928035982011</v>
      </c>
      <c r="M37" s="367" t="str">
        <f>+VLOOKUP(C37,Lista!B:D,3,0)</f>
        <v>MICRO</v>
      </c>
      <c r="N37" s="164">
        <f>+(SUMIFS(G:G,M:M,"MICRO",E:E,"&gt;0")*100)/COUNTIF($E$7:$E$43,"&gt;0")</f>
        <v>9497.2972972972966</v>
      </c>
      <c r="O37" s="50">
        <f t="shared" si="0"/>
        <v>10</v>
      </c>
      <c r="P37" s="47">
        <f t="shared" si="1"/>
        <v>169.22038980509745</v>
      </c>
      <c r="Q37" s="49">
        <f t="shared" si="2"/>
        <v>192</v>
      </c>
      <c r="R37" s="51">
        <f t="shared" si="3"/>
        <v>169.22038980509745</v>
      </c>
      <c r="S37" s="46">
        <f t="shared" si="4"/>
        <v>93071.214392803595</v>
      </c>
      <c r="T37" t="str">
        <f t="shared" si="5"/>
        <v/>
      </c>
      <c r="U37">
        <f>+RANK(H37,$H$6:$H$1048576,1)</f>
        <v>32</v>
      </c>
      <c r="Y37" t="str">
        <f>TRIM(Tabla2[[#This Row],[CONDUCTOR]])</f>
        <v>MARTINEZ CHAVERRA LUIS NORBERTO</v>
      </c>
    </row>
    <row r="38" spans="2:25" x14ac:dyDescent="0.2">
      <c r="B38" s="136" t="s">
        <v>122</v>
      </c>
      <c r="C38" s="166">
        <v>37</v>
      </c>
      <c r="D38" s="151" t="s">
        <v>170</v>
      </c>
      <c r="E38" s="150">
        <v>6</v>
      </c>
      <c r="F38" s="150"/>
      <c r="G38" s="146">
        <v>71</v>
      </c>
      <c r="H38" s="226">
        <f>+G38/E38</f>
        <v>11.833333333333334</v>
      </c>
      <c r="I38" s="364">
        <f>+(SUM($G$7:$G$1048576)/SUM($E$7:$E$1048576))*E38</f>
        <v>107.53223388305848</v>
      </c>
      <c r="J38" s="363">
        <f>+Tabla2[[#This Row],[PROM DE USUARIOS]]-Tabla2[[#This Row],[USUARIOS]]</f>
        <v>36.532233883058481</v>
      </c>
      <c r="K38" s="151"/>
      <c r="L38" s="163">
        <f>P38*585</f>
        <v>59396.356821589208</v>
      </c>
      <c r="M38" s="367">
        <f>+VLOOKUP(C38,Lista!B:D,3,0)</f>
        <v>0</v>
      </c>
      <c r="N38" s="164">
        <f>+(SUMIFS(G:G,M:M,"MICRO",E:E,"&gt;0")*100)/COUNTIF($E$7:$E$43,"&gt;0")</f>
        <v>9497.2972972972966</v>
      </c>
      <c r="O38" s="50">
        <f t="shared" si="0"/>
        <v>6</v>
      </c>
      <c r="P38" s="47">
        <f t="shared" si="1"/>
        <v>101.53223388305848</v>
      </c>
      <c r="Q38" s="49">
        <f t="shared" si="2"/>
        <v>65</v>
      </c>
      <c r="R38" s="51">
        <f t="shared" si="3"/>
        <v>101.53223388305848</v>
      </c>
      <c r="S38" s="46">
        <f t="shared" si="4"/>
        <v>55842.728635682164</v>
      </c>
      <c r="T38" t="str">
        <f t="shared" si="5"/>
        <v/>
      </c>
      <c r="U38">
        <f>+RANK(H38,$H$6:$H$1048576,1)</f>
        <v>1</v>
      </c>
      <c r="Y38" t="str">
        <f>TRIM(Tabla2[[#This Row],[CONDUCTOR]])</f>
        <v>TABORDA ROJAS DIEGO ALEJANDRO</v>
      </c>
    </row>
    <row r="39" spans="2:25" x14ac:dyDescent="0.2">
      <c r="B39" s="136" t="s">
        <v>121</v>
      </c>
      <c r="C39" s="166">
        <v>38</v>
      </c>
      <c r="D39" s="151" t="s">
        <v>171</v>
      </c>
      <c r="E39" s="150">
        <v>5.5</v>
      </c>
      <c r="F39" s="150">
        <v>0.5</v>
      </c>
      <c r="G39" s="146">
        <v>100</v>
      </c>
      <c r="H39" s="226">
        <f>+G39/E39</f>
        <v>18.181818181818183</v>
      </c>
      <c r="I39" s="227">
        <f>+(SUM($G$7:$G$1048576)/SUM($E$7:$E$1048576))*E39</f>
        <v>98.571214392803611</v>
      </c>
      <c r="J39" s="363">
        <f>+Tabla2[[#This Row],[PROM DE USUARIOS]]-Tabla2[[#This Row],[USUARIOS]]</f>
        <v>-1.4287856071963887</v>
      </c>
      <c r="K39" s="151" t="s">
        <v>192</v>
      </c>
      <c r="L39" s="163">
        <f>P39*585</f>
        <v>54446.660419790111</v>
      </c>
      <c r="M39" s="367" t="str">
        <f>+VLOOKUP(C39,Lista!B:D,3,0)</f>
        <v>MICRO</v>
      </c>
      <c r="N39" s="164">
        <f>+(SUMIFS(G:G,M:M,"MICRO",E:E,"&gt;0")*100)/COUNTIF($E$7:$E$43,"&gt;0")</f>
        <v>9497.2972972972966</v>
      </c>
      <c r="O39" s="50">
        <f t="shared" si="0"/>
        <v>5.5</v>
      </c>
      <c r="P39" s="47">
        <f t="shared" si="1"/>
        <v>93.071214392803611</v>
      </c>
      <c r="Q39" s="49">
        <f t="shared" si="2"/>
        <v>94.5</v>
      </c>
      <c r="R39" s="51">
        <f t="shared" si="3"/>
        <v>93.071214392803611</v>
      </c>
      <c r="S39" s="46">
        <f t="shared" si="4"/>
        <v>51189.167916041988</v>
      </c>
      <c r="T39" t="str">
        <f t="shared" si="5"/>
        <v xml:space="preserve">2 Descuentos (conducts) </v>
      </c>
      <c r="U39">
        <f>+RANK(H39,$H$6:$H$1048576,1)</f>
        <v>23</v>
      </c>
      <c r="Y39" t="str">
        <f>TRIM(Tabla2[[#This Row],[CONDUCTOR]])</f>
        <v>GONZALEZ IPUANA RENE</v>
      </c>
    </row>
    <row r="40" spans="2:25" x14ac:dyDescent="0.2">
      <c r="B40" s="136" t="s">
        <v>122</v>
      </c>
      <c r="C40" s="166">
        <v>39</v>
      </c>
      <c r="D40" s="151" t="s">
        <v>176</v>
      </c>
      <c r="E40" s="150">
        <v>10</v>
      </c>
      <c r="F40" s="150"/>
      <c r="G40" s="146">
        <v>172</v>
      </c>
      <c r="H40" s="226">
        <f>+G40/E40</f>
        <v>17.2</v>
      </c>
      <c r="I40" s="364">
        <f>+(SUM($G$7:$G$1048576)/SUM($E$7:$E$1048576))*E40</f>
        <v>179.22038980509745</v>
      </c>
      <c r="J40" s="363">
        <f>+Tabla2[[#This Row],[PROM DE USUARIOS]]-Tabla2[[#This Row],[USUARIOS]]</f>
        <v>7.2203898050974544</v>
      </c>
      <c r="K40" s="151"/>
      <c r="L40" s="163">
        <f>P40*585</f>
        <v>98993.928035982011</v>
      </c>
      <c r="M40" s="367" t="str">
        <f>+VLOOKUP(C40,Lista!B:D,3,0)</f>
        <v>MICRO</v>
      </c>
      <c r="N40" s="164">
        <f>+(SUMIFS(G:G,M:M,"MICRO",E:E,"&gt;0")*100)/COUNTIF($E$7:$E$43,"&gt;0")</f>
        <v>9497.2972972972966</v>
      </c>
      <c r="O40" s="50">
        <f t="shared" si="0"/>
        <v>10</v>
      </c>
      <c r="P40" s="47">
        <f t="shared" si="1"/>
        <v>169.22038980509745</v>
      </c>
      <c r="Q40" s="49">
        <f t="shared" si="2"/>
        <v>162</v>
      </c>
      <c r="R40" s="51">
        <f t="shared" si="3"/>
        <v>169.22038980509745</v>
      </c>
      <c r="S40" s="46">
        <f t="shared" si="4"/>
        <v>93071.214392803595</v>
      </c>
      <c r="T40" t="str">
        <f t="shared" si="5"/>
        <v/>
      </c>
      <c r="U40">
        <f>+RANK(H40,$H$6:$H$1048576,1)</f>
        <v>14</v>
      </c>
      <c r="Y40" t="str">
        <f>TRIM(Tabla2[[#This Row],[CONDUCTOR]])</f>
        <v>PALMAR PANA EDIXON JOSUE</v>
      </c>
    </row>
    <row r="41" spans="2:25" x14ac:dyDescent="0.2">
      <c r="B41" s="136" t="s">
        <v>121</v>
      </c>
      <c r="C41" s="166">
        <v>40</v>
      </c>
      <c r="D41" s="151" t="s">
        <v>165</v>
      </c>
      <c r="E41" s="150">
        <v>9</v>
      </c>
      <c r="F41" s="150">
        <v>0</v>
      </c>
      <c r="G41" s="165">
        <v>153</v>
      </c>
      <c r="H41" s="226">
        <f>+G41/E41</f>
        <v>17</v>
      </c>
      <c r="I41" s="227">
        <f>+(SUM($G$7:$G$1048576)/SUM($E$7:$E$1048576))*E41</f>
        <v>161.29835082458771</v>
      </c>
      <c r="J41" s="363">
        <f>+Tabla2[[#This Row],[PROM DE USUARIOS]]-Tabla2[[#This Row],[USUARIOS]]</f>
        <v>8.2983508245877147</v>
      </c>
      <c r="K41" s="151"/>
      <c r="L41" s="163">
        <f>P41*585</f>
        <v>89094.535232383816</v>
      </c>
      <c r="M41" s="367" t="str">
        <f>+VLOOKUP(C41,Lista!B:D,3,0)</f>
        <v>MICRO</v>
      </c>
      <c r="N41" s="164">
        <f>+(SUMIFS(G:G,M:M,"MICRO",E:E,"&gt;0")*100)/COUNTIF($E$7:$E$43,"&gt;0")</f>
        <v>9497.2972972972966</v>
      </c>
      <c r="O41" s="50">
        <f t="shared" si="0"/>
        <v>9</v>
      </c>
      <c r="P41" s="47">
        <f t="shared" si="1"/>
        <v>152.29835082458771</v>
      </c>
      <c r="Q41" s="49">
        <f t="shared" si="2"/>
        <v>144</v>
      </c>
      <c r="R41" s="51">
        <f t="shared" si="3"/>
        <v>152.29835082458771</v>
      </c>
      <c r="S41" s="46">
        <f t="shared" si="4"/>
        <v>83764.092953523243</v>
      </c>
      <c r="T41" t="str">
        <f t="shared" si="5"/>
        <v/>
      </c>
      <c r="U41">
        <f>+RANK(H41,$H$6:$H$1048576,1)</f>
        <v>12</v>
      </c>
      <c r="Y41" t="str">
        <f>TRIM(Tabla2[[#This Row],[CONDUCTOR]])</f>
        <v>JARAMILLO JARAMILLO FRANCISCO WBEIMAR</v>
      </c>
    </row>
    <row r="42" spans="2:25" x14ac:dyDescent="0.2">
      <c r="B42" s="136" t="s">
        <v>122</v>
      </c>
      <c r="C42" s="166">
        <v>42</v>
      </c>
      <c r="D42" s="151" t="s">
        <v>177</v>
      </c>
      <c r="E42" s="150">
        <v>7</v>
      </c>
      <c r="F42" s="150">
        <v>0</v>
      </c>
      <c r="G42" s="146">
        <v>115</v>
      </c>
      <c r="H42" s="226">
        <f>+G42/E42</f>
        <v>16.428571428571427</v>
      </c>
      <c r="I42" s="227">
        <f>+(SUM($G$7:$G$1048576)/SUM($E$7:$E$1048576))*E42</f>
        <v>125.45427286356824</v>
      </c>
      <c r="J42" s="363">
        <f>+Tabla2[[#This Row],[PROM DE USUARIOS]]-Tabla2[[#This Row],[USUARIOS]]</f>
        <v>10.454272863568235</v>
      </c>
      <c r="K42" s="151"/>
      <c r="L42" s="163">
        <f>P42*585</f>
        <v>69295.749625187411</v>
      </c>
      <c r="M42" s="367">
        <f>+VLOOKUP(C42,Lista!B:D,3,0)</f>
        <v>0</v>
      </c>
      <c r="N42" s="164">
        <f>+(SUMIFS(G:G,M:M,"MICRO",E:E,"&gt;0")*100)/COUNTIF($E$7:$E$43,"&gt;0")</f>
        <v>9497.2972972972966</v>
      </c>
      <c r="O42" s="50">
        <f t="shared" ref="O42:O43" si="6">+(E42*1)-V42</f>
        <v>7</v>
      </c>
      <c r="P42" s="47">
        <f t="shared" ref="P42:P43" si="7">+I42-O42-W42</f>
        <v>118.45427286356824</v>
      </c>
      <c r="Q42" s="49">
        <f t="shared" ref="Q42:Q43" si="8">+G42-O42</f>
        <v>108</v>
      </c>
      <c r="R42" s="51">
        <f t="shared" ref="R42:R43" si="9">+E42*$T$3</f>
        <v>118.45427286356824</v>
      </c>
      <c r="S42" s="46">
        <f t="shared" ref="S42:S43" si="10">+R42*550</f>
        <v>65149.850074962531</v>
      </c>
      <c r="T42" t="str">
        <f t="shared" ref="T42:T43" si="11">+IF(K42&lt;&gt;"",K42,"")</f>
        <v/>
      </c>
      <c r="U42">
        <f t="shared" ref="U42:U43" si="12">+RANK(H42,$H$6:$H$1048576,1)</f>
        <v>9</v>
      </c>
      <c r="Y42" t="str">
        <f>TRIM(Tabla2[[#This Row],[CONDUCTOR]])</f>
        <v>AGUDELO GARCIA DENIN ANGELO</v>
      </c>
    </row>
    <row r="43" spans="2:25" x14ac:dyDescent="0.2">
      <c r="B43" s="136" t="s">
        <v>122</v>
      </c>
      <c r="C43" s="166">
        <v>44</v>
      </c>
      <c r="D43" s="151" t="s">
        <v>178</v>
      </c>
      <c r="E43" s="150">
        <v>10</v>
      </c>
      <c r="F43" s="150">
        <v>0</v>
      </c>
      <c r="G43" s="165">
        <v>159</v>
      </c>
      <c r="H43" s="226">
        <f>+G43/E43</f>
        <v>15.9</v>
      </c>
      <c r="I43" s="227">
        <f>+(SUM($G$7:$G$1048576)/SUM($E$7:$E$1048576))*E43</f>
        <v>179.22038980509745</v>
      </c>
      <c r="J43" s="363">
        <f>+Tabla2[[#This Row],[PROM DE USUARIOS]]-Tabla2[[#This Row],[USUARIOS]]</f>
        <v>20.220389805097454</v>
      </c>
      <c r="K43" s="151"/>
      <c r="L43" s="163">
        <f>P43*585</f>
        <v>98993.928035982011</v>
      </c>
      <c r="M43" s="367">
        <f>+VLOOKUP(C43,Lista!B:D,3,0)</f>
        <v>0</v>
      </c>
      <c r="N43" s="164">
        <f>+(SUMIFS(G:G,M:M,"MICRO",E:E,"&gt;0")*100)/COUNTIF($E$7:$E$43,"&gt;0")</f>
        <v>9497.2972972972966</v>
      </c>
      <c r="O43" s="50">
        <f t="shared" si="6"/>
        <v>10</v>
      </c>
      <c r="P43" s="47">
        <f t="shared" si="7"/>
        <v>169.22038980509745</v>
      </c>
      <c r="Q43" s="49">
        <f t="shared" si="8"/>
        <v>149</v>
      </c>
      <c r="R43" s="51">
        <f t="shared" si="9"/>
        <v>169.22038980509745</v>
      </c>
      <c r="S43" s="46">
        <f t="shared" si="10"/>
        <v>93071.214392803595</v>
      </c>
      <c r="T43" t="str">
        <f t="shared" si="11"/>
        <v/>
      </c>
      <c r="U43">
        <f t="shared" si="12"/>
        <v>6</v>
      </c>
      <c r="Y43" t="str">
        <f>TRIM(Tabla2[[#This Row],[CONDUCTOR]])</f>
        <v>MARIN ALZATE KEVIN ANDRES</v>
      </c>
    </row>
    <row r="44" spans="2:25" x14ac:dyDescent="0.2">
      <c r="B44" s="232"/>
      <c r="C44" s="239">
        <f>SUBTOTAL(102,Tabla2[VEH])</f>
        <v>37</v>
      </c>
      <c r="D44" s="233" t="s">
        <v>127</v>
      </c>
      <c r="E44" s="234">
        <f>SUBTOTAL(109,Tabla2[VIAJES])</f>
        <v>333.5</v>
      </c>
      <c r="F44" s="234">
        <f>SUBTOTAL(109,Tabla2[VIAJES PERD.])</f>
        <v>2</v>
      </c>
      <c r="G44" s="240">
        <f>SUBTOTAL(109,Tabla2[USUARIOS])</f>
        <v>5977</v>
      </c>
      <c r="H44" s="375">
        <f>+Tabla2[[#Totals],[USUARIOS]]/Tabla2[[#Totals],[VIAJES]]</f>
        <v>17.922038980509747</v>
      </c>
      <c r="I44" s="240">
        <f>SUBTOTAL(109,Tabla2[PROM DE USUARIOS])</f>
        <v>5977.0000000000018</v>
      </c>
      <c r="J44" s="374">
        <f>SUBTOTAL(109,Tabla2[RECIBE / ENTREGA])</f>
        <v>4.8316906031686813E-13</v>
      </c>
      <c r="K44" s="235" t="s">
        <v>196</v>
      </c>
      <c r="L44" s="236"/>
      <c r="M44" s="237"/>
      <c r="N44" s="238">
        <f>SUBTOTAL(109,Tabla2[DIFER. MICRO - BUS ])</f>
        <v>351399.99999999994</v>
      </c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3:S44" si="13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4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5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19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19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19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19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19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19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20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20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20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20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5"/>
      <c r="C69" s="255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20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03"/>
      <c r="M89" s="253"/>
      <c r="N89" s="258"/>
    </row>
    <row r="90" spans="2:14" x14ac:dyDescent="0.2">
      <c r="B90" s="245"/>
      <c r="C90" s="255"/>
      <c r="D90" s="247"/>
      <c r="E90" s="248"/>
      <c r="F90" s="248"/>
      <c r="G90" s="199"/>
      <c r="H90" s="257"/>
      <c r="I90" s="222"/>
      <c r="J90" s="343"/>
      <c r="K90" s="247"/>
      <c r="L90" s="203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254"/>
      <c r="H95" s="259"/>
      <c r="I95" s="260"/>
      <c r="J95" s="344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6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55"/>
      <c r="D114" s="247"/>
      <c r="E114" s="248"/>
      <c r="F114" s="248"/>
      <c r="G114" s="199"/>
      <c r="H114" s="257"/>
      <c r="I114" s="222"/>
      <c r="J114" s="343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03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6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5"/>
      <c r="E120" s="248"/>
      <c r="F120" s="248"/>
      <c r="G120" s="261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7"/>
      <c r="I125" s="222"/>
      <c r="J125" s="343"/>
      <c r="K125" s="262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03"/>
      <c r="M134" s="253"/>
      <c r="N134" s="258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58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5"/>
      <c r="E140" s="248"/>
      <c r="F140" s="248"/>
      <c r="G140" s="201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51"/>
      <c r="J154" s="341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5"/>
      <c r="E159" s="248"/>
      <c r="F159" s="248"/>
      <c r="G159" s="201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58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50"/>
      <c r="I192" s="221"/>
      <c r="J192" s="342"/>
      <c r="K192" s="247"/>
      <c r="L192" s="252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199"/>
      <c r="H209" s="244"/>
      <c r="I209" s="222"/>
      <c r="J209" s="343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5"/>
      <c r="E216" s="248"/>
      <c r="F216" s="248"/>
      <c r="G216" s="261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55"/>
      <c r="D225" s="247"/>
      <c r="E225" s="248"/>
      <c r="F225" s="248"/>
      <c r="G225" s="261"/>
      <c r="H225" s="263"/>
      <c r="I225" s="260"/>
      <c r="J225" s="344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5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44"/>
      <c r="I235" s="222"/>
      <c r="J235" s="343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03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261"/>
      <c r="H259" s="200"/>
      <c r="I259" s="221"/>
      <c r="J259" s="342"/>
      <c r="K259" s="245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0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6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7"/>
      <c r="E276" s="248"/>
      <c r="F276" s="248"/>
      <c r="G276" s="199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5"/>
      <c r="E279" s="248"/>
      <c r="F279" s="248"/>
      <c r="G279" s="20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5"/>
      <c r="E300" s="248"/>
      <c r="F300" s="248"/>
      <c r="G300" s="261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4"/>
      <c r="L426" s="252"/>
      <c r="M426" s="253"/>
      <c r="N426" s="265"/>
    </row>
    <row r="427" spans="2:14" x14ac:dyDescent="0.2">
      <c r="B427" s="245"/>
      <c r="C427" s="246"/>
      <c r="D427" s="245"/>
      <c r="E427" s="248"/>
      <c r="F427" s="248"/>
      <c r="G427" s="261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55"/>
      <c r="D441" s="247"/>
      <c r="E441" s="248"/>
      <c r="F441" s="248"/>
      <c r="G441" s="199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68"/>
      <c r="F448" s="268"/>
      <c r="G448" s="269"/>
      <c r="H448" s="270"/>
      <c r="I448" s="271"/>
      <c r="J448" s="346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261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5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4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55"/>
      <c r="D464" s="247"/>
      <c r="E464" s="248"/>
      <c r="F464" s="248"/>
      <c r="G464" s="199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5"/>
      <c r="E487" s="248"/>
      <c r="F487" s="248"/>
      <c r="G487" s="261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55"/>
      <c r="D500" s="247"/>
      <c r="E500" s="248"/>
      <c r="F500" s="248"/>
      <c r="G500" s="199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4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7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72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55"/>
      <c r="D540" s="247"/>
      <c r="E540" s="248"/>
      <c r="F540" s="248"/>
      <c r="G540" s="199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5"/>
      <c r="E543" s="248"/>
      <c r="F543" s="248"/>
      <c r="G543" s="261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7"/>
      <c r="E546" s="248"/>
      <c r="F546" s="248"/>
      <c r="G546" s="199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5"/>
      <c r="E555" s="248"/>
      <c r="F555" s="248"/>
      <c r="G555" s="261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5"/>
      <c r="E563" s="248"/>
      <c r="F563" s="248"/>
      <c r="G563" s="201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5"/>
      <c r="E569" s="248"/>
      <c r="F569" s="248"/>
      <c r="G569" s="201"/>
      <c r="H569" s="202"/>
      <c r="I569" s="223"/>
      <c r="J569" s="345"/>
      <c r="K569" s="264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7"/>
      <c r="E571" s="248"/>
      <c r="F571" s="248"/>
      <c r="G571" s="199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5"/>
      <c r="E591" s="248"/>
      <c r="F591" s="248"/>
      <c r="G591" s="261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5"/>
      <c r="E601" s="248"/>
      <c r="F601" s="248"/>
      <c r="G601" s="201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4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5"/>
      <c r="E613" s="248"/>
      <c r="F613" s="248"/>
      <c r="G613" s="261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5"/>
      <c r="E620" s="248"/>
      <c r="F620" s="248"/>
      <c r="G620" s="201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55"/>
      <c r="D631" s="247"/>
      <c r="E631" s="248"/>
      <c r="F631" s="248"/>
      <c r="G631" s="199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4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55"/>
      <c r="D670" s="247"/>
      <c r="E670" s="248"/>
      <c r="F670" s="248"/>
      <c r="G670" s="199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5"/>
      <c r="E674" s="248"/>
      <c r="F674" s="248"/>
      <c r="G674" s="261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55"/>
      <c r="D679" s="247"/>
      <c r="E679" s="248"/>
      <c r="F679" s="248"/>
      <c r="G679" s="199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5"/>
      <c r="E682" s="248"/>
      <c r="F682" s="248"/>
      <c r="G682" s="26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55"/>
      <c r="D698" s="245"/>
      <c r="E698" s="248"/>
      <c r="F698" s="248"/>
      <c r="G698" s="201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4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73"/>
    </row>
    <row r="738" spans="2:14" x14ac:dyDescent="0.2">
      <c r="B738" s="245"/>
      <c r="C738" s="255"/>
      <c r="D738" s="245"/>
      <c r="E738" s="248"/>
      <c r="F738" s="248"/>
      <c r="G738" s="201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4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5"/>
      <c r="E757" s="248"/>
      <c r="F757" s="248"/>
      <c r="G757" s="261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0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4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5"/>
      <c r="E799" s="248"/>
      <c r="F799" s="248"/>
      <c r="G799" s="261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4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55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55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55"/>
      <c r="D823" s="247"/>
      <c r="E823" s="248"/>
      <c r="F823" s="248"/>
      <c r="G823" s="199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5"/>
      <c r="E834" s="248"/>
      <c r="F834" s="248"/>
      <c r="G834" s="261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4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5"/>
      <c r="E843" s="248"/>
      <c r="F843" s="248"/>
      <c r="G843" s="261"/>
      <c r="H843" s="202"/>
      <c r="I843" s="223"/>
      <c r="J843" s="345"/>
      <c r="K843" s="264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55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199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74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5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7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199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199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0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4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01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5"/>
      <c r="E1058" s="248"/>
      <c r="F1058" s="248"/>
      <c r="G1058" s="261"/>
      <c r="H1058" s="202"/>
      <c r="I1058" s="223"/>
      <c r="J1058" s="345"/>
      <c r="K1058" s="264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03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199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5"/>
      <c r="E1086" s="275"/>
      <c r="F1086" s="275"/>
      <c r="G1086" s="205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5"/>
      <c r="E1094" s="248"/>
      <c r="F1094" s="248"/>
      <c r="G1094" s="205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199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03"/>
      <c r="M1115" s="253"/>
      <c r="N1115" s="203"/>
    </row>
    <row r="1116" spans="2:14" x14ac:dyDescent="0.2">
      <c r="B1116" s="245"/>
      <c r="C1116" s="255"/>
      <c r="D1116" s="245"/>
      <c r="E1116" s="248"/>
      <c r="F1116" s="248"/>
      <c r="G1116" s="205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6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76"/>
      <c r="D1136" s="276"/>
      <c r="E1136" s="248"/>
      <c r="F1136" s="277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5"/>
      <c r="E1138" s="248"/>
      <c r="F1138" s="248"/>
      <c r="G1138" s="20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4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74"/>
      <c r="L1144" s="252"/>
      <c r="M1144" s="253"/>
      <c r="N1144" s="203"/>
    </row>
    <row r="1145" spans="2:14" x14ac:dyDescent="0.2">
      <c r="B1145" s="245"/>
      <c r="C1145" s="255"/>
      <c r="D1145" s="245"/>
      <c r="E1145" s="248"/>
      <c r="F1145" s="248"/>
      <c r="G1145" s="261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61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5"/>
      <c r="E1160" s="275"/>
      <c r="F1160" s="275"/>
      <c r="G1160" s="205"/>
      <c r="H1160" s="202"/>
      <c r="I1160" s="223"/>
      <c r="J1160" s="345"/>
      <c r="K1160" s="274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74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5"/>
      <c r="E1187" s="248"/>
      <c r="F1187" s="248"/>
      <c r="G1187" s="261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4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5"/>
      <c r="E1207" s="248"/>
      <c r="F1207" s="248"/>
      <c r="G1207" s="205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01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5"/>
      <c r="E1213" s="248"/>
      <c r="F1213" s="248"/>
      <c r="G1213" s="206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75"/>
      <c r="F1215" s="275"/>
      <c r="G1215" s="205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03"/>
      <c r="M1229" s="253"/>
      <c r="N1229" s="204"/>
    </row>
    <row r="1230" spans="2:14" x14ac:dyDescent="0.2">
      <c r="B1230" s="245"/>
      <c r="C1230" s="280"/>
      <c r="D1230" s="281"/>
      <c r="E1230" s="275"/>
      <c r="F1230" s="275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199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76"/>
      <c r="D1240" s="276"/>
      <c r="E1240" s="277"/>
      <c r="F1240" s="277"/>
      <c r="G1240" s="209"/>
      <c r="H1240" s="207"/>
      <c r="I1240" s="221"/>
      <c r="J1240" s="342"/>
      <c r="K1240" s="282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5"/>
      <c r="E1244" s="248"/>
      <c r="F1244" s="248"/>
      <c r="G1244" s="261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46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05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61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10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78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2">
      <c r="B1263" s="37"/>
      <c r="C1263" s="286"/>
      <c r="D1263" s="37"/>
      <c r="E1263" s="60"/>
      <c r="F1263" s="60"/>
      <c r="G1263" s="213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1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66"/>
      <c r="D1267" s="287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8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1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283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9"/>
      <c r="D1301" s="290"/>
      <c r="E1301" s="291"/>
      <c r="F1301" s="291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2">
      <c r="B1305" s="30"/>
      <c r="C1305" s="78"/>
      <c r="D1305" s="109"/>
      <c r="E1305" s="68"/>
      <c r="F1305" s="68"/>
      <c r="G1305" s="288"/>
      <c r="H1305" s="211"/>
      <c r="I1305" s="224"/>
      <c r="J1305" s="347"/>
      <c r="K1305" s="80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16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1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1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1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3"/>
      <c r="H1350" s="215"/>
      <c r="I1350" s="293"/>
      <c r="J1350" s="348"/>
      <c r="K1350" s="69"/>
      <c r="L1350" s="285"/>
      <c r="M1350" s="116"/>
      <c r="N1350" s="212"/>
    </row>
    <row r="1351" spans="2:14" x14ac:dyDescent="0.2">
      <c r="B1351" s="292"/>
      <c r="C1351" s="78"/>
      <c r="D1351" s="109"/>
      <c r="E1351" s="68"/>
      <c r="F1351" s="68"/>
      <c r="G1351" s="288"/>
      <c r="H1351" s="211"/>
      <c r="I1351" s="224"/>
      <c r="J1351" s="347"/>
      <c r="K1351" s="80"/>
      <c r="L1351" s="216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289"/>
      <c r="D1353" s="290"/>
      <c r="E1353" s="294"/>
      <c r="F1353" s="295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297"/>
      <c r="F1356" s="298"/>
      <c r="G1356" s="299"/>
      <c r="H1356" s="300"/>
      <c r="I1356" s="301"/>
      <c r="J1356" s="349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16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289"/>
      <c r="D1362" s="290"/>
      <c r="E1362" s="291"/>
      <c r="F1362" s="284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6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1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8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68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2">
      <c r="B1385" s="65"/>
      <c r="C1385" s="78"/>
      <c r="D1385" s="109"/>
      <c r="E1385" s="68"/>
      <c r="F1385" s="77"/>
      <c r="G1385" s="302"/>
      <c r="H1385" s="211"/>
      <c r="I1385" s="224"/>
      <c r="J1385" s="347"/>
      <c r="K1385" s="80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78"/>
      <c r="D1398" s="109"/>
      <c r="E1398" s="68"/>
      <c r="F1398" s="68"/>
      <c r="G1398" s="214"/>
      <c r="H1398" s="215"/>
      <c r="I1398" s="293"/>
      <c r="J1398" s="348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289"/>
      <c r="D1409" s="290"/>
      <c r="E1409" s="291"/>
      <c r="F1409" s="304"/>
      <c r="G1409" s="28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37"/>
      <c r="E1430" s="60"/>
      <c r="F1430" s="26"/>
      <c r="G1430" s="2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305"/>
      <c r="H1432" s="215"/>
      <c r="I1432" s="293"/>
      <c r="J1432" s="348"/>
      <c r="K1432" s="69"/>
      <c r="L1432" s="216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302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23"/>
      <c r="D1440" s="37"/>
      <c r="E1440" s="60"/>
      <c r="F1440" s="26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3"/>
      <c r="D1443" s="290"/>
      <c r="E1443" s="291"/>
      <c r="F1443" s="304"/>
      <c r="G1443" s="28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80"/>
      <c r="L1446" s="285"/>
      <c r="M1446" s="116"/>
      <c r="N1446" s="212"/>
    </row>
    <row r="1447" spans="2:14" ht="15" x14ac:dyDescent="0.25">
      <c r="B1447" s="91"/>
      <c r="C1447" s="23"/>
      <c r="D1447" s="37"/>
      <c r="E1447" s="60"/>
      <c r="F1447" s="26"/>
      <c r="G1447" s="10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27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78"/>
      <c r="D1450" s="109"/>
      <c r="E1450" s="68"/>
      <c r="F1450" s="77"/>
      <c r="G1450" s="21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290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286"/>
      <c r="D1458" s="286"/>
      <c r="E1458" s="306"/>
      <c r="F1458" s="307"/>
      <c r="G1458" s="307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78"/>
      <c r="D1459" s="109"/>
      <c r="E1459" s="68"/>
      <c r="F1459" s="77"/>
      <c r="G1459" s="214"/>
      <c r="H1459" s="215"/>
      <c r="I1459" s="293"/>
      <c r="J1459" s="348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08"/>
      <c r="H1468" s="215"/>
      <c r="I1468" s="293"/>
      <c r="J1468" s="348"/>
      <c r="K1468" s="69"/>
      <c r="L1468" s="21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10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296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6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78"/>
      <c r="D1490" s="109"/>
      <c r="E1490" s="68"/>
      <c r="F1490" s="77"/>
      <c r="G1490" s="311"/>
      <c r="H1490" s="312"/>
      <c r="I1490" s="313"/>
      <c r="J1490" s="352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4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7"/>
    </row>
    <row r="1499" spans="2:14" ht="15.75" x14ac:dyDescent="0.25">
      <c r="B1499" s="31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316"/>
      <c r="D1502" s="65"/>
      <c r="E1502" s="68"/>
      <c r="F1502" s="117"/>
      <c r="G1502" s="117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313"/>
      <c r="J1509" s="352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21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107"/>
      <c r="J1515" s="351"/>
      <c r="K1515" s="69"/>
      <c r="L1515" s="285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80"/>
      <c r="L1524" s="126"/>
      <c r="M1524" s="117"/>
      <c r="N1524" s="217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51"/>
      <c r="K1525" s="80"/>
      <c r="L1525" s="126"/>
      <c r="M1525" s="116"/>
      <c r="N1525" s="217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316"/>
      <c r="D1527" s="65"/>
      <c r="E1527" s="68"/>
      <c r="F1527" s="117"/>
      <c r="G1527" s="117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313"/>
      <c r="J1534" s="352"/>
      <c r="K1534" s="69"/>
      <c r="L1534" s="216"/>
      <c r="M1534" s="116"/>
      <c r="N1534" s="212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78"/>
      <c r="D1539" s="109"/>
      <c r="E1539" s="68"/>
      <c r="F1539" s="77"/>
      <c r="G1539" s="311"/>
      <c r="H1539" s="312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123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312"/>
      <c r="I1558" s="313"/>
      <c r="J1558" s="352"/>
      <c r="K1558" s="69"/>
      <c r="L1558" s="216"/>
      <c r="M1558" s="116"/>
      <c r="N1558" s="212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53"/>
      <c r="K1559" s="80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3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3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79"/>
      <c r="L1572" s="126"/>
      <c r="M1572" s="115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216"/>
      <c r="M1587" s="116"/>
      <c r="N1587" s="212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318"/>
      <c r="M1595" s="116"/>
      <c r="N1595" s="3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18"/>
      <c r="M1598" s="116"/>
      <c r="N1598" s="318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311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318"/>
      <c r="M1619" s="116"/>
      <c r="N1619" s="318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51"/>
      <c r="K1620" s="69"/>
      <c r="L1620" s="1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9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78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311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3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123"/>
      <c r="I1651" s="107"/>
      <c r="J1651" s="351"/>
      <c r="K1651" s="69"/>
      <c r="L1651" s="1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20"/>
      <c r="M1657" s="116"/>
      <c r="N1657" s="2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79"/>
      <c r="L1668" s="120"/>
      <c r="M1668" s="115"/>
      <c r="N1668" s="2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114"/>
      <c r="L1671" s="118"/>
      <c r="M1671" s="117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51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78"/>
      <c r="D1698" s="100"/>
      <c r="E1698" s="101"/>
      <c r="F1698" s="77"/>
      <c r="G1698" s="311"/>
      <c r="H1698" s="321"/>
      <c r="I1698" s="313"/>
      <c r="J1698" s="352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51"/>
      <c r="K1702" s="69"/>
      <c r="L1702" s="322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78"/>
      <c r="D1716" s="100"/>
      <c r="E1716" s="101"/>
      <c r="F1716" s="77"/>
      <c r="G1716" s="311"/>
      <c r="H1716" s="321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70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68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322"/>
      <c r="M1721" s="82"/>
      <c r="N1721" s="323"/>
    </row>
    <row r="1722" spans="2:14" ht="15" x14ac:dyDescent="0.25">
      <c r="B1722" s="65"/>
      <c r="C1722" s="78"/>
      <c r="D1722" s="100"/>
      <c r="E1722" s="101"/>
      <c r="F1722" s="77"/>
      <c r="G1722" s="311"/>
      <c r="H1722" s="321"/>
      <c r="I1722" s="313"/>
      <c r="J1722" s="352"/>
      <c r="K1722" s="69"/>
      <c r="L1722" s="322"/>
      <c r="M1722" s="82"/>
      <c r="N1722" s="323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ht="15" x14ac:dyDescent="0.25">
      <c r="B1729" s="65"/>
      <c r="C1729" s="78"/>
      <c r="D1729" s="100"/>
      <c r="E1729" s="101"/>
      <c r="F1729" s="77"/>
      <c r="G1729" s="311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100"/>
      <c r="E1730" s="102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56"/>
      <c r="K1735" s="80"/>
      <c r="L1735" s="84"/>
      <c r="M1735" s="82"/>
      <c r="N1735" s="327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7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57"/>
      <c r="K1737" s="80"/>
      <c r="L1737" s="84"/>
      <c r="M1737" s="82"/>
      <c r="N1737" s="327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57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ht="15" x14ac:dyDescent="0.25">
      <c r="B1743" s="91"/>
      <c r="C1743" s="78"/>
      <c r="D1743" s="90"/>
      <c r="E1743" s="67"/>
      <c r="F1743" s="77"/>
      <c r="G1743" s="328"/>
      <c r="H1743" s="321"/>
      <c r="I1743" s="326"/>
      <c r="J1743" s="355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322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3"/>
    </row>
    <row r="1750" spans="2:14" ht="15" x14ac:dyDescent="0.25">
      <c r="B1750" s="65"/>
      <c r="C1750" s="78"/>
      <c r="D1750" s="90"/>
      <c r="E1750" s="67"/>
      <c r="F1750" s="77"/>
      <c r="G1750" s="328"/>
      <c r="H1750" s="321"/>
      <c r="I1750" s="326"/>
      <c r="J1750" s="355"/>
      <c r="K1750" s="69"/>
      <c r="L1750" s="322"/>
      <c r="M1750" s="82"/>
      <c r="N1750" s="323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0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0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2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60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0"/>
      <c r="M1770" s="34"/>
      <c r="N1770" s="35"/>
    </row>
    <row r="1771" spans="2:14" x14ac:dyDescent="0.2">
      <c r="B1771" s="37"/>
      <c r="C1771" s="23"/>
      <c r="D1771" s="24"/>
      <c r="E1771" s="25"/>
      <c r="F1771" s="60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3"/>
      <c r="D1774" s="24"/>
      <c r="E1774" s="25"/>
      <c r="F1774" s="26"/>
      <c r="G1774" s="325"/>
      <c r="H1774" s="332"/>
      <c r="I1774" s="333"/>
      <c r="J1774" s="359"/>
      <c r="K1774" s="27"/>
      <c r="L1774" s="330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26"/>
      <c r="H1786" s="329"/>
      <c r="I1786" s="41"/>
      <c r="J1786" s="358"/>
      <c r="K1786" s="36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325"/>
      <c r="H1787" s="332"/>
      <c r="I1787" s="333"/>
      <c r="J1787" s="359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2">
      <c r="B1789" s="37"/>
      <c r="C1789" s="52"/>
      <c r="D1789" s="24"/>
      <c r="E1789" s="25"/>
      <c r="F1789" s="26"/>
      <c r="G1789" s="26"/>
      <c r="H1789" s="329"/>
      <c r="I1789" s="42"/>
      <c r="J1789" s="360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60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x14ac:dyDescent="0.2">
      <c r="B1795" s="37"/>
      <c r="C1795" s="23"/>
      <c r="D1795" s="24"/>
      <c r="E1795" s="25"/>
      <c r="F1795" s="26"/>
      <c r="G1795" s="325"/>
      <c r="H1795" s="332"/>
      <c r="I1795" s="334"/>
      <c r="J1795" s="361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36"/>
      <c r="L1796" s="33"/>
      <c r="M1796" s="34"/>
      <c r="N1796" s="35"/>
    </row>
    <row r="1797" spans="2:14" x14ac:dyDescent="0.2">
      <c r="B1797" s="37"/>
      <c r="C1797" s="53"/>
      <c r="D1797" s="24"/>
      <c r="E1797" s="25"/>
      <c r="F1797" s="26"/>
      <c r="G1797" s="26"/>
      <c r="H1797" s="329"/>
      <c r="I1797" s="334"/>
      <c r="J1797" s="361"/>
      <c r="K1797" s="36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26"/>
      <c r="H1800" s="329"/>
      <c r="I1800" s="333"/>
      <c r="J1800" s="359"/>
      <c r="K1800" s="36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3"/>
      <c r="D1816" s="24"/>
      <c r="E1816" s="25"/>
      <c r="F1816" s="26"/>
      <c r="G1816" s="325"/>
      <c r="H1816" s="332"/>
      <c r="I1816" s="333"/>
      <c r="J1816" s="359"/>
      <c r="K1816" s="36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36"/>
      <c r="L1818" s="33"/>
      <c r="M1818" s="34"/>
      <c r="N1818" s="35"/>
    </row>
    <row r="1819" spans="2:14" ht="15" x14ac:dyDescent="0.25">
      <c r="B1819" s="37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ht="15" x14ac:dyDescent="0.25">
      <c r="B1822" s="37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52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325"/>
      <c r="H1828" s="332"/>
      <c r="I1828" s="334"/>
      <c r="J1828" s="361"/>
      <c r="K1828" s="27"/>
      <c r="L1828" s="33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2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36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"/>
      <c r="M1840" s="34"/>
      <c r="N1840" s="35"/>
    </row>
    <row r="1841" spans="2:14" x14ac:dyDescent="0.2">
      <c r="B1841" s="30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334"/>
      <c r="J1848" s="361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x14ac:dyDescent="0.2">
      <c r="B1852" s="30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x14ac:dyDescent="0.2">
      <c r="B1861" s="30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26"/>
      <c r="H1864" s="329"/>
      <c r="I1864" s="41"/>
      <c r="J1864" s="358"/>
      <c r="K1864" s="36"/>
      <c r="L1864" s="33"/>
      <c r="M1864" s="34"/>
      <c r="N1864" s="35"/>
    </row>
  </sheetData>
  <sortState xmlns:xlrd2="http://schemas.microsoft.com/office/spreadsheetml/2017/richdata2" ref="B7:I1048573">
    <sortCondition ref="C7:C43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5:E1174 E7:E43">
    <cfRule type="cellIs" dxfId="30" priority="170" operator="greaterThan">
      <formula>7</formula>
    </cfRule>
  </conditionalFormatting>
  <conditionalFormatting sqref="E1484:E4762">
    <cfRule type="cellIs" dxfId="29" priority="137" operator="greaterThan">
      <formula>7</formula>
    </cfRule>
  </conditionalFormatting>
  <conditionalFormatting sqref="I45:I1246 G45:G47 I7:I43">
    <cfRule type="cellIs" dxfId="28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27" priority="297748" operator="greaterThan">
      <formula>$H$44</formula>
    </cfRule>
  </conditionalFormatting>
  <conditionalFormatting sqref="L7:L1246">
    <cfRule type="top10" dxfId="26" priority="29777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2026-01-09T07:03:17Z</cp:lastPrinted>
  <dcterms:created xsi:type="dcterms:W3CDTF">2021-05-05T13:25:05Z</dcterms:created>
  <dcterms:modified xsi:type="dcterms:W3CDTF">2026-01-09T07:03:57Z</dcterms:modified>
</cp:coreProperties>
</file>