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CFC6C31D-7529-4279-A995-CFEA60E6EFD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/>
  <c r="G26" i="1"/>
  <c r="F26" i="1"/>
  <c r="E26" i="1"/>
  <c r="G11" i="6"/>
  <c r="P3" i="6" s="1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O7" i="1"/>
  <c r="Q7" i="1" s="1"/>
  <c r="O8" i="1"/>
  <c r="O9" i="1"/>
  <c r="O10" i="1"/>
  <c r="O11" i="1"/>
  <c r="Q11" i="1" s="1"/>
  <c r="O12" i="1"/>
  <c r="Q12" i="1" s="1"/>
  <c r="O13" i="1"/>
  <c r="O14" i="1"/>
  <c r="O15" i="1"/>
  <c r="O16" i="1"/>
  <c r="Q16" i="1" s="1"/>
  <c r="O17" i="1"/>
  <c r="Q17" i="1" s="1"/>
  <c r="O18" i="1"/>
  <c r="O19" i="1"/>
  <c r="O20" i="1"/>
  <c r="Q20" i="1" s="1"/>
  <c r="O21" i="1"/>
  <c r="O22" i="1"/>
  <c r="Q22" i="1" s="1"/>
  <c r="O23" i="1"/>
  <c r="Q23" i="1" s="1"/>
  <c r="O24" i="1"/>
  <c r="Q24" i="1" s="1"/>
  <c r="O25" i="1"/>
  <c r="Q25" i="1" s="1"/>
  <c r="M7" i="1"/>
  <c r="M8" i="1"/>
  <c r="M9" i="1"/>
  <c r="M10" i="1"/>
  <c r="M11" i="1"/>
  <c r="M12" i="1"/>
  <c r="M13" i="1"/>
  <c r="M14" i="1"/>
  <c r="M25" i="1"/>
  <c r="M15" i="1"/>
  <c r="M16" i="1"/>
  <c r="M17" i="1"/>
  <c r="M18" i="1"/>
  <c r="M19" i="1"/>
  <c r="M20" i="1"/>
  <c r="M21" i="1"/>
  <c r="M22" i="1"/>
  <c r="M23" i="1"/>
  <c r="M24" i="1"/>
  <c r="H7" i="1"/>
  <c r="H8" i="1"/>
  <c r="H10" i="1"/>
  <c r="H11" i="1"/>
  <c r="H24" i="1"/>
  <c r="H21" i="1"/>
  <c r="H23" i="1"/>
  <c r="H12" i="1"/>
  <c r="H9" i="1"/>
  <c r="H15" i="1"/>
  <c r="H13" i="1"/>
  <c r="H14" i="1"/>
  <c r="H25" i="1"/>
  <c r="H16" i="1"/>
  <c r="H17" i="1"/>
  <c r="H18" i="1"/>
  <c r="H19" i="1"/>
  <c r="H20" i="1"/>
  <c r="H22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AP6" i="3"/>
  <c r="E13" i="3"/>
  <c r="D13" i="3"/>
  <c r="E12" i="3"/>
  <c r="H11" i="3"/>
  <c r="D12" i="3"/>
  <c r="Q8" i="1" l="1"/>
  <c r="Q19" i="1"/>
  <c r="Q15" i="1"/>
  <c r="Q18" i="1"/>
  <c r="Q14" i="1"/>
  <c r="Q10" i="1"/>
  <c r="Q21" i="1"/>
  <c r="Q13" i="1"/>
  <c r="Q9" i="1"/>
  <c r="I8" i="1"/>
  <c r="P8" i="1" s="1"/>
  <c r="I15" i="1"/>
  <c r="I10" i="1"/>
  <c r="P10" i="1" s="1"/>
  <c r="L10" i="1" s="1"/>
  <c r="I20" i="1"/>
  <c r="J20" i="1" s="1"/>
  <c r="I23" i="1"/>
  <c r="J23" i="1" s="1"/>
  <c r="I11" i="1"/>
  <c r="I17" i="1"/>
  <c r="J17" i="1" s="1"/>
  <c r="I16" i="1"/>
  <c r="P16" i="1" s="1"/>
  <c r="I21" i="1"/>
  <c r="J21" i="1" s="1"/>
  <c r="I22" i="1"/>
  <c r="P22" i="1" s="1"/>
  <c r="I13" i="1"/>
  <c r="J13" i="1" s="1"/>
  <c r="I9" i="1"/>
  <c r="P9" i="1" s="1"/>
  <c r="L9" i="1" s="1"/>
  <c r="I7" i="1"/>
  <c r="P7" i="1" s="1"/>
  <c r="L7" i="1" s="1"/>
  <c r="I19" i="1"/>
  <c r="J22" i="1" s="1"/>
  <c r="I25" i="1"/>
  <c r="P25" i="1" s="1"/>
  <c r="I24" i="1"/>
  <c r="P24" i="1" s="1"/>
  <c r="L24" i="1" s="1"/>
  <c r="I18" i="1"/>
  <c r="J18" i="1" s="1"/>
  <c r="I14" i="1"/>
  <c r="P14" i="1" s="1"/>
  <c r="L14" i="1" s="1"/>
  <c r="I12" i="1"/>
  <c r="P12" i="1" s="1"/>
  <c r="L12" i="1" s="1"/>
  <c r="N8" i="1"/>
  <c r="N16" i="1"/>
  <c r="N22" i="1"/>
  <c r="N18" i="1"/>
  <c r="N25" i="1"/>
  <c r="N11" i="1"/>
  <c r="N7" i="1"/>
  <c r="N21" i="1"/>
  <c r="N17" i="1"/>
  <c r="N14" i="1"/>
  <c r="N10" i="1"/>
  <c r="N24" i="1"/>
  <c r="N20" i="1"/>
  <c r="N13" i="1"/>
  <c r="N9" i="1"/>
  <c r="N23" i="1"/>
  <c r="N19" i="1"/>
  <c r="N15" i="1"/>
  <c r="N12" i="1"/>
  <c r="H26" i="1"/>
  <c r="U8" i="1" s="1"/>
  <c r="P19" i="1"/>
  <c r="P15" i="1"/>
  <c r="L15" i="1" s="1"/>
  <c r="J15" i="1"/>
  <c r="J8" i="1"/>
  <c r="U29" i="1"/>
  <c r="U45" i="1"/>
  <c r="U38" i="1"/>
  <c r="U31" i="1"/>
  <c r="U28" i="1"/>
  <c r="U44" i="1"/>
  <c r="P45" i="1"/>
  <c r="P41" i="1"/>
  <c r="P37" i="1"/>
  <c r="P33" i="1"/>
  <c r="P29" i="1"/>
  <c r="P44" i="1"/>
  <c r="P40" i="1"/>
  <c r="P36" i="1"/>
  <c r="P32" i="1"/>
  <c r="P28" i="1"/>
  <c r="L8" i="1"/>
  <c r="P43" i="1"/>
  <c r="P39" i="1"/>
  <c r="P35" i="1"/>
  <c r="P31" i="1"/>
  <c r="P27" i="1"/>
  <c r="P46" i="1"/>
  <c r="P42" i="1"/>
  <c r="P38" i="1"/>
  <c r="P34" i="1"/>
  <c r="P30" i="1"/>
  <c r="P2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12" i="1" l="1"/>
  <c r="J24" i="1"/>
  <c r="U17" i="1"/>
  <c r="J9" i="1"/>
  <c r="P23" i="1"/>
  <c r="L23" i="1" s="1"/>
  <c r="P21" i="1"/>
  <c r="J16" i="1"/>
  <c r="J25" i="1"/>
  <c r="P13" i="1"/>
  <c r="L13" i="1" s="1"/>
  <c r="L21" i="1"/>
  <c r="J10" i="1"/>
  <c r="P17" i="1"/>
  <c r="L16" i="1" s="1"/>
  <c r="L22" i="1"/>
  <c r="P18" i="1"/>
  <c r="P11" i="1"/>
  <c r="L11" i="1" s="1"/>
  <c r="U11" i="1"/>
  <c r="J14" i="1"/>
  <c r="J11" i="1"/>
  <c r="J7" i="1"/>
  <c r="I26" i="1"/>
  <c r="L25" i="1"/>
  <c r="U14" i="1"/>
  <c r="P20" i="1"/>
  <c r="U20" i="1"/>
  <c r="J19" i="1"/>
  <c r="U27" i="1"/>
  <c r="U34" i="1"/>
  <c r="U23" i="1"/>
  <c r="U10" i="1"/>
  <c r="U36" i="1"/>
  <c r="U39" i="1"/>
  <c r="U46" i="1"/>
  <c r="U30" i="1"/>
  <c r="U37" i="1"/>
  <c r="U19" i="1"/>
  <c r="U22" i="1"/>
  <c r="U25" i="1"/>
  <c r="U9" i="1"/>
  <c r="U12" i="1"/>
  <c r="U40" i="1"/>
  <c r="U43" i="1"/>
  <c r="U41" i="1"/>
  <c r="U7" i="1"/>
  <c r="U13" i="1"/>
  <c r="U16" i="1"/>
  <c r="M11" i="6"/>
  <c r="U32" i="1"/>
  <c r="U35" i="1"/>
  <c r="U42" i="1"/>
  <c r="U26" i="1"/>
  <c r="U33" i="1"/>
  <c r="U15" i="1"/>
  <c r="U18" i="1"/>
  <c r="U21" i="1"/>
  <c r="U24" i="1"/>
  <c r="N2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17" i="1" l="1"/>
  <c r="L18" i="1"/>
  <c r="L19" i="1"/>
  <c r="L20" i="1"/>
  <c r="J26" i="1"/>
  <c r="R10" i="1"/>
  <c r="S10" i="1" s="1"/>
  <c r="R14" i="1"/>
  <c r="S14" i="1" s="1"/>
  <c r="R18" i="1"/>
  <c r="S18" i="1" s="1"/>
  <c r="R22" i="1"/>
  <c r="S22" i="1" s="1"/>
  <c r="R7" i="1"/>
  <c r="S7" i="1" s="1"/>
  <c r="R11" i="1"/>
  <c r="S11" i="1" s="1"/>
  <c r="R15" i="1"/>
  <c r="S15" i="1" s="1"/>
  <c r="R19" i="1"/>
  <c r="S19" i="1" s="1"/>
  <c r="R23" i="1"/>
  <c r="S23" i="1" s="1"/>
  <c r="R8" i="1"/>
  <c r="S8" i="1" s="1"/>
  <c r="R12" i="1"/>
  <c r="S12" i="1" s="1"/>
  <c r="R16" i="1"/>
  <c r="S16" i="1" s="1"/>
  <c r="R20" i="1"/>
  <c r="S20" i="1" s="1"/>
  <c r="R24" i="1"/>
  <c r="S24" i="1" s="1"/>
  <c r="R9" i="1"/>
  <c r="S9" i="1" s="1"/>
  <c r="R13" i="1"/>
  <c r="S13" i="1" s="1"/>
  <c r="R17" i="1"/>
  <c r="S17" i="1" s="1"/>
  <c r="R21" i="1"/>
  <c r="S21" i="1" s="1"/>
  <c r="R25" i="1"/>
  <c r="S25" i="1" s="1"/>
  <c r="R26" i="1"/>
  <c r="S26" i="1" s="1"/>
  <c r="R30" i="1"/>
  <c r="S30" i="1" s="1"/>
  <c r="R34" i="1"/>
  <c r="S34" i="1" s="1"/>
  <c r="R38" i="1"/>
  <c r="S38" i="1" s="1"/>
  <c r="R42" i="1"/>
  <c r="S42" i="1" s="1"/>
  <c r="R46" i="1"/>
  <c r="S46" i="1" s="1"/>
  <c r="R27" i="1"/>
  <c r="S27" i="1" s="1"/>
  <c r="R31" i="1"/>
  <c r="S31" i="1" s="1"/>
  <c r="R35" i="1"/>
  <c r="S35" i="1" s="1"/>
  <c r="R39" i="1"/>
  <c r="S39" i="1" s="1"/>
  <c r="R43" i="1"/>
  <c r="S43" i="1" s="1"/>
  <c r="R28" i="1"/>
  <c r="S28" i="1" s="1"/>
  <c r="R32" i="1"/>
  <c r="S32" i="1" s="1"/>
  <c r="R36" i="1"/>
  <c r="S36" i="1" s="1"/>
  <c r="R40" i="1"/>
  <c r="S40" i="1" s="1"/>
  <c r="R44" i="1"/>
  <c r="S44" i="1" s="1"/>
  <c r="R29" i="1"/>
  <c r="S29" i="1" s="1"/>
  <c r="R33" i="1"/>
  <c r="S33" i="1" s="1"/>
  <c r="R37" i="1"/>
  <c r="S37" i="1" s="1"/>
  <c r="R41" i="1"/>
  <c r="S41" i="1" s="1"/>
  <c r="R45" i="1"/>
  <c r="S4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<sst xmlns="http://schemas.openxmlformats.org/spreadsheetml/2006/main" count="260" uniqueCount="174">
  <si>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</si>
  <si>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</si>
  <si>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</si>
  <si>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</si>
  <si>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</si>
  <si>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</si>
  <si>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</si>
  <si>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</si>
  <si>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</si>
  <si>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</si>
  <si>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</si>
  <si>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</si>
  <si>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</si>
  <si>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</si>
  <si>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</si>
  <si>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</si>
  <si>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</si>
  <si>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</si>
  <si>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</si>
  <si>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</si>
  <si>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</si>
  <si>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</si>
  <si>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</si>
  <si>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</si>
  <si>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</si>
  <si>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</si>
  <si>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</si>
  <si>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</si>
  <si>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</si>
  <si>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</si>
  <si>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</si>
  <si>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</si>
  <si>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</si>
  <si>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</si>
  <si>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</si>
  <si>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</si>
  <si>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</si>
  <si>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</si>
  <si>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</si>
  <si>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</si>
  <si>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</si>
  <si>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</si>
  <si>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</si>
  <si>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</si>
  <si>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</si>
  <si>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</si>
  <si>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</si>
  <si>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</si>
  <si>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</si>
  <si>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</si>
  <si>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</si>
  <si>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</si>
  <si>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</si>
  <si>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</si>
  <si>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</si>
  <si>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</si>
  <si>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</si>
  <si>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</si>
  <si>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</si>
  <si>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</si>
  <si>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</si>
  <si>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</si>
  <si>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</si>
  <si>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</si>
  <si>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</si>
  <si>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</si>
  <si>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</si>
  <si>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</si>
  <si>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</si>
  <si>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</si>
  <si>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</si>
  <si>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</si>
  <si>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</si>
  <si>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</si>
  <si>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</si>
  <si>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</si>
  <si>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</si>
  <si>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</si>
  <si>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</si>
  <si>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</si>
  <si>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</si>
  <si>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</si>
  <si>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</si>
  <si>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</si>
  <si>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</si>
  <si>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</si>
  <si>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</si>
  <si>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</si>
  <si>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</si>
  <si>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</si>
  <si>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</si>
  <si>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</si>
  <si>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</si>
  <si>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</si>
  <si>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</si>
  <si>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</si>
  <si>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</si>
  <si>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</si>
  <si>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</si>
  <si>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</si>
  <si>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</si>
  <si>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</si>
  <si>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</si>
  <si>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</si>
  <si>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</si>
  <si>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</si>
  <si>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</si>
  <si>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</si>
  <si>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</si>
  <si>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</si>
  <si>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</si>
  <si>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</si>
  <si>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</si>
  <si>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</si>
  <si>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</si>
  <si>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</si>
  <si>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</si>
  <si>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</si>
  <si>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</si>
  <si>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</si>
  <si>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</si>
  <si>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</si>
  <si>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</si>
  <si>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</si>
  <si>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</si>
  <si>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</si>
  <si>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</si>
  <si>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</si>
  <si>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</si>
  <si>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</si>
  <si>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</si>
  <si>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</si>
  <si>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</si>
  <si>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</si>
  <si>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</si>
  <si>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</si>
  <si>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</si>
  <si>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</si>
  <si>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</si>
  <si>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</si>
  <si>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</si>
  <si>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</si>
  <si>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</si>
  <si>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</si>
  <si>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</si>
  <si>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</si>
  <si>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</si>
  <si>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</si>
  <si>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HINCAPIE VILLA JUAN ESTIVEN</t>
  </si>
  <si>
    <t>PARRA VILLA YUBER ALONSO</t>
  </si>
  <si>
    <t>PALMAR PANA EDIXON JOSUE</t>
  </si>
  <si>
    <t>MARULANDA JARAMILLO DAWER ANDRES</t>
  </si>
  <si>
    <t>VERENZUELA MARTINEZ ALEXANDER</t>
  </si>
  <si>
    <t>PARIAS MURIEL JHON FREDY</t>
  </si>
  <si>
    <t>MARIN ALZATE KEVIN ANDRES</t>
  </si>
  <si>
    <t>SANCHEZ BETANCOURT FRANSCISCO</t>
  </si>
  <si>
    <t>ALBERTO ARISTIZABAL RAFAEL</t>
  </si>
  <si>
    <t>TUBERQUIA URREGO HAROL</t>
  </si>
  <si>
    <t>CARTAGENA RAMIREZ FREDY ALONSO</t>
  </si>
  <si>
    <t>MACEA ARBELAEZ MATEO</t>
  </si>
  <si>
    <t>LOPEZ PINEDA DANIEL ESTIVEN</t>
  </si>
  <si>
    <t>ESPINOZA ECHAVARRIA EMANUEL</t>
  </si>
  <si>
    <t>JARAMILLO JARAMILLO FRANCISCO WBEIMAR</t>
  </si>
  <si>
    <t>YEPES TORRES JHON ALEXANDER</t>
  </si>
  <si>
    <t>GONZALEZ PEREZ RAFAEL JOSE</t>
  </si>
  <si>
    <t>ESPINOZA CHAVARRIA GUILLERMO LEON</t>
  </si>
  <si>
    <t>88XM</t>
  </si>
  <si>
    <t xml:space="preserve">3 Descuentos (Despachador y usuarios desubicados) </t>
  </si>
  <si>
    <t xml:space="preserve">2 Descuentos (Usuarios desubicados) </t>
  </si>
  <si>
    <t xml:space="preserve">3 Descuentos (Transbordo) </t>
  </si>
  <si>
    <t xml:space="preserve">1 Descuento (Usuario desubicado) </t>
  </si>
  <si>
    <t xml:space="preserve">1 Descuento (Despachador) </t>
  </si>
  <si>
    <t xml:space="preserve">15 Descuentos (Varado)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</si>
  <si>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15.3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</si>
</sst>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Import!$C$7:$C$26</c:f>
              <c:numCache>
                <c:formatCode>0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General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 formatCode="General">
                  <c:v>13</c:v>
                </c:pt>
                <c:pt idx="10">
                  <c:v>14</c:v>
                </c:pt>
                <c:pt idx="11">
                  <c:v>15</c:v>
                </c:pt>
                <c:pt idx="12" formatCode="General">
                  <c:v>16</c:v>
                </c:pt>
                <c:pt idx="13">
                  <c:v>18</c:v>
                </c:pt>
                <c:pt idx="14">
                  <c:v>19</c:v>
                </c:pt>
                <c:pt idx="15" formatCode="General">
                  <c:v>33</c:v>
                </c:pt>
                <c:pt idx="16">
                  <c:v>35</c:v>
                </c:pt>
                <c:pt idx="17" formatCode="General">
                  <c:v>39</c:v>
                </c:pt>
                <c:pt idx="18">
                  <c:v>44</c:v>
                </c:pt>
              </c:numCache>
            </c:numRef>
          </c:cat>
          <c:val>
            <c:numRef>
              <c:f>Import!$H$7:$H$26</c:f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26" totalsRowCount="1" headerRowDxfId="62" dataDxfId="61" totalsRowDxfId="60">
  <sortState xmlns:xlrd2="http://schemas.microsoft.com/office/spreadsheetml/2017/richdata2" ref="B7:N25">
    <sortCondition ref="C15:C25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15.3 USUARIOS" dataDxfId="16" totalsRowDxfId="3"/>
    <tableColumn id="9" xr3:uid="{00000000-0010-0000-0000-000009000000}" name="VALOR OPERACIÓN" dataDxfId="15" totalsRowDxfId="2"/>
    <tableColumn id="10" xr3:uid="{00000000-0010-0000-0000-00000A000000}" name="CLASIFIC." dataDxfId="14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+(SUMIFS(G:G,M:M,"MICRO",E:E,"&gt;0")*100)/COUNTIF($E$7:$E$25,"&gt;0")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6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6.12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+SUM(G6:G1837)/2</f>
        <v>1876</v>
      </c>
      <c r="R3" s="55">
        <f>+SUM(E6:E1837)/2</f>
        <v>122.5</v>
      </c>
      <c r="S3" s="55">
        <f>+Q3-R3</f>
        <v>1753.5</v>
      </c>
      <c r="T3" s="56">
        <f>+S3/R3</f>
        <v>14.314285714285715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46016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166</v>
      </c>
      <c r="C7" s="166">
        <v>1</v>
      </c>
      <c r="D7" s="151" t="s">
        <v>148</v>
      </c>
      <c r="E7" s="150">
        <v>6</v>
      </c>
      <c r="F7" s="150">
        <v>0</v>
      </c>
      <c r="G7" s="165">
        <v>106</v>
      </c>
      <c r="H7" s="226">
        <f>+G7/E7</f>
        <v>17.666666666666668</v>
      </c>
      <c r="I7" s="227">
        <f>+(SUM($G$7:$G$1048576)/SUM($E$7:$E$1048576))*E7</f>
        <v>91.885714285714286</v>
      </c>
      <c r="J7" s="363">
        <f>+Tabla2[[#This Row],[PROM DE USUARIOS]]-Tabla2[[#This Row],[USUARIOS]]</f>
        <v>-14.114285714285714</v>
      </c>
      <c r="K7" s="151" t="s">
        <v>167</v>
      </c>
      <c r="L7" s="163">
        <f>P7*585</f>
        <v>50243.142857142855</v>
      </c>
      <c r="M7" s="162" t="str">
        <f>+VLOOKUP(C7,Lista!B:D,3,0)</f>
        <v>MICRO</v>
      </c>
      <c r="N7" s="365">
        <f>+(SUMIFS(G:G,M:M,"MICRO",E:E,"&gt;0")*100)/COUNTIF($E$7:$E$25,"&gt;0")</f>
        <v>6194.7368421052633</v>
      </c>
      <c r="O7" s="50">
        <f t="shared" ref="O7:O25" si="0">+(E7*1)-V7</f>
        <v>6</v>
      </c>
      <c r="P7" s="47">
        <f t="shared" ref="P7:P25" si="1">+I7-O7-W7</f>
        <v>85.885714285714286</v>
      </c>
      <c r="Q7" s="49">
        <f t="shared" ref="Q7:Q25" si="2">+G7-O7</f>
        <v>100</v>
      </c>
      <c r="R7" s="51">
        <f t="shared" ref="R7:R25" si="3">+E7*$T$3</f>
        <v>85.885714285714286</v>
      </c>
      <c r="S7" s="46">
        <f t="shared" ref="S7:S25" si="4">+R7*550</f>
        <v>47237.142857142855</v>
      </c>
      <c r="T7" t="str">
        <f t="shared" ref="T7:T25" si="5">+IF(K7&lt;&gt;"",K7,"")</f>
        <v xml:space="preserve">3 Descuentos (Despachador y usuarios desubicados) </v>
      </c>
      <c r="U7">
        <f>+RANK(H7,$H$6:$H$1048576,1)</f>
        <v>12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166</v>
      </c>
      <c r="C8" s="166">
        <v>2</v>
      </c>
      <c r="D8" s="151" t="s">
        <v>153</v>
      </c>
      <c r="E8" s="150">
        <v>6</v>
      </c>
      <c r="F8" s="150">
        <v>0</v>
      </c>
      <c r="G8" s="165">
        <v>108</v>
      </c>
      <c r="H8" s="226">
        <f>+G8/E8</f>
        <v>18</v>
      </c>
      <c r="I8" s="227">
        <f>+(SUM($G$7:$G$1048576)/SUM($E$7:$E$1048576))*E8</f>
        <v>91.885714285714286</v>
      </c>
      <c r="J8" s="363">
        <f>+Tabla2[[#This Row],[PROM DE USUARIOS]]-Tabla2[[#This Row],[USUARIOS]]</f>
        <v>-16.114285714285714</v>
      </c>
      <c r="K8" s="151"/>
      <c r="L8" s="163">
        <f>P8*585</f>
        <v>50243.142857142855</v>
      </c>
      <c r="M8" s="162">
        <f>+VLOOKUP(C8,Lista!B:D,3,0)</f>
        <v>0</v>
      </c>
      <c r="N8" s="365">
        <f>+(SUMIFS(G:G,M:M,"MICRO",E:E,"&gt;0")*100)/COUNTIF($E$7:$E$25,"&gt;0")</f>
        <v>6194.7368421052633</v>
      </c>
      <c r="O8" s="50">
        <f t="shared" si="0"/>
        <v>6</v>
      </c>
      <c r="P8" s="47">
        <f t="shared" si="1"/>
        <v>85.885714285714286</v>
      </c>
      <c r="Q8" s="49">
        <f t="shared" si="2"/>
        <v>102</v>
      </c>
      <c r="R8" s="51">
        <f t="shared" si="3"/>
        <v>85.885714285714286</v>
      </c>
      <c r="S8" s="46">
        <f t="shared" si="4"/>
        <v>47237.142857142855</v>
      </c>
      <c r="T8" t="str">
        <f t="shared" si="5"/>
        <v/>
      </c>
      <c r="U8">
        <f>+RANK(H8,$H$6:$H$1048576,1)</f>
        <v>13</v>
      </c>
      <c r="Y8" t="str">
        <f>TRIM(Tabla2[[#This Row],[CONDUCTOR]])</f>
        <v>PARIAS MURIEL JHON FREDY</v>
      </c>
    </row>
    <row r="9" spans="1:32" x14ac:dyDescent="0.2">
      <c r="B9" s="136" t="s">
        <v>166</v>
      </c>
      <c r="C9" s="166">
        <v>3</v>
      </c>
      <c r="D9" s="151" t="s">
        <v>161</v>
      </c>
      <c r="E9" s="150">
        <v>6</v>
      </c>
      <c r="F9" s="150">
        <v>0</v>
      </c>
      <c r="G9" s="165">
        <v>116</v>
      </c>
      <c r="H9" s="226">
        <f>+G9/E9</f>
        <v>19.333333333333332</v>
      </c>
      <c r="I9" s="227">
        <f>+(SUM($G$7:$G$1048576)/SUM($E$7:$E$1048576))*E9</f>
        <v>91.885714285714286</v>
      </c>
      <c r="J9" s="363">
        <f>+Tabla2[[#This Row],[PROM DE USUARIOS]]-Tabla2[[#This Row],[USUARIOS]]</f>
        <v>-24.114285714285714</v>
      </c>
      <c r="K9" s="151"/>
      <c r="L9" s="163">
        <f>P9*585</f>
        <v>50243.142857142855</v>
      </c>
      <c r="M9" s="162" t="str">
        <f>+VLOOKUP(C9,Lista!B:D,3,0)</f>
        <v>MICRO</v>
      </c>
      <c r="N9" s="365">
        <f>+(SUMIFS(G:G,M:M,"MICRO",E:E,"&gt;0")*100)/COUNTIF($E$7:$E$25,"&gt;0")</f>
        <v>6194.7368421052633</v>
      </c>
      <c r="O9" s="50">
        <f t="shared" si="0"/>
        <v>6</v>
      </c>
      <c r="P9" s="47">
        <f t="shared" si="1"/>
        <v>85.885714285714286</v>
      </c>
      <c r="Q9" s="49">
        <f t="shared" si="2"/>
        <v>110</v>
      </c>
      <c r="R9" s="51">
        <f t="shared" si="3"/>
        <v>85.885714285714286</v>
      </c>
      <c r="S9" s="46">
        <f t="shared" si="4"/>
        <v>47237.142857142855</v>
      </c>
      <c r="T9" t="str">
        <f t="shared" si="5"/>
        <v/>
      </c>
      <c r="U9">
        <f>+RANK(H9,$H$6:$H$1048576,1)</f>
        <v>17</v>
      </c>
      <c r="Y9" t="str">
        <f>TRIM(Tabla2[[#This Row],[CONDUCTOR]])</f>
        <v>ESPINOZA ECHAVARRIA EMANUEL</v>
      </c>
    </row>
    <row r="10" spans="1:32" x14ac:dyDescent="0.2">
      <c r="B10" s="136" t="s">
        <v>166</v>
      </c>
      <c r="C10" s="166">
        <v>4</v>
      </c>
      <c r="D10" s="151" t="s">
        <v>155</v>
      </c>
      <c r="E10" s="150">
        <v>6</v>
      </c>
      <c r="F10" s="150">
        <v>0</v>
      </c>
      <c r="G10" s="165">
        <v>122</v>
      </c>
      <c r="H10" s="226">
        <f>+G10/E10</f>
        <v>20.333333333333332</v>
      </c>
      <c r="I10" s="227">
        <f>+(SUM($G$7:$G$1048576)/SUM($E$7:$E$1048576))*E10</f>
        <v>91.885714285714286</v>
      </c>
      <c r="J10" s="363">
        <f>+Tabla2[[#This Row],[PROM DE USUARIOS]]-Tabla2[[#This Row],[USUARIOS]]</f>
        <v>-30.114285714285714</v>
      </c>
      <c r="K10" s="151" t="s">
        <v>168</v>
      </c>
      <c r="L10" s="163">
        <f>P10*585</f>
        <v>50243.142857142855</v>
      </c>
      <c r="M10" s="162" t="str">
        <f>+VLOOKUP(C10,Lista!B:D,3,0)</f>
        <v>MICRO</v>
      </c>
      <c r="N10" s="365">
        <f>+(SUMIFS(G:G,M:M,"MICRO",E:E,"&gt;0")*100)/COUNTIF($E$7:$E$25,"&gt;0")</f>
        <v>6194.7368421052633</v>
      </c>
      <c r="O10" s="50">
        <f t="shared" si="0"/>
        <v>6</v>
      </c>
      <c r="P10" s="47">
        <f t="shared" si="1"/>
        <v>85.885714285714286</v>
      </c>
      <c r="Q10" s="49">
        <f t="shared" si="2"/>
        <v>116</v>
      </c>
      <c r="R10" s="51">
        <f t="shared" si="3"/>
        <v>85.885714285714286</v>
      </c>
      <c r="S10" s="46">
        <f t="shared" si="4"/>
        <v>47237.142857142855</v>
      </c>
      <c r="T10" t="str">
        <f t="shared" si="5"/>
        <v xml:space="preserve">2 Descuentos (Usuarios desubicados) </v>
      </c>
      <c r="U10">
        <f>+RANK(H10,$H$6:$H$1048576,1)</f>
        <v>18</v>
      </c>
      <c r="Y10" t="str">
        <f>TRIM(Tabla2[[#This Row],[CONDUCTOR]])</f>
        <v>SANCHEZ BETANCOURT FRANSCISCO</v>
      </c>
    </row>
    <row r="11" spans="1:32" x14ac:dyDescent="0.2">
      <c r="B11" s="136" t="s">
        <v>166</v>
      </c>
      <c r="C11" s="166">
        <v>5</v>
      </c>
      <c r="D11" s="151" t="s">
        <v>152</v>
      </c>
      <c r="E11" s="150">
        <v>6</v>
      </c>
      <c r="F11" s="150">
        <v>0</v>
      </c>
      <c r="G11" s="165">
        <v>110</v>
      </c>
      <c r="H11" s="226">
        <f>+G11/E11</f>
        <v>18.333333333333332</v>
      </c>
      <c r="I11" s="227">
        <f>+(SUM($G$7:$G$1048576)/SUM($E$7:$E$1048576))*E11</f>
        <v>91.885714285714286</v>
      </c>
      <c r="J11" s="363">
        <f>+Tabla2[[#This Row],[PROM DE USUARIOS]]-Tabla2[[#This Row],[USUARIOS]]</f>
        <v>-18.114285714285714</v>
      </c>
      <c r="K11" s="151"/>
      <c r="L11" s="163">
        <f>P11*585</f>
        <v>50243.142857142855</v>
      </c>
      <c r="M11" s="162">
        <f>+VLOOKUP(C11,Lista!B:D,3,0)</f>
        <v>0</v>
      </c>
      <c r="N11" s="365">
        <f>+(SUMIFS(G:G,M:M,"MICRO",E:E,"&gt;0")*100)/COUNTIF($E$7:$E$25,"&gt;0")</f>
        <v>6194.7368421052633</v>
      </c>
      <c r="O11" s="50">
        <f t="shared" si="0"/>
        <v>6</v>
      </c>
      <c r="P11" s="47">
        <f t="shared" si="1"/>
        <v>85.885714285714286</v>
      </c>
      <c r="Q11" s="49">
        <f t="shared" si="2"/>
        <v>104</v>
      </c>
      <c r="R11" s="51">
        <f t="shared" si="3"/>
        <v>85.885714285714286</v>
      </c>
      <c r="S11" s="46">
        <f t="shared" si="4"/>
        <v>47237.142857142855</v>
      </c>
      <c r="T11" t="str">
        <f t="shared" si="5"/>
        <v/>
      </c>
      <c r="U11">
        <f>+RANK(H11,$H$6:$H$1048576,1)</f>
        <v>15</v>
      </c>
      <c r="Y11" t="str">
        <f>TRIM(Tabla2[[#This Row],[CONDUCTOR]])</f>
        <v>VERENZUELA MARTINEZ ALEXANDER</v>
      </c>
    </row>
    <row r="12" spans="1:32" x14ac:dyDescent="0.2">
      <c r="B12" s="136" t="s">
        <v>166</v>
      </c>
      <c r="C12" s="137">
        <v>6</v>
      </c>
      <c r="D12" s="151" t="s">
        <v>160</v>
      </c>
      <c r="E12" s="150">
        <v>8</v>
      </c>
      <c r="F12" s="150">
        <v>0</v>
      </c>
      <c r="G12" s="165">
        <v>64</v>
      </c>
      <c r="H12" s="226">
        <f>+G12/E12</f>
        <v>8</v>
      </c>
      <c r="I12" s="227">
        <f>+(SUM($G$7:$G$1048576)/SUM($E$7:$E$1048576))*E12</f>
        <v>122.51428571428572</v>
      </c>
      <c r="J12" s="363">
        <f>+Tabla2[[#This Row],[PROM DE USUARIOS]]-Tabla2[[#This Row],[USUARIOS]]</f>
        <v>58.51428571428572</v>
      </c>
      <c r="K12" s="151"/>
      <c r="L12" s="163">
        <f>P12*585</f>
        <v>66990.857142857145</v>
      </c>
      <c r="M12" s="162" t="str">
        <f>+VLOOKUP(C12,Lista!B:D,3,0)</f>
        <v>MICRO</v>
      </c>
      <c r="N12" s="365">
        <f>+(SUMIFS(G:G,M:M,"MICRO",E:E,"&gt;0")*100)/COUNTIF($E$7:$E$25,"&gt;0")</f>
        <v>6194.7368421052633</v>
      </c>
      <c r="O12" s="50">
        <f t="shared" si="0"/>
        <v>8</v>
      </c>
      <c r="P12" s="47">
        <f t="shared" si="1"/>
        <v>114.51428571428572</v>
      </c>
      <c r="Q12" s="49">
        <f t="shared" si="2"/>
        <v>56</v>
      </c>
      <c r="R12" s="51">
        <f t="shared" si="3"/>
        <v>114.51428571428572</v>
      </c>
      <c r="S12" s="46">
        <f t="shared" si="4"/>
        <v>62982.857142857145</v>
      </c>
      <c r="T12" t="str">
        <f t="shared" si="5"/>
        <v/>
      </c>
      <c r="U12">
        <f>+RANK(H12,$H$6:$H$1048576,1)</f>
        <v>1</v>
      </c>
      <c r="Y12" t="str">
        <f>TRIM(Tabla2[[#This Row],[CONDUCTOR]])</f>
        <v>LOPEZ PINEDA DANIEL ESTIVEN</v>
      </c>
    </row>
    <row r="13" spans="1:32" x14ac:dyDescent="0.2">
      <c r="B13" s="136" t="s">
        <v>166</v>
      </c>
      <c r="C13" s="166">
        <v>8</v>
      </c>
      <c r="D13" s="151" t="s">
        <v>164</v>
      </c>
      <c r="E13" s="150">
        <v>7</v>
      </c>
      <c r="F13" s="150">
        <v>0</v>
      </c>
      <c r="G13" s="165">
        <v>81</v>
      </c>
      <c r="H13" s="226">
        <f>+G13/E13</f>
        <v>11.571428571428571</v>
      </c>
      <c r="I13" s="227">
        <f>+(SUM($G$7:$G$1048576)/SUM($E$7:$E$1048576))*E13</f>
        <v>107.2</v>
      </c>
      <c r="J13" s="363">
        <f>+Tabla2[[#This Row],[PROM DE USUARIOS]]-Tabla2[[#This Row],[USUARIOS]]</f>
        <v>26.200000000000003</v>
      </c>
      <c r="K13" s="151"/>
      <c r="L13" s="163">
        <f>P13*585</f>
        <v>58617</v>
      </c>
      <c r="M13" s="162">
        <f>+VLOOKUP(C13,Lista!B:D,3,0)</f>
        <v>0</v>
      </c>
      <c r="N13" s="365">
        <f>+(SUMIFS(G:G,M:M,"MICRO",E:E,"&gt;0")*100)/COUNTIF($E$7:$E$25,"&gt;0")</f>
        <v>6194.7368421052633</v>
      </c>
      <c r="O13" s="50">
        <f t="shared" si="0"/>
        <v>7</v>
      </c>
      <c r="P13" s="47">
        <f t="shared" si="1"/>
        <v>100.2</v>
      </c>
      <c r="Q13" s="49">
        <f t="shared" si="2"/>
        <v>74</v>
      </c>
      <c r="R13" s="51">
        <f t="shared" si="3"/>
        <v>100.2</v>
      </c>
      <c r="S13" s="46">
        <f t="shared" si="4"/>
        <v>55110</v>
      </c>
      <c r="T13" t="str">
        <f t="shared" si="5"/>
        <v/>
      </c>
      <c r="U13">
        <f>+RANK(H13,$H$6:$H$1048576,1)</f>
        <v>5</v>
      </c>
      <c r="Y13" t="str">
        <f>TRIM(Tabla2[[#This Row],[CONDUCTOR]])</f>
        <v>GONZALEZ PEREZ RAFAEL JOSE</v>
      </c>
    </row>
    <row r="14" spans="1:32" x14ac:dyDescent="0.2">
      <c r="B14" s="136" t="s">
        <v>166</v>
      </c>
      <c r="C14" s="166">
        <v>9</v>
      </c>
      <c r="D14" s="151" t="s">
        <v>158</v>
      </c>
      <c r="E14" s="150">
        <v>7</v>
      </c>
      <c r="F14" s="150">
        <v>0</v>
      </c>
      <c r="G14" s="165">
        <v>114</v>
      </c>
      <c r="H14" s="226">
        <f>+G14/E14</f>
        <v>16.285714285714285</v>
      </c>
      <c r="I14" s="227">
        <f>+(SUM($G$7:$G$1048576)/SUM($E$7:$E$1048576))*E14</f>
        <v>107.2</v>
      </c>
      <c r="J14" s="363">
        <f>+Tabla2[[#This Row],[PROM DE USUARIOS]]-Tabla2[[#This Row],[USUARIOS]]</f>
        <v>-6.7999999999999972</v>
      </c>
      <c r="K14" s="151" t="s">
        <v>169</v>
      </c>
      <c r="L14" s="163">
        <f>P14*585</f>
        <v>58617</v>
      </c>
      <c r="M14" s="162" t="str">
        <f>+VLOOKUP(C14,Lista!B:D,3,0)</f>
        <v>MICRO</v>
      </c>
      <c r="N14" s="365">
        <f>+(SUMIFS(G:G,M:M,"MICRO",E:E,"&gt;0")*100)/COUNTIF($E$7:$E$25,"&gt;0")</f>
        <v>6194.7368421052633</v>
      </c>
      <c r="O14" s="50">
        <f t="shared" si="0"/>
        <v>7</v>
      </c>
      <c r="P14" s="47">
        <f t="shared" si="1"/>
        <v>100.2</v>
      </c>
      <c r="Q14" s="49">
        <f t="shared" si="2"/>
        <v>107</v>
      </c>
      <c r="R14" s="51">
        <f t="shared" si="3"/>
        <v>100.2</v>
      </c>
      <c r="S14" s="46">
        <f t="shared" si="4"/>
        <v>55110</v>
      </c>
      <c r="T14" t="str">
        <f t="shared" si="5"/>
        <v xml:space="preserve">3 Descuentos (Transbordo) </v>
      </c>
      <c r="U14">
        <f>+RANK(H14,$H$6:$H$1048576,1)</f>
        <v>11</v>
      </c>
      <c r="Y14" t="str">
        <f>TRIM(Tabla2[[#This Row],[CONDUCTOR]])</f>
        <v>CARTAGENA RAMIREZ FREDY ALONSO</v>
      </c>
    </row>
    <row r="15" spans="1:32" x14ac:dyDescent="0.2">
      <c r="B15" s="136" t="s">
        <v>166</v>
      </c>
      <c r="C15" s="166">
        <v>11</v>
      </c>
      <c r="D15" s="151" t="s">
        <v>163</v>
      </c>
      <c r="E15" s="150">
        <v>6</v>
      </c>
      <c r="F15" s="150">
        <v>0</v>
      </c>
      <c r="G15" s="165">
        <v>115</v>
      </c>
      <c r="H15" s="226">
        <f>+G15/E15</f>
        <v>19.166666666666668</v>
      </c>
      <c r="I15" s="227">
        <f>+(SUM($G$7:$G$1048576)/SUM($E$7:$E$1048576))*E15</f>
        <v>91.885714285714286</v>
      </c>
      <c r="J15" s="363">
        <f>+Tabla2[[#This Row],[PROM DE USUARIOS]]-Tabla2[[#This Row],[USUARIOS]]</f>
        <v>-23.114285714285714</v>
      </c>
      <c r="K15" s="151"/>
      <c r="L15" s="163">
        <f>P15*585</f>
        <v>50243.142857142855</v>
      </c>
      <c r="M15" s="162" t="str">
        <f>+VLOOKUP(C15,Lista!B:D,3,0)</f>
        <v>MICRO</v>
      </c>
      <c r="N15" s="365">
        <f>+(SUMIFS(G:G,M:M,"MICRO",E:E,"&gt;0")*100)/COUNTIF($E$7:$E$25,"&gt;0")</f>
        <v>6194.7368421052633</v>
      </c>
      <c r="O15" s="50">
        <f t="shared" si="0"/>
        <v>6</v>
      </c>
      <c r="P15" s="47">
        <f t="shared" si="1"/>
        <v>85.885714285714286</v>
      </c>
      <c r="Q15" s="49">
        <f t="shared" si="2"/>
        <v>109</v>
      </c>
      <c r="R15" s="51">
        <f t="shared" si="3"/>
        <v>85.885714285714286</v>
      </c>
      <c r="S15" s="46">
        <f t="shared" si="4"/>
        <v>47237.142857142855</v>
      </c>
      <c r="T15" t="str">
        <f t="shared" si="5"/>
        <v/>
      </c>
      <c r="U15">
        <f>+RANK(H15,$H$6:$H$1048576,1)</f>
        <v>16</v>
      </c>
      <c r="Y15" t="str">
        <f>TRIM(Tabla2[[#This Row],[CONDUCTOR]])</f>
        <v>YEPES TORRES JHON ALEXANDER</v>
      </c>
    </row>
    <row r="16" spans="1:32" x14ac:dyDescent="0.2">
      <c r="B16" s="136" t="s">
        <v>166</v>
      </c>
      <c r="C16" s="137">
        <v>13</v>
      </c>
      <c r="D16" s="151" t="s">
        <v>149</v>
      </c>
      <c r="E16" s="150">
        <v>6</v>
      </c>
      <c r="F16" s="150">
        <v>0</v>
      </c>
      <c r="G16" s="165">
        <v>132</v>
      </c>
      <c r="H16" s="226">
        <f>+G16/E16</f>
        <v>22</v>
      </c>
      <c r="I16" s="227">
        <f>+(SUM($G$7:$G$1048576)/SUM($E$7:$E$1048576))*E16</f>
        <v>91.885714285714286</v>
      </c>
      <c r="J16" s="363">
        <f>+Tabla2[[#This Row],[PROM DE USUARIOS]]-Tabla2[[#This Row],[USUARIOS]]</f>
        <v>-40.114285714285714</v>
      </c>
      <c r="K16" s="151" t="s">
        <v>170</v>
      </c>
      <c r="L16" s="163">
        <f>P16*585</f>
        <v>50243.142857142855</v>
      </c>
      <c r="M16" s="162" t="str">
        <f>+VLOOKUP(C16,Lista!B:D,3,0)</f>
        <v>MICRO</v>
      </c>
      <c r="N16" s="365">
        <f>+(SUMIFS(G:G,M:M,"MICRO",E:E,"&gt;0")*100)/COUNTIF($E$7:$E$25,"&gt;0")</f>
        <v>6194.7368421052633</v>
      </c>
      <c r="O16" s="50">
        <f t="shared" si="0"/>
        <v>6</v>
      </c>
      <c r="P16" s="47">
        <f t="shared" si="1"/>
        <v>85.885714285714286</v>
      </c>
      <c r="Q16" s="49">
        <f t="shared" si="2"/>
        <v>126</v>
      </c>
      <c r="R16" s="51">
        <f t="shared" si="3"/>
        <v>85.885714285714286</v>
      </c>
      <c r="S16" s="46">
        <f t="shared" si="4"/>
        <v>47237.142857142855</v>
      </c>
      <c r="T16" t="str">
        <f t="shared" si="5"/>
        <v xml:space="preserve">1 Descuento (Usuario desubicado) </v>
      </c>
      <c r="U16">
        <f>+RANK(H16,$H$6:$H$1048576,1)</f>
        <v>19</v>
      </c>
      <c r="Y16" t="str">
        <f>TRIM(Tabla2[[#This Row],[CONDUCTOR]])</f>
        <v>PARRA VILLA YUBER ALONSO</v>
      </c>
    </row>
    <row r="17" spans="2:25" x14ac:dyDescent="0.2">
      <c r="B17" s="136" t="s">
        <v>166</v>
      </c>
      <c r="C17" s="166">
        <v>14</v>
      </c>
      <c r="D17" s="151" t="s">
        <v>120</v>
      </c>
      <c r="E17" s="150">
        <v>6</v>
      </c>
      <c r="F17" s="150">
        <v>0</v>
      </c>
      <c r="G17" s="165">
        <v>109</v>
      </c>
      <c r="H17" s="226">
        <f>+G17/E17</f>
        <v>18.166666666666668</v>
      </c>
      <c r="I17" s="227">
        <f>+(SUM($G$7:$G$1048576)/SUM($E$7:$E$1048576))*E17</f>
        <v>91.885714285714286</v>
      </c>
      <c r="J17" s="363">
        <f>+Tabla2[[#This Row],[PROM DE USUARIOS]]-Tabla2[[#This Row],[USUARIOS]]</f>
        <v>-17.114285714285714</v>
      </c>
      <c r="K17" s="151"/>
      <c r="L17" s="163">
        <f>P17*585</f>
        <v>50243.142857142855</v>
      </c>
      <c r="M17" s="162">
        <f>+VLOOKUP(C17,Lista!B:D,3,0)</f>
        <v>0</v>
      </c>
      <c r="N17" s="365">
        <f>+(SUMIFS(G:G,M:M,"MICRO",E:E,"&gt;0")*100)/COUNTIF($E$7:$E$25,"&gt;0")</f>
        <v>6194.7368421052633</v>
      </c>
      <c r="O17" s="50">
        <f t="shared" si="0"/>
        <v>6</v>
      </c>
      <c r="P17" s="47">
        <f t="shared" si="1"/>
        <v>85.885714285714286</v>
      </c>
      <c r="Q17" s="49">
        <f t="shared" si="2"/>
        <v>103</v>
      </c>
      <c r="R17" s="51">
        <f t="shared" si="3"/>
        <v>85.885714285714286</v>
      </c>
      <c r="S17" s="46">
        <f t="shared" si="4"/>
        <v>47237.142857142855</v>
      </c>
      <c r="T17" t="str">
        <f t="shared" si="5"/>
        <v/>
      </c>
      <c r="U17">
        <f>+RANK(H17,$H$6:$H$1048576,1)</f>
        <v>14</v>
      </c>
      <c r="Y17" t="str">
        <f>TRIM(Tabla2[[#This Row],[CONDUCTOR]])</f>
        <v>DURANGO PAEZ GILDARDO</v>
      </c>
    </row>
    <row r="18" spans="2:25" x14ac:dyDescent="0.2">
      <c r="B18" s="136" t="s">
        <v>166</v>
      </c>
      <c r="C18" s="166">
        <v>15</v>
      </c>
      <c r="D18" s="151" t="s">
        <v>165</v>
      </c>
      <c r="E18" s="150">
        <v>6</v>
      </c>
      <c r="F18" s="150">
        <v>0</v>
      </c>
      <c r="G18" s="165">
        <v>136</v>
      </c>
      <c r="H18" s="226">
        <f>+G18/E18</f>
        <v>22.666666666666668</v>
      </c>
      <c r="I18" s="227">
        <f>+(SUM($G$7:$G$1048576)/SUM($E$7:$E$1048576))*E18</f>
        <v>91.885714285714286</v>
      </c>
      <c r="J18" s="363">
        <f>+Tabla2[[#This Row],[PROM DE USUARIOS]]-Tabla2[[#This Row],[USUARIOS]]</f>
        <v>-44.114285714285714</v>
      </c>
      <c r="K18" s="151"/>
      <c r="L18" s="163">
        <f>P18*585</f>
        <v>50243.142857142855</v>
      </c>
      <c r="M18" s="162">
        <f>+VLOOKUP(C18,Lista!B:D,3,0)</f>
        <v>0</v>
      </c>
      <c r="N18" s="365">
        <f>+(SUMIFS(G:G,M:M,"MICRO",E:E,"&gt;0")*100)/COUNTIF($E$7:$E$25,"&gt;0")</f>
        <v>6194.7368421052633</v>
      </c>
      <c r="O18" s="50">
        <f t="shared" si="0"/>
        <v>6</v>
      </c>
      <c r="P18" s="47">
        <f t="shared" si="1"/>
        <v>85.885714285714286</v>
      </c>
      <c r="Q18" s="49">
        <f t="shared" si="2"/>
        <v>130</v>
      </c>
      <c r="R18" s="51">
        <f t="shared" si="3"/>
        <v>85.885714285714286</v>
      </c>
      <c r="S18" s="46">
        <f t="shared" si="4"/>
        <v>47237.142857142855</v>
      </c>
      <c r="T18" t="str">
        <f t="shared" si="5"/>
        <v/>
      </c>
      <c r="U18">
        <f>+RANK(H18,$H$6:$H$1048576,1)</f>
        <v>20</v>
      </c>
      <c r="Y18" t="str">
        <f>TRIM(Tabla2[[#This Row],[CONDUCTOR]])</f>
        <v>ESPINOZA CHAVARRIA GUILLERMO LEON</v>
      </c>
    </row>
    <row r="19" spans="2:25" x14ac:dyDescent="0.2">
      <c r="B19" s="136" t="s">
        <v>166</v>
      </c>
      <c r="C19" s="137">
        <v>16</v>
      </c>
      <c r="D19" s="151" t="s">
        <v>162</v>
      </c>
      <c r="E19" s="150">
        <v>7</v>
      </c>
      <c r="F19" s="150">
        <v>0</v>
      </c>
      <c r="G19" s="146">
        <v>77</v>
      </c>
      <c r="H19" s="226">
        <f>+G19/E19</f>
        <v>11</v>
      </c>
      <c r="I19" s="227">
        <f>+(SUM($G$7:$G$1048576)/SUM($E$7:$E$1048576))*E19</f>
        <v>107.2</v>
      </c>
      <c r="J19" s="363">
        <f>+Tabla2[[#This Row],[PROM DE USUARIOS]]-Tabla2[[#This Row],[USUARIOS]]</f>
        <v>30.200000000000003</v>
      </c>
      <c r="K19" s="151"/>
      <c r="L19" s="163">
        <f>P19*585</f>
        <v>58617</v>
      </c>
      <c r="M19" s="162" t="str">
        <f>+VLOOKUP(C19,Lista!B:D,3,0)</f>
        <v>MICRO</v>
      </c>
      <c r="N19" s="365">
        <f>+(SUMIFS(G:G,M:M,"MICRO",E:E,"&gt;0")*100)/COUNTIF($E$7:$E$25,"&gt;0")</f>
        <v>6194.7368421052633</v>
      </c>
      <c r="O19" s="50">
        <f t="shared" si="0"/>
        <v>7</v>
      </c>
      <c r="P19" s="47">
        <f t="shared" si="1"/>
        <v>100.2</v>
      </c>
      <c r="Q19" s="49">
        <f t="shared" si="2"/>
        <v>70</v>
      </c>
      <c r="R19" s="51">
        <f t="shared" si="3"/>
        <v>100.2</v>
      </c>
      <c r="S19" s="46">
        <f t="shared" si="4"/>
        <v>55110</v>
      </c>
      <c r="T19" t="str">
        <f t="shared" si="5"/>
        <v/>
      </c>
      <c r="U19">
        <f>+RANK(H19,$H$6:$H$1048576,1)</f>
        <v>4</v>
      </c>
      <c r="Y19" t="str">
        <f>TRIM(Tabla2[[#This Row],[CONDUCTOR]])</f>
        <v>JARAMILLO JARAMILLO FRANCISCO WBEIMAR</v>
      </c>
    </row>
    <row r="20" spans="2:25" x14ac:dyDescent="0.2">
      <c r="B20" s="136" t="s">
        <v>166</v>
      </c>
      <c r="C20" s="166">
        <v>18</v>
      </c>
      <c r="D20" s="151" t="s">
        <v>156</v>
      </c>
      <c r="E20" s="150">
        <v>8</v>
      </c>
      <c r="F20" s="150">
        <v>0</v>
      </c>
      <c r="G20" s="165">
        <v>101</v>
      </c>
      <c r="H20" s="226">
        <f>+G20/E20</f>
        <v>12.625</v>
      </c>
      <c r="I20" s="227">
        <f>+(SUM($G$7:$G$1048576)/SUM($E$7:$E$1048576))*E20</f>
        <v>122.51428571428572</v>
      </c>
      <c r="J20" s="363">
        <f>+Tabla2[[#This Row],[PROM DE USUARIOS]]-Tabla2[[#This Row],[USUARIOS]]</f>
        <v>21.51428571428572</v>
      </c>
      <c r="K20" s="151"/>
      <c r="L20" s="163">
        <f>P20*585</f>
        <v>66990.857142857145</v>
      </c>
      <c r="M20" s="162" t="str">
        <f>+VLOOKUP(C20,Lista!B:D,3,0)</f>
        <v>MICRO</v>
      </c>
      <c r="N20" s="365">
        <f>+(SUMIFS(G:G,M:M,"MICRO",E:E,"&gt;0")*100)/COUNTIF($E$7:$E$25,"&gt;0")</f>
        <v>6194.7368421052633</v>
      </c>
      <c r="O20" s="50">
        <f t="shared" si="0"/>
        <v>8</v>
      </c>
      <c r="P20" s="47">
        <f t="shared" si="1"/>
        <v>114.51428571428572</v>
      </c>
      <c r="Q20" s="49">
        <f t="shared" si="2"/>
        <v>93</v>
      </c>
      <c r="R20" s="51">
        <f t="shared" si="3"/>
        <v>114.51428571428572</v>
      </c>
      <c r="S20" s="46">
        <f t="shared" si="4"/>
        <v>62982.857142857145</v>
      </c>
      <c r="T20" t="str">
        <f t="shared" si="5"/>
        <v/>
      </c>
      <c r="U20">
        <f>+RANK(H20,$H$6:$H$1048576,1)</f>
        <v>7</v>
      </c>
      <c r="Y20" t="str">
        <f>TRIM(Tabla2[[#This Row],[CONDUCTOR]])</f>
        <v>ALBERTO ARISTIZABAL RAFAEL</v>
      </c>
    </row>
    <row r="21" spans="2:25" x14ac:dyDescent="0.2">
      <c r="B21" s="136" t="s">
        <v>166</v>
      </c>
      <c r="C21" s="166">
        <v>19</v>
      </c>
      <c r="D21" s="151" t="s">
        <v>159</v>
      </c>
      <c r="E21" s="150">
        <v>7</v>
      </c>
      <c r="F21" s="150"/>
      <c r="G21" s="165">
        <v>83</v>
      </c>
      <c r="H21" s="226">
        <f>+G21/E21</f>
        <v>11.857142857142858</v>
      </c>
      <c r="I21" s="227">
        <f>+(SUM($G$7:$G$1048576)/SUM($E$7:$E$1048576))*E21</f>
        <v>107.2</v>
      </c>
      <c r="J21" s="363">
        <f>+Tabla2[[#This Row],[PROM DE USUARIOS]]-Tabla2[[#This Row],[USUARIOS]]</f>
        <v>24.200000000000003</v>
      </c>
      <c r="K21" s="151" t="s">
        <v>171</v>
      </c>
      <c r="L21" s="163">
        <f>P21*585</f>
        <v>58617</v>
      </c>
      <c r="M21" s="162" t="str">
        <f>+VLOOKUP(C21,Lista!B:D,3,0)</f>
        <v>MICRO</v>
      </c>
      <c r="N21" s="365">
        <f>+(SUMIFS(G:G,M:M,"MICRO",E:E,"&gt;0")*100)/COUNTIF($E$7:$E$25,"&gt;0")</f>
        <v>6194.7368421052633</v>
      </c>
      <c r="O21" s="50">
        <f t="shared" si="0"/>
        <v>7</v>
      </c>
      <c r="P21" s="47">
        <f t="shared" si="1"/>
        <v>100.2</v>
      </c>
      <c r="Q21" s="49">
        <f t="shared" si="2"/>
        <v>76</v>
      </c>
      <c r="R21" s="51">
        <f t="shared" si="3"/>
        <v>100.2</v>
      </c>
      <c r="S21" s="46">
        <f t="shared" si="4"/>
        <v>55110</v>
      </c>
      <c r="T21" t="str">
        <f t="shared" si="5"/>
        <v xml:space="preserve">1 Descuento (Despachador) </v>
      </c>
      <c r="U21">
        <f>+RANK(H21,$H$6:$H$1048576,1)</f>
        <v>6</v>
      </c>
      <c r="Y21" t="str">
        <f>TRIM(Tabla2[[#This Row],[CONDUCTOR]])</f>
        <v>MACEA ARBELAEZ MATEO</v>
      </c>
    </row>
    <row r="22" spans="2:25" x14ac:dyDescent="0.2">
      <c r="B22" s="136" t="s">
        <v>166</v>
      </c>
      <c r="C22" s="137">
        <v>33</v>
      </c>
      <c r="D22" s="151" t="s">
        <v>151</v>
      </c>
      <c r="E22" s="150">
        <v>6</v>
      </c>
      <c r="F22" s="150">
        <v>0</v>
      </c>
      <c r="G22" s="146">
        <v>95</v>
      </c>
      <c r="H22" s="226">
        <f>+G22/E22</f>
        <v>15.833333333333334</v>
      </c>
      <c r="I22" s="227">
        <f>+(SUM($G$7:$G$1048576)/SUM($E$7:$E$1048576))*E22</f>
        <v>91.885714285714286</v>
      </c>
      <c r="J22" s="363">
        <f>+Tabla2[[#This Row],[PROM DE USUARIOS]]-Tabla2[[#This Row],[USUARIOS]]</f>
        <v>-3.1142857142857139</v>
      </c>
      <c r="K22" s="151"/>
      <c r="L22" s="163">
        <f>P22*585</f>
        <v>50243.142857142855</v>
      </c>
      <c r="M22" s="162" t="str">
        <f>+VLOOKUP(C22,Lista!B:D,3,0)</f>
        <v>MICRO</v>
      </c>
      <c r="N22" s="365">
        <f>+(SUMIFS(G:G,M:M,"MICRO",E:E,"&gt;0")*100)/COUNTIF($E$7:$E$25,"&gt;0")</f>
        <v>6194.7368421052633</v>
      </c>
      <c r="O22" s="50">
        <f t="shared" si="0"/>
        <v>6</v>
      </c>
      <c r="P22" s="47">
        <f t="shared" si="1"/>
        <v>85.885714285714286</v>
      </c>
      <c r="Q22" s="49">
        <f t="shared" si="2"/>
        <v>89</v>
      </c>
      <c r="R22" s="51">
        <f t="shared" si="3"/>
        <v>85.885714285714286</v>
      </c>
      <c r="S22" s="46">
        <f t="shared" si="4"/>
        <v>47237.142857142855</v>
      </c>
      <c r="T22" t="str">
        <f t="shared" si="5"/>
        <v/>
      </c>
      <c r="U22">
        <f>+RANK(H22,$H$6:$H$1048576,1)</f>
        <v>10</v>
      </c>
      <c r="Y22" t="str">
        <f>TRIM(Tabla2[[#This Row],[CONDUCTOR]])</f>
        <v>MARULANDA JARAMILLO DAWER ANDRES</v>
      </c>
    </row>
    <row r="23" spans="2:25" x14ac:dyDescent="0.2">
      <c r="B23" s="136" t="s">
        <v>166</v>
      </c>
      <c r="C23" s="166">
        <v>35</v>
      </c>
      <c r="D23" s="151" t="s">
        <v>157</v>
      </c>
      <c r="E23" s="150">
        <v>6.5</v>
      </c>
      <c r="F23" s="150">
        <v>0</v>
      </c>
      <c r="G23" s="165">
        <v>64</v>
      </c>
      <c r="H23" s="226">
        <f>+G23/E23</f>
        <v>9.8461538461538467</v>
      </c>
      <c r="I23" s="227">
        <f>+(SUM($G$7:$G$1048576)/SUM($E$7:$E$1048576))*E23</f>
        <v>99.542857142857144</v>
      </c>
      <c r="J23" s="363">
        <f>+Tabla2[[#This Row],[PROM DE USUARIOS]]-Tabla2[[#This Row],[USUARIOS]]</f>
        <v>35.542857142857144</v>
      </c>
      <c r="K23" s="151" t="s">
        <v>172</v>
      </c>
      <c r="L23" s="163">
        <f>P23*585</f>
        <v>54430.071428571428</v>
      </c>
      <c r="M23" s="162">
        <f>+VLOOKUP(C23,Lista!B:D,3,0)</f>
        <v>0</v>
      </c>
      <c r="N23" s="365">
        <f>+(SUMIFS(G:G,M:M,"MICRO",E:E,"&gt;0")*100)/COUNTIF($E$7:$E$25,"&gt;0")</f>
        <v>6194.7368421052633</v>
      </c>
      <c r="O23" s="50">
        <f t="shared" si="0"/>
        <v>6.5</v>
      </c>
      <c r="P23" s="47">
        <f t="shared" si="1"/>
        <v>93.042857142857144</v>
      </c>
      <c r="Q23" s="49">
        <f t="shared" si="2"/>
        <v>57.5</v>
      </c>
      <c r="R23" s="51">
        <f t="shared" si="3"/>
        <v>93.042857142857144</v>
      </c>
      <c r="S23" s="46">
        <f t="shared" si="4"/>
        <v>51173.571428571428</v>
      </c>
      <c r="T23" t="str">
        <f t="shared" si="5"/>
        <v xml:space="preserve">15 Descuentos (Varado) </v>
      </c>
      <c r="U23">
        <f>+RANK(H23,$H$6:$H$1048576,1)</f>
        <v>2</v>
      </c>
      <c r="Y23" t="str">
        <f>TRIM(Tabla2[[#This Row],[CONDUCTOR]])</f>
        <v>TUBERQUIA URREGO HAROL</v>
      </c>
    </row>
    <row r="24" spans="2:25" x14ac:dyDescent="0.2">
      <c r="B24" s="136" t="s">
        <v>166</v>
      </c>
      <c r="C24" s="137">
        <v>39</v>
      </c>
      <c r="D24" s="151" t="s">
        <v>150</v>
      </c>
      <c r="E24" s="150">
        <v>5</v>
      </c>
      <c r="F24" s="150">
        <v>0</v>
      </c>
      <c r="G24" s="146">
        <v>52</v>
      </c>
      <c r="H24" s="226">
        <f>+G24/E24</f>
        <v>10.4</v>
      </c>
      <c r="I24" s="227">
        <f>+(SUM($G$7:$G$1048576)/SUM($E$7:$E$1048576))*E24</f>
        <v>76.571428571428569</v>
      </c>
      <c r="J24" s="363">
        <f>+Tabla2[[#This Row],[PROM DE USUARIOS]]-Tabla2[[#This Row],[USUARIOS]]</f>
        <v>24.571428571428569</v>
      </c>
      <c r="K24" s="151"/>
      <c r="L24" s="163">
        <f>P24*585</f>
        <v>41869.28571428571</v>
      </c>
      <c r="M24" s="162" t="str">
        <f>+VLOOKUP(C24,Lista!B:D,3,0)</f>
        <v>MICRO</v>
      </c>
      <c r="N24" s="365">
        <f>+(SUMIFS(G:G,M:M,"MICRO",E:E,"&gt;0")*100)/COUNTIF($E$7:$E$25,"&gt;0")</f>
        <v>6194.7368421052633</v>
      </c>
      <c r="O24" s="50">
        <f t="shared" si="0"/>
        <v>5</v>
      </c>
      <c r="P24" s="47">
        <f t="shared" si="1"/>
        <v>71.571428571428569</v>
      </c>
      <c r="Q24" s="49">
        <f t="shared" si="2"/>
        <v>47</v>
      </c>
      <c r="R24" s="51">
        <f t="shared" si="3"/>
        <v>71.571428571428569</v>
      </c>
      <c r="S24" s="46">
        <f t="shared" si="4"/>
        <v>39364.28571428571</v>
      </c>
      <c r="T24" t="str">
        <f t="shared" si="5"/>
        <v/>
      </c>
      <c r="U24">
        <f>+RANK(H24,$H$6:$H$1048576,1)</f>
        <v>3</v>
      </c>
      <c r="Y24" t="str">
        <f>TRIM(Tabla2[[#This Row],[CONDUCTOR]])</f>
        <v>PALMAR PANA EDIXON JOSUE</v>
      </c>
    </row>
    <row r="25" spans="2:25" x14ac:dyDescent="0.2">
      <c r="B25" s="136" t="s">
        <v>166</v>
      </c>
      <c r="C25" s="166">
        <v>44</v>
      </c>
      <c r="D25" s="151" t="s">
        <v>154</v>
      </c>
      <c r="E25" s="150">
        <v>7</v>
      </c>
      <c r="F25" s="150">
        <v>0</v>
      </c>
      <c r="G25" s="165">
        <v>91</v>
      </c>
      <c r="H25" s="226">
        <f>+G25/E25</f>
        <v>13</v>
      </c>
      <c r="I25" s="227">
        <f>+(SUM($G$7:$G$1048576)/SUM($E$7:$E$1048576))*E25</f>
        <v>107.2</v>
      </c>
      <c r="J25" s="363">
        <f>+Tabla2[[#This Row],[PROM DE USUARIOS]]-Tabla2[[#This Row],[USUARIOS]]</f>
        <v>16.200000000000003</v>
      </c>
      <c r="K25" s="151"/>
      <c r="L25" s="163">
        <f>P25*585</f>
        <v>58617</v>
      </c>
      <c r="M25" s="162">
        <f>+VLOOKUP(C25,Lista!B:D,3,0)</f>
        <v>0</v>
      </c>
      <c r="N25" s="365">
        <f>+(SUMIFS(G:G,M:M,"MICRO",E:E,"&gt;0")*100)/COUNTIF($E$7:$E$25,"&gt;0")</f>
        <v>6194.7368421052633</v>
      </c>
      <c r="O25" s="50">
        <f t="shared" si="0"/>
        <v>7</v>
      </c>
      <c r="P25" s="47">
        <f t="shared" si="1"/>
        <v>100.2</v>
      </c>
      <c r="Q25" s="49">
        <f t="shared" si="2"/>
        <v>84</v>
      </c>
      <c r="R25" s="51">
        <f t="shared" si="3"/>
        <v>100.2</v>
      </c>
      <c r="S25" s="46">
        <f t="shared" si="4"/>
        <v>55110</v>
      </c>
      <c r="T25" t="str">
        <f t="shared" si="5"/>
        <v/>
      </c>
      <c r="U25">
        <f>+RANK(H25,$H$6:$H$1048576,1)</f>
        <v>8</v>
      </c>
      <c r="Y25" t="str">
        <f>TRIM(Tabla2[[#This Row],[CONDUCTOR]])</f>
        <v>MARIN ALZATE KEVIN ANDRES</v>
      </c>
    </row>
    <row r="26" spans="2:25" x14ac:dyDescent="0.2">
      <c r="B26" s="232"/>
      <c r="C26" s="239">
        <f>SUBTOTAL(102,Tabla2[VEH])</f>
        <v>19</v>
      </c>
      <c r="D26" s="233" t="s">
        <v>127</v>
      </c>
      <c r="E26" s="234">
        <f>SUBTOTAL(109,Tabla2[VIAJES])</f>
        <v>122.5</v>
      </c>
      <c r="F26" s="234">
        <f>SUBTOTAL(109,Tabla2[VIAJES PERD.])</f>
        <v>0</v>
      </c>
      <c r="G26" s="240">
        <f>SUBTOTAL(109,Tabla2[USUARIOS])</f>
        <v>1876</v>
      </c>
      <c r="H26" s="373">
        <f>+Tabla2[[#Totals],[USUARIOS]]/Tabla2[[#Totals],[VIAJES]]</f>
        <v>15.314285714285715</v>
      </c>
      <c r="I26" s="240">
        <f>SUBTOTAL(109,Tabla2[PROM DE USUARIOS])</f>
        <v>1876.0000000000005</v>
      </c>
      <c r="J26" s="372">
        <f>SUBTOTAL(109,Tabla2[RECIBE / ENTREGA])</f>
        <v>2.8421709430404007E-14</v>
      </c>
      <c r="K26" s="235" t="s">
        <v>173</v>
      </c>
      <c r="L26" s="236"/>
      <c r="M26" s="237"/>
      <c r="N26" s="238">
        <f>SUBTOTAL(109,Tabla2[DIFER. MICRO - BUS ])</f>
        <v>117700.00000000004</v>
      </c>
      <c r="O26" s="50" t="e">
        <f>+(#REF!*1)-V26</f>
        <v>#REF!</v>
      </c>
      <c r="P26" s="47" t="e">
        <f>+#REF!-O26-W26</f>
        <v>#REF!</v>
      </c>
      <c r="Q26" s="49" t="e">
        <f>+#REF!-O26</f>
        <v>#REF!</v>
      </c>
      <c r="R26" s="51" t="e">
        <f>+#REF!*$T$3</f>
        <v>#REF!</v>
      </c>
      <c r="S26" s="46" t="e">
        <f t="shared" ref="S26:S46" si="6">+R26*550</f>
        <v>#REF!</v>
      </c>
      <c r="T26" t="e">
        <f>+IF(#REF!&lt;&gt;"",#REF!,"")</f>
        <v>#REF!</v>
      </c>
      <c r="U26" t="e">
        <f>+RANK(#REF!,$H$6:$H$1048576,1)</f>
        <v>#REF!</v>
      </c>
      <c r="Y26" t="e">
        <f>TRIM(Tabla2[[#This Row],[CONDUCTOR]])</f>
        <v>#VALUE!</v>
      </c>
    </row>
    <row r="27" spans="2:25" x14ac:dyDescent="0.2">
      <c r="B27" s="245"/>
      <c r="C27" s="246"/>
      <c r="D27" s="247"/>
      <c r="E27" s="248"/>
      <c r="F27" s="248"/>
      <c r="G27" s="249"/>
      <c r="H27" s="250"/>
      <c r="I27" s="251"/>
      <c r="J27" s="341"/>
      <c r="K27" s="247"/>
      <c r="L27" s="252"/>
      <c r="M27" s="253"/>
      <c r="N27" s="203"/>
      <c r="O27" s="50" t="e">
        <f>+(#REF!*1)-V27</f>
        <v>#REF!</v>
      </c>
      <c r="P27" s="47" t="e">
        <f>+#REF!-O27-W27</f>
        <v>#REF!</v>
      </c>
      <c r="Q27" s="49" t="e">
        <f>+#REF!-O27</f>
        <v>#REF!</v>
      </c>
      <c r="R27" s="51" t="e">
        <f>+#REF!*$T$3</f>
        <v>#REF!</v>
      </c>
      <c r="S27" s="46" t="e">
        <f t="shared" si="6"/>
        <v>#REF!</v>
      </c>
      <c r="T27" t="e">
        <f>+IF(#REF!&lt;&gt;"",#REF!,"")</f>
        <v>#REF!</v>
      </c>
      <c r="U27" t="e">
        <f>+RANK(#REF!,$H$6:$H$1048576,1)</f>
        <v>#REF!</v>
      </c>
      <c r="Y27" t="e">
        <f>TRIM(Tabla2[[#This Row],[CONDUCTOR]])</f>
        <v>#VALUE!</v>
      </c>
    </row>
    <row r="28" spans="2:25" x14ac:dyDescent="0.2">
      <c r="B28" s="245"/>
      <c r="C28" s="246"/>
      <c r="D28" s="247"/>
      <c r="E28" s="248"/>
      <c r="F28" s="248"/>
      <c r="G28" s="249"/>
      <c r="H28" s="250"/>
      <c r="I28" s="251"/>
      <c r="J28" s="341"/>
      <c r="K28" s="247"/>
      <c r="L28" s="252"/>
      <c r="M28" s="253"/>
      <c r="N28" s="203"/>
      <c r="O28" s="50" t="e">
        <f>+(#REF!*1)-V28</f>
        <v>#REF!</v>
      </c>
      <c r="P28" s="47" t="e">
        <f>+#REF!-O28-W28</f>
        <v>#REF!</v>
      </c>
      <c r="Q28" s="49" t="e">
        <f>+#REF!-O28</f>
        <v>#REF!</v>
      </c>
      <c r="R28" s="51" t="e">
        <f>+#REF!*$T$3</f>
        <v>#REF!</v>
      </c>
      <c r="S28" s="46" t="e">
        <f t="shared" si="6"/>
        <v>#REF!</v>
      </c>
      <c r="T28" t="e">
        <f>+IF(#REF!&lt;&gt;"",#REF!,"")</f>
        <v>#REF!</v>
      </c>
      <c r="U28" t="e">
        <f>+RANK(#REF!,$H$6:$H$1048576,1)</f>
        <v>#REF!</v>
      </c>
      <c r="Y28" t="e">
        <f>TRIM(Tabla2[[#This Row],[CONDUCTOR]])</f>
        <v>#VALUE!</v>
      </c>
    </row>
    <row r="29" spans="2:25" x14ac:dyDescent="0.2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6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5" s="2" customFormat="1" x14ac:dyDescent="0.2">
      <c r="B30" s="245"/>
      <c r="C30" s="246"/>
      <c r="D30" s="247"/>
      <c r="E30" s="248"/>
      <c r="F30" s="248"/>
      <c r="G30" s="254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6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5"/>
      <c r="C31" s="246"/>
      <c r="D31" s="247"/>
      <c r="E31" s="248"/>
      <c r="F31" s="248"/>
      <c r="G31" s="254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6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5"/>
      <c r="C32" s="255"/>
      <c r="D32" s="247"/>
      <c r="E32" s="248"/>
      <c r="F32" s="248"/>
      <c r="G32" s="199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6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55"/>
      <c r="D33" s="247"/>
      <c r="E33" s="248"/>
      <c r="F33" s="248"/>
      <c r="G33" s="199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6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46"/>
      <c r="D34" s="247"/>
      <c r="E34" s="248"/>
      <c r="F34" s="248"/>
      <c r="G34" s="254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6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6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46"/>
      <c r="D36" s="247"/>
      <c r="E36" s="248"/>
      <c r="F36" s="248"/>
      <c r="G36" s="254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6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46"/>
      <c r="D37" s="247"/>
      <c r="E37" s="248"/>
      <c r="F37" s="248"/>
      <c r="G37" s="254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6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6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6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6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6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6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6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6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si="6"/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si="6"/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7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8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+(E89*1)-V50</f>
        <v>0</v>
      </c>
      <c r="P50" s="134">
        <f>+I89-O50-W50</f>
        <v>0</v>
      </c>
      <c r="Q50" s="11">
        <f>+G89-O50</f>
        <v>0</v>
      </c>
      <c r="R50">
        <f>+E89*$T$3</f>
        <v>0</v>
      </c>
      <c r="S50">
        <f t="shared" ref="S50:S55" si="10">+R50*550</f>
        <v>0</v>
      </c>
      <c r="T50" t="str">
        <f>+IF(K89&lt;&gt;"",K89,"")</f>
        <v/>
      </c>
      <c r="U50" t="e">
        <f>+RANK(H89,$H$6:$H$1048576,1)</f>
        <v>#N/A</v>
      </c>
    </row>
    <row r="51" spans="2:21" x14ac:dyDescent="0.2">
      <c r="B51" s="245"/>
      <c r="C51" s="255"/>
      <c r="D51" s="247"/>
      <c r="E51" s="248"/>
      <c r="F51" s="248"/>
      <c r="G51" s="256"/>
      <c r="H51" s="250"/>
      <c r="I51" s="221"/>
      <c r="J51" s="342"/>
      <c r="K51" s="247"/>
      <c r="L51" s="252"/>
      <c r="M51" s="253"/>
      <c r="N51" s="203"/>
      <c r="O51">
        <f>+(E90*1)-V51</f>
        <v>0</v>
      </c>
      <c r="P51" s="134">
        <f>+I90-O51-W51</f>
        <v>0</v>
      </c>
      <c r="Q51" s="11">
        <f>+G90-O51</f>
        <v>0</v>
      </c>
      <c r="R51">
        <f>+E90*$T$3</f>
        <v>0</v>
      </c>
      <c r="S51">
        <f t="shared" si="10"/>
        <v>0</v>
      </c>
      <c r="T51" t="str">
        <f>+IF(K90&lt;&gt;"",K90,"")</f>
        <v/>
      </c>
      <c r="U51" t="e">
        <f>+RANK(H90,$H$6:$H$1048576,1)</f>
        <v>#N/A</v>
      </c>
    </row>
    <row r="52" spans="2:21" x14ac:dyDescent="0.2">
      <c r="B52" s="245"/>
      <c r="C52" s="246"/>
      <c r="D52" s="247"/>
      <c r="E52" s="248"/>
      <c r="F52" s="248"/>
      <c r="G52" s="256"/>
      <c r="H52" s="250"/>
      <c r="I52" s="221"/>
      <c r="J52" s="342"/>
      <c r="K52" s="247"/>
      <c r="L52" s="252"/>
      <c r="M52" s="253"/>
      <c r="N52" s="203"/>
      <c r="O52">
        <f>+(E91*1)-V52</f>
        <v>0</v>
      </c>
      <c r="P52" s="134">
        <f>+I91-O52-W52</f>
        <v>0</v>
      </c>
      <c r="Q52" s="11">
        <f>+G91-O52</f>
        <v>0</v>
      </c>
      <c r="R52">
        <f>+E91*$T$3</f>
        <v>0</v>
      </c>
      <c r="S52">
        <f t="shared" si="10"/>
        <v>0</v>
      </c>
      <c r="T52" t="str">
        <f>+IF(K91&lt;&gt;"",K91,"")</f>
        <v/>
      </c>
      <c r="U52" t="e">
        <f>+RANK(H91,$H$6:$H$1048576,1)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21"/>
      <c r="J53" s="342"/>
      <c r="K53" s="247"/>
      <c r="L53" s="252"/>
      <c r="M53" s="253"/>
      <c r="N53" s="203"/>
      <c r="O53">
        <f>+(E92*1)-V53</f>
        <v>0</v>
      </c>
      <c r="P53" s="134">
        <f>+I92-O53-W53</f>
        <v>0</v>
      </c>
      <c r="Q53" s="11">
        <f>+G92-O53</f>
        <v>0</v>
      </c>
      <c r="R53">
        <f>+E92*$T$3</f>
        <v>0</v>
      </c>
      <c r="S53">
        <f t="shared" si="10"/>
        <v>0</v>
      </c>
      <c r="T53" t="str">
        <f>+IF(K92&lt;&gt;"",K92,"")</f>
        <v/>
      </c>
      <c r="U53" t="e">
        <f>+RANK(H92,$H$6:$H$1048576,1)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21"/>
      <c r="J54" s="342"/>
      <c r="K54" s="247"/>
      <c r="L54" s="252"/>
      <c r="M54" s="253"/>
      <c r="N54" s="203"/>
      <c r="O54">
        <f>+(E93*1)-V54</f>
        <v>0</v>
      </c>
      <c r="P54" s="134">
        <f>+I93-O54-W54</f>
        <v>0</v>
      </c>
      <c r="Q54" s="11">
        <f>+G93-O54</f>
        <v>0</v>
      </c>
      <c r="R54">
        <f>+E93*$T$3</f>
        <v>0</v>
      </c>
      <c r="S54">
        <f t="shared" si="10"/>
        <v>0</v>
      </c>
      <c r="T54" t="str">
        <f>+IF(K93&lt;&gt;"",K93,"")</f>
        <v/>
      </c>
      <c r="U54" t="e">
        <f>+RANK(H93,$H$6:$H$1048576,1)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>+(E94*1)-V55</f>
        <v>0</v>
      </c>
      <c r="P55" s="134">
        <f>+I94-O55-W55</f>
        <v>0</v>
      </c>
      <c r="Q55" s="11">
        <f>+G94-O55</f>
        <v>0</v>
      </c>
      <c r="R55">
        <f>+E94*$T$3</f>
        <v>0</v>
      </c>
      <c r="S55">
        <f t="shared" si="10"/>
        <v>0</v>
      </c>
      <c r="T55" t="str">
        <f>+IF(K94&lt;&gt;"",K94,"")</f>
        <v/>
      </c>
      <c r="U55" t="e">
        <f>+RANK(H94,$H$6:$H$1048576,1)</f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7"/>
      <c r="I56" s="222"/>
      <c r="J56" s="343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55"/>
      <c r="D58" s="247"/>
      <c r="E58" s="248"/>
      <c r="F58" s="248"/>
      <c r="G58" s="199"/>
      <c r="H58" s="257"/>
      <c r="I58" s="222"/>
      <c r="J58" s="343"/>
      <c r="K58" s="247"/>
      <c r="L58" s="252"/>
      <c r="M58" s="253"/>
      <c r="N58" s="258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55"/>
      <c r="D59" s="247"/>
      <c r="E59" s="248"/>
      <c r="F59" s="248"/>
      <c r="G59" s="254"/>
      <c r="H59" s="257"/>
      <c r="I59" s="222"/>
      <c r="J59" s="343"/>
      <c r="K59" s="247"/>
      <c r="L59" s="252"/>
      <c r="M59" s="253"/>
      <c r="N59" s="258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21"/>
      <c r="J60" s="342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21"/>
      <c r="J61" s="342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55"/>
      <c r="D63" s="247"/>
      <c r="E63" s="248"/>
      <c r="F63" s="248"/>
      <c r="G63" s="199"/>
      <c r="H63" s="257"/>
      <c r="I63" s="222"/>
      <c r="J63" s="343"/>
      <c r="K63" s="247"/>
      <c r="L63" s="203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6"/>
      <c r="H65" s="250"/>
      <c r="I65" s="221"/>
      <c r="J65" s="342"/>
      <c r="K65" s="247"/>
      <c r="L65" s="252"/>
      <c r="M65" s="253"/>
      <c r="N65" s="258"/>
      <c r="O65">
        <f>+(E58*1)-V65</f>
        <v>0</v>
      </c>
      <c r="P65" s="134">
        <f>+I58-O65-W65</f>
        <v>0</v>
      </c>
      <c r="Q65" s="11">
        <f>+G58-O65</f>
        <v>0</v>
      </c>
      <c r="R65">
        <f>+E58*$T$3</f>
        <v>0</v>
      </c>
      <c r="S65">
        <f t="shared" si="11"/>
        <v>0</v>
      </c>
      <c r="T65" t="str">
        <f>+IF(K58&lt;&gt;"",K58,"")</f>
        <v/>
      </c>
      <c r="U65" t="e">
        <f>+RANK(H58,$H$6:$H$1048576,1)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+(E59*1)-V66</f>
        <v>0</v>
      </c>
      <c r="P66" s="134">
        <f>+I59-O66-W66</f>
        <v>0</v>
      </c>
      <c r="Q66" s="11">
        <f>+G59-O66</f>
        <v>0</v>
      </c>
      <c r="R66">
        <f>+E59*$T$3</f>
        <v>0</v>
      </c>
      <c r="S66">
        <f t="shared" si="11"/>
        <v>0</v>
      </c>
      <c r="T66" t="str">
        <f>+IF(K59&lt;&gt;"",K59,"")</f>
        <v/>
      </c>
      <c r="U66" t="e">
        <f>+RANK(H59,$H$6:$H$1048576,1)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21"/>
      <c r="J67" s="342"/>
      <c r="K67" s="247"/>
      <c r="L67" s="252"/>
      <c r="M67" s="253"/>
      <c r="N67" s="258"/>
      <c r="O67">
        <f>+(E60*1)-V67</f>
        <v>0</v>
      </c>
      <c r="P67" s="134">
        <f>+I60-O67-W67</f>
        <v>0</v>
      </c>
      <c r="Q67" s="11">
        <f>+G60-O67</f>
        <v>0</v>
      </c>
      <c r="R67">
        <f>+E60*$T$3</f>
        <v>0</v>
      </c>
      <c r="S67">
        <f t="shared" si="11"/>
        <v>0</v>
      </c>
      <c r="T67" t="str">
        <f>+IF(K60&lt;&gt;"",K60,"")</f>
        <v/>
      </c>
      <c r="U67" t="e">
        <f>+RANK(H60,$H$6:$H$1048576,1)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+(E61*1)-V68</f>
        <v>0</v>
      </c>
      <c r="P68" s="134">
        <f>+I61-O68-W68</f>
        <v>0</v>
      </c>
      <c r="Q68" s="11">
        <f>+G61-O68</f>
        <v>0</v>
      </c>
      <c r="R68">
        <f>+E61*$T$3</f>
        <v>0</v>
      </c>
      <c r="S68">
        <f t="shared" si="11"/>
        <v>0</v>
      </c>
      <c r="T68" t="str">
        <f>+IF(K61&lt;&gt;"",K61,"")</f>
        <v/>
      </c>
      <c r="U68" t="e">
        <f>+RANK(H61,$H$6:$H$1048576,1)</f>
        <v>#N/A</v>
      </c>
    </row>
    <row r="69" spans="2:21" x14ac:dyDescent="0.2">
      <c r="B69" s="245"/>
      <c r="C69" s="246"/>
      <c r="D69" s="247"/>
      <c r="E69" s="248"/>
      <c r="F69" s="248"/>
      <c r="G69" s="256"/>
      <c r="H69" s="250"/>
      <c r="I69" s="221"/>
      <c r="J69" s="342"/>
      <c r="K69" s="247"/>
      <c r="L69" s="252"/>
      <c r="M69" s="253"/>
      <c r="N69" s="258"/>
      <c r="O69">
        <f>+(E62*1)-V69</f>
        <v>0</v>
      </c>
      <c r="P69" s="134">
        <f>+I62-O69-W69</f>
        <v>0</v>
      </c>
      <c r="Q69" s="11">
        <f>+G62-O69</f>
        <v>0</v>
      </c>
      <c r="R69">
        <f>+E62*$T$3</f>
        <v>0</v>
      </c>
      <c r="S69">
        <f t="shared" si="11"/>
        <v>0</v>
      </c>
      <c r="T69" t="str">
        <f>+IF(K62&lt;&gt;"",K62,"")</f>
        <v/>
      </c>
      <c r="U69" t="e">
        <f>+RANK(H62,$H$6:$H$1048576,1)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03"/>
      <c r="M71" s="253"/>
      <c r="N71" s="258"/>
    </row>
    <row r="72" spans="2:21" x14ac:dyDescent="0.2">
      <c r="B72" s="245"/>
      <c r="C72" s="255"/>
      <c r="D72" s="247"/>
      <c r="E72" s="248"/>
      <c r="F72" s="248"/>
      <c r="G72" s="199"/>
      <c r="H72" s="257"/>
      <c r="I72" s="222"/>
      <c r="J72" s="343"/>
      <c r="K72" s="247"/>
      <c r="L72" s="203"/>
      <c r="M72" s="253"/>
      <c r="N72" s="258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58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03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03"/>
      <c r="M76" s="253"/>
      <c r="N76" s="258"/>
    </row>
    <row r="77" spans="2:21" x14ac:dyDescent="0.2">
      <c r="B77" s="245"/>
      <c r="C77" s="255"/>
      <c r="D77" s="247"/>
      <c r="E77" s="248"/>
      <c r="F77" s="248"/>
      <c r="G77" s="254"/>
      <c r="H77" s="259"/>
      <c r="I77" s="260"/>
      <c r="J77" s="344"/>
      <c r="K77" s="247"/>
      <c r="L77" s="203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6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55"/>
      <c r="D96" s="247"/>
      <c r="E96" s="248"/>
      <c r="F96" s="248"/>
      <c r="G96" s="199"/>
      <c r="H96" s="257"/>
      <c r="I96" s="222"/>
      <c r="J96" s="343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6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03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03"/>
    </row>
    <row r="102" spans="2:14" x14ac:dyDescent="0.2">
      <c r="B102" s="245"/>
      <c r="C102" s="246"/>
      <c r="D102" s="245"/>
      <c r="E102" s="248"/>
      <c r="F102" s="248"/>
      <c r="G102" s="261"/>
      <c r="H102" s="250"/>
      <c r="I102" s="221"/>
      <c r="J102" s="342"/>
      <c r="K102" s="247"/>
      <c r="L102" s="252"/>
      <c r="M102" s="253"/>
      <c r="N102" s="203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55"/>
      <c r="D107" s="247"/>
      <c r="E107" s="248"/>
      <c r="F107" s="248"/>
      <c r="G107" s="199"/>
      <c r="H107" s="257"/>
      <c r="I107" s="222"/>
      <c r="J107" s="343"/>
      <c r="K107" s="262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55"/>
      <c r="D109" s="247"/>
      <c r="E109" s="248"/>
      <c r="F109" s="248"/>
      <c r="G109" s="199"/>
      <c r="H109" s="250"/>
      <c r="I109" s="221"/>
      <c r="J109" s="342"/>
      <c r="K109" s="247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46"/>
      <c r="D111" s="247"/>
      <c r="E111" s="248"/>
      <c r="F111" s="248"/>
      <c r="G111" s="254"/>
      <c r="H111" s="20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0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55"/>
      <c r="D116" s="247"/>
      <c r="E116" s="248"/>
      <c r="F116" s="248"/>
      <c r="G116" s="199"/>
      <c r="H116" s="20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0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55"/>
      <c r="D118" s="247"/>
      <c r="E118" s="248"/>
      <c r="F118" s="248"/>
      <c r="G118" s="199"/>
      <c r="H118" s="20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0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55"/>
      <c r="D120" s="247"/>
      <c r="E120" s="248"/>
      <c r="F120" s="248"/>
      <c r="G120" s="199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55"/>
      <c r="D121" s="247"/>
      <c r="E121" s="248"/>
      <c r="F121" s="248"/>
      <c r="G121" s="199"/>
      <c r="H121" s="20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55"/>
      <c r="D122" s="245"/>
      <c r="E122" s="248"/>
      <c r="F122" s="248"/>
      <c r="G122" s="201"/>
      <c r="H122" s="20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0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55"/>
      <c r="D132" s="247"/>
      <c r="E132" s="248"/>
      <c r="F132" s="248"/>
      <c r="G132" s="199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50"/>
      <c r="I136" s="251"/>
      <c r="J136" s="341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46"/>
      <c r="D139" s="247"/>
      <c r="E139" s="248"/>
      <c r="F139" s="248"/>
      <c r="G139" s="254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46"/>
      <c r="D140" s="247"/>
      <c r="E140" s="248"/>
      <c r="F140" s="248"/>
      <c r="G140" s="254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58"/>
    </row>
    <row r="144" spans="2:14" x14ac:dyDescent="0.2">
      <c r="B144" s="245"/>
      <c r="C144" s="246"/>
      <c r="D144" s="247"/>
      <c r="E144" s="248"/>
      <c r="F144" s="248"/>
      <c r="G144" s="254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55"/>
      <c r="D148" s="247"/>
      <c r="E148" s="248"/>
      <c r="F148" s="248"/>
      <c r="G148" s="199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03"/>
      <c r="M173" s="253"/>
      <c r="N173" s="258"/>
    </row>
    <row r="174" spans="2:14" x14ac:dyDescent="0.2">
      <c r="B174" s="245"/>
      <c r="C174" s="246"/>
      <c r="D174" s="247"/>
      <c r="E174" s="248"/>
      <c r="F174" s="248"/>
      <c r="G174" s="254"/>
      <c r="H174" s="250"/>
      <c r="I174" s="221"/>
      <c r="J174" s="342"/>
      <c r="K174" s="247"/>
      <c r="L174" s="252"/>
      <c r="M174" s="253"/>
      <c r="N174" s="258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44"/>
      <c r="I176" s="222"/>
      <c r="J176" s="343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44"/>
      <c r="I178" s="222"/>
      <c r="J178" s="343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03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03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03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03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55"/>
      <c r="D185" s="247"/>
      <c r="E185" s="248"/>
      <c r="F185" s="248"/>
      <c r="G185" s="199"/>
      <c r="H185" s="244"/>
      <c r="I185" s="222"/>
      <c r="J185" s="343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03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03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44"/>
      <c r="I191" s="222"/>
      <c r="J191" s="343"/>
      <c r="K191" s="247"/>
      <c r="L191" s="203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03"/>
      <c r="M197" s="253"/>
      <c r="N197" s="203"/>
    </row>
    <row r="198" spans="2:14" x14ac:dyDescent="0.2">
      <c r="B198" s="245"/>
      <c r="C198" s="246"/>
      <c r="D198" s="245"/>
      <c r="E198" s="248"/>
      <c r="F198" s="248"/>
      <c r="G198" s="261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46"/>
      <c r="D202" s="245"/>
      <c r="E202" s="248"/>
      <c r="F202" s="248"/>
      <c r="G202" s="261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5"/>
      <c r="E204" s="248"/>
      <c r="F204" s="248"/>
      <c r="G204" s="261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55"/>
      <c r="D207" s="247"/>
      <c r="E207" s="248"/>
      <c r="F207" s="248"/>
      <c r="G207" s="261"/>
      <c r="H207" s="263"/>
      <c r="I207" s="260"/>
      <c r="J207" s="344"/>
      <c r="K207" s="247"/>
      <c r="L207" s="252"/>
      <c r="M207" s="253"/>
      <c r="N207" s="203"/>
    </row>
    <row r="208" spans="2:14" x14ac:dyDescent="0.2">
      <c r="B208" s="245"/>
      <c r="C208" s="246"/>
      <c r="D208" s="245"/>
      <c r="E208" s="248"/>
      <c r="F208" s="248"/>
      <c r="G208" s="261"/>
      <c r="H208" s="200"/>
      <c r="I208" s="221"/>
      <c r="J208" s="342"/>
      <c r="K208" s="245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55"/>
      <c r="D241" s="247"/>
      <c r="E241" s="248"/>
      <c r="F241" s="248"/>
      <c r="G241" s="261"/>
      <c r="H241" s="200"/>
      <c r="I241" s="221"/>
      <c r="J241" s="342"/>
      <c r="K241" s="245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62"/>
      <c r="L242" s="252"/>
      <c r="M242" s="253"/>
      <c r="N242" s="203"/>
    </row>
    <row r="243" spans="2:14" x14ac:dyDescent="0.2">
      <c r="B243" s="245"/>
      <c r="C243" s="255"/>
      <c r="D243" s="245"/>
      <c r="E243" s="248"/>
      <c r="F243" s="248"/>
      <c r="G243" s="201"/>
      <c r="H243" s="200"/>
      <c r="I243" s="221"/>
      <c r="J243" s="342"/>
      <c r="K243" s="262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5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5"/>
      <c r="E247" s="248"/>
      <c r="F247" s="248"/>
      <c r="G247" s="261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55"/>
      <c r="D248" s="247"/>
      <c r="E248" s="248"/>
      <c r="F248" s="248"/>
      <c r="G248" s="199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55"/>
      <c r="D253" s="245"/>
      <c r="E253" s="248"/>
      <c r="F253" s="248"/>
      <c r="G253" s="201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55"/>
      <c r="D254" s="245"/>
      <c r="E254" s="248"/>
      <c r="F254" s="248"/>
      <c r="G254" s="261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55"/>
      <c r="D258" s="247"/>
      <c r="E258" s="248"/>
      <c r="F258" s="248"/>
      <c r="G258" s="199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5"/>
      <c r="E259" s="248"/>
      <c r="F259" s="248"/>
      <c r="G259" s="261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5"/>
      <c r="E261" s="248"/>
      <c r="F261" s="248"/>
      <c r="G261" s="201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199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5"/>
      <c r="E264" s="248"/>
      <c r="F264" s="248"/>
      <c r="G264" s="261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55"/>
      <c r="D265" s="247"/>
      <c r="E265" s="248"/>
      <c r="F265" s="248"/>
      <c r="G265" s="199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2"/>
      <c r="I267" s="223"/>
      <c r="J267" s="345"/>
      <c r="K267" s="264"/>
      <c r="L267" s="252"/>
      <c r="M267" s="253"/>
      <c r="N267" s="265"/>
    </row>
    <row r="268" spans="2:14" x14ac:dyDescent="0.2">
      <c r="B268" s="245"/>
      <c r="C268" s="246"/>
      <c r="D268" s="247"/>
      <c r="E268" s="248"/>
      <c r="F268" s="248"/>
      <c r="G268" s="254"/>
      <c r="H268" s="202"/>
      <c r="I268" s="223"/>
      <c r="J268" s="345"/>
      <c r="K268" s="264"/>
      <c r="L268" s="252"/>
      <c r="M268" s="253"/>
      <c r="N268" s="265"/>
    </row>
    <row r="269" spans="2:14" x14ac:dyDescent="0.2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2">
      <c r="B270" s="245"/>
      <c r="C270" s="246"/>
      <c r="D270" s="247"/>
      <c r="E270" s="248"/>
      <c r="F270" s="248"/>
      <c r="G270" s="254"/>
      <c r="H270" s="202"/>
      <c r="I270" s="223"/>
      <c r="J270" s="345"/>
      <c r="K270" s="266"/>
      <c r="L270" s="252"/>
      <c r="M270" s="253"/>
      <c r="N270" s="265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6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4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5"/>
      <c r="E282" s="248"/>
      <c r="F282" s="248"/>
      <c r="G282" s="261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7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7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55"/>
      <c r="D355" s="247"/>
      <c r="E355" s="248"/>
      <c r="F355" s="248"/>
      <c r="G355" s="199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55"/>
      <c r="D359" s="247"/>
      <c r="E359" s="248"/>
      <c r="F359" s="248"/>
      <c r="G359" s="199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55"/>
      <c r="D360" s="247"/>
      <c r="E360" s="248"/>
      <c r="F360" s="248"/>
      <c r="G360" s="199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55"/>
      <c r="D366" s="247"/>
      <c r="E366" s="248"/>
      <c r="F366" s="248"/>
      <c r="G366" s="199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55"/>
      <c r="D371" s="247"/>
      <c r="E371" s="248"/>
      <c r="F371" s="248"/>
      <c r="G371" s="199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55"/>
      <c r="D372" s="247"/>
      <c r="E372" s="248"/>
      <c r="F372" s="248"/>
      <c r="G372" s="199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5"/>
      <c r="E382" s="248"/>
      <c r="F382" s="248"/>
      <c r="G382" s="261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5"/>
      <c r="E383" s="248"/>
      <c r="F383" s="248"/>
      <c r="G383" s="261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5"/>
      <c r="E386" s="248"/>
      <c r="F386" s="248"/>
      <c r="G386" s="261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5"/>
      <c r="E387" s="248"/>
      <c r="F387" s="248"/>
      <c r="G387" s="261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55"/>
      <c r="D397" s="247"/>
      <c r="E397" s="248"/>
      <c r="F397" s="248"/>
      <c r="G397" s="199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4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4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5"/>
      <c r="E417" s="248"/>
      <c r="F417" s="248"/>
      <c r="G417" s="261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55"/>
      <c r="D423" s="247"/>
      <c r="E423" s="248"/>
      <c r="F423" s="248"/>
      <c r="G423" s="199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55"/>
      <c r="D426" s="247"/>
      <c r="E426" s="248"/>
      <c r="F426" s="248"/>
      <c r="G426" s="199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68"/>
      <c r="F430" s="268"/>
      <c r="G430" s="269"/>
      <c r="H430" s="270"/>
      <c r="I430" s="271"/>
      <c r="J430" s="346"/>
      <c r="K430" s="266"/>
      <c r="L430" s="252"/>
      <c r="M430" s="253"/>
      <c r="N430" s="265"/>
    </row>
    <row r="431" spans="2:14" x14ac:dyDescent="0.2">
      <c r="B431" s="245"/>
      <c r="C431" s="255"/>
      <c r="D431" s="247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55"/>
      <c r="D433" s="247"/>
      <c r="E433" s="248"/>
      <c r="F433" s="248"/>
      <c r="G433" s="199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5"/>
      <c r="E434" s="248"/>
      <c r="F434" s="248"/>
      <c r="G434" s="261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4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5"/>
      <c r="E469" s="248"/>
      <c r="F469" s="248"/>
      <c r="G469" s="261"/>
      <c r="H469" s="202"/>
      <c r="I469" s="223"/>
      <c r="J469" s="345"/>
      <c r="K469" s="264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4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4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4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55"/>
      <c r="D482" s="247"/>
      <c r="E482" s="248"/>
      <c r="F482" s="248"/>
      <c r="G482" s="199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4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7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5"/>
      <c r="E502" s="248"/>
      <c r="F502" s="272"/>
      <c r="G502" s="261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55"/>
      <c r="D506" s="247"/>
      <c r="E506" s="248"/>
      <c r="F506" s="248"/>
      <c r="G506" s="199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55"/>
      <c r="D508" s="247"/>
      <c r="E508" s="248"/>
      <c r="F508" s="248"/>
      <c r="G508" s="199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55"/>
      <c r="D509" s="247"/>
      <c r="E509" s="248"/>
      <c r="F509" s="248"/>
      <c r="G509" s="199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5"/>
      <c r="E519" s="248"/>
      <c r="F519" s="248"/>
      <c r="G519" s="261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55"/>
      <c r="D522" s="247"/>
      <c r="E522" s="248"/>
      <c r="F522" s="248"/>
      <c r="G522" s="199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5"/>
      <c r="E525" s="248"/>
      <c r="F525" s="248"/>
      <c r="G525" s="261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5"/>
      <c r="E537" s="248"/>
      <c r="F537" s="248"/>
      <c r="G537" s="261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55"/>
      <c r="D545" s="245"/>
      <c r="E545" s="248"/>
      <c r="F545" s="248"/>
      <c r="G545" s="20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55"/>
      <c r="D551" s="245"/>
      <c r="E551" s="248"/>
      <c r="F551" s="248"/>
      <c r="G551" s="201"/>
      <c r="H551" s="202"/>
      <c r="I551" s="223"/>
      <c r="J551" s="345"/>
      <c r="K551" s="264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55"/>
      <c r="D553" s="247"/>
      <c r="E553" s="248"/>
      <c r="F553" s="248"/>
      <c r="G553" s="199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55"/>
      <c r="D556" s="247"/>
      <c r="E556" s="248"/>
      <c r="F556" s="248"/>
      <c r="G556" s="199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55"/>
      <c r="D557" s="247"/>
      <c r="E557" s="248"/>
      <c r="F557" s="248"/>
      <c r="G557" s="199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55"/>
      <c r="D561" s="247"/>
      <c r="E561" s="248"/>
      <c r="F561" s="248"/>
      <c r="G561" s="199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7"/>
      <c r="E564" s="248"/>
      <c r="F564" s="248"/>
      <c r="G564" s="199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5"/>
      <c r="E573" s="248"/>
      <c r="F573" s="248"/>
      <c r="G573" s="261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5"/>
      <c r="E583" s="248"/>
      <c r="F583" s="248"/>
      <c r="G583" s="201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55"/>
      <c r="D589" s="247"/>
      <c r="E589" s="248"/>
      <c r="F589" s="248"/>
      <c r="G589" s="199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55"/>
      <c r="D590" s="247"/>
      <c r="E590" s="248"/>
      <c r="F590" s="248"/>
      <c r="G590" s="199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4"/>
      <c r="L593" s="252"/>
      <c r="M593" s="253"/>
      <c r="N593" s="265"/>
    </row>
    <row r="594" spans="2:14" x14ac:dyDescent="0.2">
      <c r="B594" s="245"/>
      <c r="C594" s="255"/>
      <c r="D594" s="247"/>
      <c r="E594" s="248"/>
      <c r="F594" s="248"/>
      <c r="G594" s="199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4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4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55"/>
      <c r="D620" s="247"/>
      <c r="E620" s="248"/>
      <c r="F620" s="248"/>
      <c r="G620" s="199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7"/>
      <c r="E621" s="248"/>
      <c r="F621" s="248"/>
      <c r="G621" s="199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55"/>
      <c r="D636" s="247"/>
      <c r="E636" s="248"/>
      <c r="F636" s="248"/>
      <c r="G636" s="199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55"/>
      <c r="D652" s="247"/>
      <c r="E652" s="248"/>
      <c r="F652" s="248"/>
      <c r="G652" s="199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5"/>
      <c r="E656" s="248"/>
      <c r="F656" s="248"/>
      <c r="G656" s="261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55"/>
      <c r="D661" s="247"/>
      <c r="E661" s="248"/>
      <c r="F661" s="248"/>
      <c r="G661" s="199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5"/>
      <c r="E664" s="248"/>
      <c r="F664" s="248"/>
      <c r="G664" s="261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4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4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5"/>
      <c r="E680" s="248"/>
      <c r="F680" s="248"/>
      <c r="G680" s="201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55"/>
      <c r="D684" s="247"/>
      <c r="E684" s="248"/>
      <c r="F684" s="248"/>
      <c r="G684" s="199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55"/>
      <c r="D685" s="247"/>
      <c r="E685" s="248"/>
      <c r="F685" s="248"/>
      <c r="G685" s="199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55"/>
      <c r="D687" s="247"/>
      <c r="E687" s="248"/>
      <c r="F687" s="248"/>
      <c r="G687" s="199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4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55"/>
      <c r="D719" s="247"/>
      <c r="E719" s="248"/>
      <c r="F719" s="248"/>
      <c r="G719" s="199"/>
      <c r="H719" s="202"/>
      <c r="I719" s="223"/>
      <c r="J719" s="345"/>
      <c r="K719" s="266"/>
      <c r="L719" s="252"/>
      <c r="M719" s="253"/>
      <c r="N719" s="273"/>
    </row>
    <row r="720" spans="2:14" x14ac:dyDescent="0.2">
      <c r="B720" s="245"/>
      <c r="C720" s="255"/>
      <c r="D720" s="245"/>
      <c r="E720" s="248"/>
      <c r="F720" s="248"/>
      <c r="G720" s="201"/>
      <c r="H720" s="202"/>
      <c r="I720" s="223"/>
      <c r="J720" s="345"/>
      <c r="K720" s="266"/>
      <c r="L720" s="252"/>
      <c r="M720" s="253"/>
      <c r="N720" s="203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03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03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4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55"/>
      <c r="D734" s="247"/>
      <c r="E734" s="248"/>
      <c r="F734" s="248"/>
      <c r="G734" s="199"/>
      <c r="H734" s="202"/>
      <c r="I734" s="223"/>
      <c r="J734" s="345"/>
      <c r="K734" s="266"/>
      <c r="L734" s="252"/>
      <c r="M734" s="253"/>
      <c r="N734" s="203"/>
    </row>
    <row r="735" spans="2:14" x14ac:dyDescent="0.2">
      <c r="B735" s="245"/>
      <c r="C735" s="255"/>
      <c r="D735" s="247"/>
      <c r="E735" s="248"/>
      <c r="F735" s="248"/>
      <c r="G735" s="199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5"/>
      <c r="E739" s="248"/>
      <c r="F739" s="248"/>
      <c r="G739" s="26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5"/>
      <c r="E744" s="248"/>
      <c r="F744" s="248"/>
      <c r="G744" s="261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5"/>
      <c r="E745" s="248"/>
      <c r="F745" s="248"/>
      <c r="G745" s="201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254"/>
      <c r="H757" s="202"/>
      <c r="I757" s="223"/>
      <c r="J757" s="345"/>
      <c r="K757" s="264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55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55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7"/>
      <c r="E764" s="248"/>
      <c r="F764" s="248"/>
      <c r="G764" s="199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7"/>
      <c r="E765" s="248"/>
      <c r="F765" s="248"/>
      <c r="G765" s="199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55"/>
      <c r="D770" s="247"/>
      <c r="E770" s="248"/>
      <c r="F770" s="248"/>
      <c r="G770" s="199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55"/>
      <c r="D771" s="247"/>
      <c r="E771" s="248"/>
      <c r="F771" s="248"/>
      <c r="G771" s="199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4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4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5"/>
      <c r="E787" s="248"/>
      <c r="F787" s="248"/>
      <c r="G787" s="261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55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199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5"/>
      <c r="E816" s="248"/>
      <c r="F816" s="248"/>
      <c r="G816" s="261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4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5"/>
      <c r="E825" s="248"/>
      <c r="F825" s="248"/>
      <c r="G825" s="261"/>
      <c r="H825" s="202"/>
      <c r="I825" s="223"/>
      <c r="J825" s="345"/>
      <c r="K825" s="264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7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7"/>
      <c r="L834" s="252"/>
      <c r="M834" s="253"/>
      <c r="N834" s="203"/>
    </row>
    <row r="835" spans="2:14" x14ac:dyDescent="0.2">
      <c r="B835" s="245"/>
      <c r="C835" s="255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55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55"/>
      <c r="D847" s="247"/>
      <c r="E847" s="248"/>
      <c r="F847" s="248"/>
      <c r="G847" s="199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55"/>
      <c r="D848" s="247"/>
      <c r="E848" s="248"/>
      <c r="F848" s="248"/>
      <c r="G848" s="199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199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74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5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7"/>
      <c r="L881" s="252"/>
      <c r="M881" s="253"/>
      <c r="N881" s="203"/>
    </row>
    <row r="882" spans="2:14" x14ac:dyDescent="0.2">
      <c r="B882" s="245"/>
      <c r="C882" s="255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199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199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55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55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199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46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199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46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55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55"/>
      <c r="D927" s="247"/>
      <c r="E927" s="248"/>
      <c r="F927" s="248"/>
      <c r="G927" s="199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199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199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199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199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199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199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5"/>
      <c r="E993" s="248"/>
      <c r="F993" s="248"/>
      <c r="G993" s="261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5"/>
      <c r="E994" s="248"/>
      <c r="F994" s="248"/>
      <c r="G994" s="261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01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4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01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5"/>
      <c r="E1027" s="248"/>
      <c r="F1027" s="248"/>
      <c r="G1027" s="261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5"/>
      <c r="E1040" s="248"/>
      <c r="F1040" s="248"/>
      <c r="G1040" s="261"/>
      <c r="H1040" s="202"/>
      <c r="I1040" s="223"/>
      <c r="J1040" s="345"/>
      <c r="K1040" s="264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03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199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5"/>
      <c r="E1068" s="275"/>
      <c r="F1068" s="275"/>
      <c r="G1068" s="205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199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5"/>
      <c r="E1076" s="248"/>
      <c r="F1076" s="248"/>
      <c r="G1076" s="205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199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199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199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03"/>
      <c r="M1097" s="253"/>
      <c r="N1097" s="203"/>
    </row>
    <row r="1098" spans="2:14" x14ac:dyDescent="0.2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5"/>
      <c r="E1107" s="248"/>
      <c r="F1107" s="248"/>
      <c r="G1107" s="206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76"/>
      <c r="D1118" s="276"/>
      <c r="E1118" s="248"/>
      <c r="F1118" s="277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5"/>
      <c r="E1120" s="248"/>
      <c r="F1120" s="248"/>
      <c r="G1120" s="201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4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74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61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74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199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61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4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4"/>
    </row>
    <row r="1137" spans="2:14" x14ac:dyDescent="0.2">
      <c r="B1137" s="245"/>
      <c r="C1137" s="255"/>
      <c r="D1137" s="247"/>
      <c r="E1137" s="248"/>
      <c r="F1137" s="248"/>
      <c r="G1137" s="199"/>
      <c r="H1137" s="202"/>
      <c r="I1137" s="223"/>
      <c r="J1137" s="345"/>
      <c r="K1137" s="266"/>
      <c r="L1137" s="252"/>
      <c r="M1137" s="253"/>
      <c r="N1137" s="204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5"/>
      <c r="E1142" s="275"/>
      <c r="F1142" s="275"/>
      <c r="G1142" s="205"/>
      <c r="H1142" s="202"/>
      <c r="I1142" s="223"/>
      <c r="J1142" s="345"/>
      <c r="K1142" s="274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7"/>
      <c r="E1144" s="248"/>
      <c r="F1144" s="248"/>
      <c r="G1144" s="199"/>
      <c r="H1144" s="202"/>
      <c r="I1144" s="223"/>
      <c r="J1144" s="345"/>
      <c r="K1144" s="266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199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199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199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5"/>
      <c r="E1169" s="248"/>
      <c r="F1169" s="248"/>
      <c r="G1169" s="261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78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78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78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78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5"/>
      <c r="E1181" s="275"/>
      <c r="F1181" s="275"/>
      <c r="G1181" s="205"/>
      <c r="H1181" s="202"/>
      <c r="I1181" s="223"/>
      <c r="J1181" s="345"/>
      <c r="K1181" s="279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79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79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199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199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05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01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5"/>
      <c r="E1195" s="248"/>
      <c r="F1195" s="248"/>
      <c r="G1195" s="206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5"/>
      <c r="E1197" s="275"/>
      <c r="F1197" s="275"/>
      <c r="G1197" s="205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03"/>
      <c r="M1211" s="253"/>
      <c r="N1211" s="204"/>
    </row>
    <row r="1212" spans="2:14" x14ac:dyDescent="0.2">
      <c r="B1212" s="245"/>
      <c r="C1212" s="280"/>
      <c r="D1212" s="281"/>
      <c r="E1212" s="275"/>
      <c r="F1212" s="275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199"/>
      <c r="H1214" s="202"/>
      <c r="I1214" s="223"/>
      <c r="J1214" s="345"/>
      <c r="K1214" s="279"/>
      <c r="L1214" s="203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199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7"/>
      <c r="I1217" s="221"/>
      <c r="J1217" s="342"/>
      <c r="K1217" s="279"/>
      <c r="L1217" s="252"/>
      <c r="M1217" s="253"/>
      <c r="N1217" s="208"/>
    </row>
    <row r="1218" spans="2:14" x14ac:dyDescent="0.2">
      <c r="B1218" s="245"/>
      <c r="C1218" s="255"/>
      <c r="D1218" s="247"/>
      <c r="E1218" s="248"/>
      <c r="F1218" s="248"/>
      <c r="G1218" s="254"/>
      <c r="H1218" s="207"/>
      <c r="I1218" s="221"/>
      <c r="J1218" s="342"/>
      <c r="K1218" s="279"/>
      <c r="L1218" s="252"/>
      <c r="M1218" s="253"/>
      <c r="N1218" s="208"/>
    </row>
    <row r="1219" spans="2:14" x14ac:dyDescent="0.2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2">
      <c r="B1220" s="245"/>
      <c r="C1220" s="246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2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76"/>
      <c r="D1222" s="276"/>
      <c r="E1222" s="277"/>
      <c r="F1222" s="277"/>
      <c r="G1222" s="209"/>
      <c r="H1222" s="207"/>
      <c r="I1222" s="221"/>
      <c r="J1222" s="342"/>
      <c r="K1222" s="282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55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5"/>
      <c r="E1226" s="248"/>
      <c r="F1226" s="248"/>
      <c r="G1226" s="261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46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7"/>
      <c r="E1231" s="248"/>
      <c r="F1231" s="248"/>
      <c r="G1231" s="205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46"/>
      <c r="D1232" s="247"/>
      <c r="E1232" s="248"/>
      <c r="F1232" s="248"/>
      <c r="G1232" s="261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54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55"/>
      <c r="D1234" s="247"/>
      <c r="E1234" s="248"/>
      <c r="F1234" s="248"/>
      <c r="G1234" s="254"/>
      <c r="H1234" s="207"/>
      <c r="I1234" s="221"/>
      <c r="J1234" s="342"/>
      <c r="K1234" s="279"/>
      <c r="L1234" s="210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61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46"/>
      <c r="D1236" s="247"/>
      <c r="E1236" s="248"/>
      <c r="F1236" s="248"/>
      <c r="G1236" s="261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ht="15" x14ac:dyDescent="0.25">
      <c r="B1238" s="30"/>
      <c r="C1238" s="283"/>
      <c r="D1238" s="109"/>
      <c r="E1238" s="68"/>
      <c r="F1238" s="68"/>
      <c r="G1238" s="284"/>
      <c r="H1238" s="211"/>
      <c r="I1238" s="224"/>
      <c r="J1238" s="347"/>
      <c r="K1238" s="69"/>
      <c r="L1238" s="285"/>
      <c r="M1238" s="116"/>
      <c r="N1238" s="212"/>
    </row>
    <row r="1239" spans="2:14" ht="15" x14ac:dyDescent="0.25">
      <c r="B1239" s="30"/>
      <c r="C1239" s="283"/>
      <c r="D1239" s="109"/>
      <c r="E1239" s="68"/>
      <c r="F1239" s="68"/>
      <c r="G1239" s="284"/>
      <c r="H1239" s="211"/>
      <c r="I1239" s="224"/>
      <c r="J1239" s="347"/>
      <c r="K1239" s="69"/>
      <c r="L1239" s="285"/>
      <c r="M1239" s="116"/>
      <c r="N1239" s="212"/>
    </row>
    <row r="1240" spans="2:14" ht="15" x14ac:dyDescent="0.25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ht="15" x14ac:dyDescent="0.25">
      <c r="B1241" s="37"/>
      <c r="C1241" s="78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ht="15" x14ac:dyDescent="0.25">
      <c r="B1242" s="37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7"/>
      <c r="C1243" s="78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7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x14ac:dyDescent="0.2">
      <c r="B1245" s="37"/>
      <c r="C1245" s="286"/>
      <c r="D1245" s="37"/>
      <c r="E1245" s="60"/>
      <c r="F1245" s="60"/>
      <c r="G1245" s="213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78"/>
      <c r="D1246" s="109"/>
      <c r="E1246" s="68"/>
      <c r="F1246" s="68"/>
      <c r="G1246" s="214"/>
      <c r="H1246" s="211"/>
      <c r="I1246" s="224"/>
      <c r="J1246" s="347"/>
      <c r="K1246" s="69"/>
      <c r="L1246" s="285"/>
      <c r="M1246" s="116"/>
      <c r="N1246" s="212"/>
    </row>
    <row r="1247" spans="2:14" ht="15" x14ac:dyDescent="0.25">
      <c r="B1247" s="37"/>
      <c r="C1247" s="283"/>
      <c r="D1247" s="109"/>
      <c r="E1247" s="68"/>
      <c r="F1247" s="68"/>
      <c r="G1247" s="284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283"/>
      <c r="D1248" s="109"/>
      <c r="E1248" s="68"/>
      <c r="F1248" s="68"/>
      <c r="G1248" s="28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66"/>
      <c r="D1249" s="287"/>
      <c r="E1249" s="68"/>
      <c r="F1249" s="68"/>
      <c r="G1249" s="214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0"/>
      <c r="C1250" s="283"/>
      <c r="D1250" s="109"/>
      <c r="E1250" s="68"/>
      <c r="F1250" s="68"/>
      <c r="G1250" s="288"/>
      <c r="H1250" s="215"/>
      <c r="I1250" s="224"/>
      <c r="J1250" s="347"/>
      <c r="K1250" s="69"/>
      <c r="L1250" s="285"/>
      <c r="M1250" s="116"/>
      <c r="N1250" s="212"/>
    </row>
    <row r="1251" spans="2:14" ht="15" x14ac:dyDescent="0.25">
      <c r="B1251" s="30"/>
      <c r="C1251" s="283"/>
      <c r="D1251" s="109"/>
      <c r="E1251" s="68"/>
      <c r="F1251" s="68"/>
      <c r="G1251" s="284"/>
      <c r="H1251" s="215"/>
      <c r="I1251" s="224"/>
      <c r="J1251" s="347"/>
      <c r="K1251" s="69"/>
      <c r="L1251" s="285"/>
      <c r="M1251" s="116"/>
      <c r="N1251" s="212"/>
    </row>
    <row r="1252" spans="2:14" ht="15" x14ac:dyDescent="0.25">
      <c r="B1252" s="30"/>
      <c r="C1252" s="283"/>
      <c r="D1252" s="109"/>
      <c r="E1252" s="68"/>
      <c r="F1252" s="68"/>
      <c r="G1252" s="284"/>
      <c r="H1252" s="215"/>
      <c r="I1252" s="224"/>
      <c r="J1252" s="347"/>
      <c r="K1252" s="69"/>
      <c r="L1252" s="285"/>
      <c r="M1252" s="116"/>
      <c r="N1252" s="212"/>
    </row>
    <row r="1253" spans="2:14" ht="15" x14ac:dyDescent="0.25">
      <c r="B1253" s="65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ht="15" x14ac:dyDescent="0.25">
      <c r="B1254" s="65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30"/>
      <c r="C1255" s="78"/>
      <c r="D1255" s="109"/>
      <c r="E1255" s="68"/>
      <c r="F1255" s="68"/>
      <c r="G1255" s="21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65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78"/>
      <c r="D1261" s="109"/>
      <c r="E1261" s="68"/>
      <c r="F1261" s="68"/>
      <c r="G1261" s="21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78"/>
      <c r="D1262" s="109"/>
      <c r="E1262" s="68"/>
      <c r="F1262" s="68"/>
      <c r="G1262" s="21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283"/>
      <c r="D1263" s="109"/>
      <c r="E1263" s="68"/>
      <c r="F1263" s="68"/>
      <c r="G1263" s="28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283"/>
      <c r="D1264" s="109"/>
      <c r="E1264" s="68"/>
      <c r="F1264" s="68"/>
      <c r="G1264" s="28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30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16"/>
      <c r="M1266" s="116"/>
      <c r="N1266" s="212"/>
    </row>
    <row r="1267" spans="2:14" ht="15" x14ac:dyDescent="0.25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65"/>
      <c r="C1268" s="78"/>
      <c r="D1268" s="109"/>
      <c r="E1268" s="68"/>
      <c r="F1268" s="68"/>
      <c r="G1268" s="214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16"/>
      <c r="M1269" s="116"/>
      <c r="N1269" s="212"/>
    </row>
    <row r="1270" spans="2:14" ht="15" x14ac:dyDescent="0.25">
      <c r="B1270" s="65"/>
      <c r="C1270" s="78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16"/>
      <c r="M1274" s="116"/>
      <c r="N1274" s="212"/>
    </row>
    <row r="1275" spans="2:14" ht="15" x14ac:dyDescent="0.25">
      <c r="B1275" s="65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78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30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16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30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289"/>
      <c r="D1283" s="290"/>
      <c r="E1283" s="291"/>
      <c r="F1283" s="291"/>
      <c r="G1283" s="284"/>
      <c r="H1283" s="215"/>
      <c r="I1283" s="224"/>
      <c r="J1283" s="347"/>
      <c r="K1283" s="69"/>
      <c r="L1283" s="216"/>
      <c r="M1283" s="116"/>
      <c r="N1283" s="212"/>
    </row>
    <row r="1284" spans="2:14" ht="15" x14ac:dyDescent="0.25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x14ac:dyDescent="0.2">
      <c r="B1287" s="30"/>
      <c r="C1287" s="78"/>
      <c r="D1287" s="109"/>
      <c r="E1287" s="68"/>
      <c r="F1287" s="68"/>
      <c r="G1287" s="288"/>
      <c r="H1287" s="211"/>
      <c r="I1287" s="224"/>
      <c r="J1287" s="347"/>
      <c r="K1287" s="80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30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30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1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292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1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93"/>
      <c r="J1325" s="348"/>
      <c r="K1325" s="69"/>
      <c r="L1325" s="285"/>
      <c r="M1325" s="116"/>
      <c r="N1325" s="212"/>
    </row>
    <row r="1326" spans="2:14" ht="15" x14ac:dyDescent="0.25">
      <c r="B1326" s="292"/>
      <c r="C1326" s="78"/>
      <c r="D1326" s="109"/>
      <c r="E1326" s="68"/>
      <c r="F1326" s="68"/>
      <c r="G1326" s="214"/>
      <c r="H1326" s="215"/>
      <c r="I1326" s="293"/>
      <c r="J1326" s="348"/>
      <c r="K1326" s="69"/>
      <c r="L1326" s="285"/>
      <c r="M1326" s="116"/>
      <c r="N1326" s="212"/>
    </row>
    <row r="1327" spans="2:14" ht="15" x14ac:dyDescent="0.25">
      <c r="B1327" s="292"/>
      <c r="C1327" s="78"/>
      <c r="D1327" s="109"/>
      <c r="E1327" s="68"/>
      <c r="F1327" s="68"/>
      <c r="G1327" s="284"/>
      <c r="H1327" s="215"/>
      <c r="I1327" s="293"/>
      <c r="J1327" s="348"/>
      <c r="K1327" s="69"/>
      <c r="L1327" s="285"/>
      <c r="M1327" s="116"/>
      <c r="N1327" s="212"/>
    </row>
    <row r="1328" spans="2:14" ht="15" x14ac:dyDescent="0.25">
      <c r="B1328" s="292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ht="15" x14ac:dyDescent="0.25">
      <c r="B1329" s="292"/>
      <c r="C1329" s="78"/>
      <c r="D1329" s="109"/>
      <c r="E1329" s="68"/>
      <c r="F1329" s="68"/>
      <c r="G1329" s="288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8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4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13"/>
      <c r="H1332" s="215"/>
      <c r="I1332" s="293"/>
      <c r="J1332" s="348"/>
      <c r="K1332" s="69"/>
      <c r="L1332" s="285"/>
      <c r="M1332" s="116"/>
      <c r="N1332" s="212"/>
    </row>
    <row r="1333" spans="2:14" x14ac:dyDescent="0.2">
      <c r="B1333" s="292"/>
      <c r="C1333" s="78"/>
      <c r="D1333" s="109"/>
      <c r="E1333" s="68"/>
      <c r="F1333" s="68"/>
      <c r="G1333" s="288"/>
      <c r="H1333" s="211"/>
      <c r="I1333" s="224"/>
      <c r="J1333" s="347"/>
      <c r="K1333" s="80"/>
      <c r="L1333" s="216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8"/>
      <c r="H1334" s="215"/>
      <c r="I1334" s="293"/>
      <c r="J1334" s="348"/>
      <c r="K1334" s="69"/>
      <c r="L1334" s="285"/>
      <c r="M1334" s="116"/>
      <c r="N1334" s="212"/>
    </row>
    <row r="1335" spans="2:14" ht="15" x14ac:dyDescent="0.25">
      <c r="B1335" s="65"/>
      <c r="C1335" s="289"/>
      <c r="D1335" s="290"/>
      <c r="E1335" s="294"/>
      <c r="F1335" s="295"/>
      <c r="G1335" s="296"/>
      <c r="H1335" s="215"/>
      <c r="I1335" s="293"/>
      <c r="J1335" s="348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77"/>
      <c r="G1336" s="284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77"/>
      <c r="G1337" s="284"/>
      <c r="H1337" s="215"/>
      <c r="I1337" s="293"/>
      <c r="J1337" s="348"/>
      <c r="K1337" s="69"/>
      <c r="L1337" s="285"/>
      <c r="M1337" s="116"/>
      <c r="N1337" s="212"/>
    </row>
    <row r="1338" spans="2:14" ht="15" x14ac:dyDescent="0.25">
      <c r="B1338" s="292"/>
      <c r="C1338" s="78"/>
      <c r="D1338" s="109"/>
      <c r="E1338" s="297"/>
      <c r="F1338" s="298"/>
      <c r="G1338" s="299"/>
      <c r="H1338" s="300"/>
      <c r="I1338" s="301"/>
      <c r="J1338" s="349"/>
      <c r="K1338" s="69"/>
      <c r="L1338" s="285"/>
      <c r="M1338" s="116"/>
      <c r="N1338" s="212"/>
    </row>
    <row r="1339" spans="2:14" ht="15" x14ac:dyDescent="0.25">
      <c r="B1339" s="292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292"/>
      <c r="C1340" s="78"/>
      <c r="D1340" s="109"/>
      <c r="E1340" s="68"/>
      <c r="F1340" s="77"/>
      <c r="G1340" s="284"/>
      <c r="H1340" s="215"/>
      <c r="I1340" s="293"/>
      <c r="J1340" s="348"/>
      <c r="K1340" s="69"/>
      <c r="L1340" s="285"/>
      <c r="M1340" s="116"/>
      <c r="N1340" s="212"/>
    </row>
    <row r="1341" spans="2:14" ht="15" x14ac:dyDescent="0.25">
      <c r="B1341" s="292"/>
      <c r="C1341" s="78"/>
      <c r="D1341" s="109"/>
      <c r="E1341" s="68"/>
      <c r="F1341" s="77"/>
      <c r="G1341" s="214"/>
      <c r="H1341" s="215"/>
      <c r="I1341" s="293"/>
      <c r="J1341" s="348"/>
      <c r="K1341" s="69"/>
      <c r="L1341" s="216"/>
      <c r="M1341" s="116"/>
      <c r="N1341" s="212"/>
    </row>
    <row r="1342" spans="2:14" ht="15" x14ac:dyDescent="0.25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77"/>
      <c r="G1343" s="28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65"/>
      <c r="C1344" s="289"/>
      <c r="D1344" s="290"/>
      <c r="E1344" s="291"/>
      <c r="F1344" s="284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65"/>
      <c r="C1345" s="66"/>
      <c r="D1345" s="109"/>
      <c r="E1345" s="68"/>
      <c r="F1345" s="77"/>
      <c r="G1345" s="296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77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77"/>
      <c r="G1347" s="288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77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77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66"/>
      <c r="D1353" s="109"/>
      <c r="E1353" s="68"/>
      <c r="F1353" s="77"/>
      <c r="G1353" s="296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1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1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8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91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91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68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14"/>
      <c r="H1366" s="215"/>
      <c r="I1366" s="293"/>
      <c r="J1366" s="348"/>
      <c r="K1366" s="69"/>
      <c r="L1366" s="285"/>
      <c r="M1366" s="116"/>
      <c r="N1366" s="212"/>
    </row>
    <row r="1367" spans="2:14" x14ac:dyDescent="0.2">
      <c r="B1367" s="65"/>
      <c r="C1367" s="78"/>
      <c r="D1367" s="109"/>
      <c r="E1367" s="68"/>
      <c r="F1367" s="77"/>
      <c r="G1367" s="302"/>
      <c r="H1367" s="211"/>
      <c r="I1367" s="224"/>
      <c r="J1367" s="347"/>
      <c r="K1367" s="80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66"/>
      <c r="D1369" s="109"/>
      <c r="E1369" s="68"/>
      <c r="F1369" s="77"/>
      <c r="G1369" s="296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65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66"/>
      <c r="D1373" s="109"/>
      <c r="E1373" s="68"/>
      <c r="F1373" s="77"/>
      <c r="G1373" s="296"/>
      <c r="H1373" s="303"/>
      <c r="I1373" s="225"/>
      <c r="J1373" s="350"/>
      <c r="K1373" s="69"/>
      <c r="L1373" s="285"/>
      <c r="M1373" s="116"/>
      <c r="N1373" s="212"/>
    </row>
    <row r="1374" spans="2:14" ht="15" x14ac:dyDescent="0.25">
      <c r="B1374" s="65"/>
      <c r="C1374" s="289"/>
      <c r="D1374" s="290"/>
      <c r="E1374" s="291"/>
      <c r="F1374" s="304"/>
      <c r="G1374" s="284"/>
      <c r="H1374" s="303"/>
      <c r="I1374" s="225"/>
      <c r="J1374" s="350"/>
      <c r="K1374" s="69"/>
      <c r="L1374" s="285"/>
      <c r="M1374" s="116"/>
      <c r="N1374" s="212"/>
    </row>
    <row r="1375" spans="2:14" ht="15" x14ac:dyDescent="0.25">
      <c r="B1375" s="65"/>
      <c r="C1375" s="66"/>
      <c r="D1375" s="109"/>
      <c r="E1375" s="68"/>
      <c r="F1375" s="77"/>
      <c r="G1375" s="296"/>
      <c r="H1375" s="303"/>
      <c r="I1375" s="225"/>
      <c r="J1375" s="350"/>
      <c r="K1375" s="69"/>
      <c r="L1375" s="285"/>
      <c r="M1375" s="116"/>
      <c r="N1375" s="212"/>
    </row>
    <row r="1376" spans="2:14" ht="15" x14ac:dyDescent="0.25">
      <c r="B1376" s="65"/>
      <c r="C1376" s="66"/>
      <c r="D1376" s="109"/>
      <c r="E1376" s="68"/>
      <c r="F1376" s="77"/>
      <c r="G1376" s="296"/>
      <c r="H1376" s="303"/>
      <c r="I1376" s="225"/>
      <c r="J1376" s="350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91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91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68"/>
      <c r="G1380" s="21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91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65"/>
      <c r="C1391" s="289"/>
      <c r="D1391" s="290"/>
      <c r="E1391" s="291"/>
      <c r="F1391" s="304"/>
      <c r="G1391" s="284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1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78"/>
      <c r="D1394" s="109"/>
      <c r="E1394" s="68"/>
      <c r="F1394" s="77"/>
      <c r="G1394" s="21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91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91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68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68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65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65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78"/>
      <c r="D1408" s="109"/>
      <c r="E1408" s="68"/>
      <c r="F1408" s="77"/>
      <c r="G1408" s="214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78"/>
      <c r="D1409" s="109"/>
      <c r="E1409" s="68"/>
      <c r="F1409" s="77"/>
      <c r="G1409" s="214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3"/>
      <c r="D1412" s="37"/>
      <c r="E1412" s="60"/>
      <c r="F1412" s="26"/>
      <c r="G1412" s="2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305"/>
      <c r="H1414" s="215"/>
      <c r="I1414" s="293"/>
      <c r="J1414" s="348"/>
      <c r="K1414" s="69"/>
      <c r="L1414" s="216"/>
      <c r="M1414" s="116"/>
      <c r="N1414" s="212"/>
    </row>
    <row r="1415" spans="2:14" ht="15" x14ac:dyDescent="0.25">
      <c r="B1415" s="91"/>
      <c r="C1415" s="78"/>
      <c r="D1415" s="109"/>
      <c r="E1415" s="68"/>
      <c r="F1415" s="77"/>
      <c r="G1415" s="302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78"/>
      <c r="D1418" s="109"/>
      <c r="E1418" s="68"/>
      <c r="F1418" s="77"/>
      <c r="G1418" s="214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78"/>
      <c r="D1419" s="109"/>
      <c r="E1419" s="68"/>
      <c r="F1419" s="77"/>
      <c r="G1419" s="214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23"/>
      <c r="D1422" s="37"/>
      <c r="E1422" s="60"/>
      <c r="F1422" s="26"/>
      <c r="G1422" s="104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65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23"/>
      <c r="D1425" s="290"/>
      <c r="E1425" s="291"/>
      <c r="F1425" s="304"/>
      <c r="G1425" s="284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80"/>
      <c r="L1428" s="285"/>
      <c r="M1428" s="116"/>
      <c r="N1428" s="212"/>
    </row>
    <row r="1429" spans="2:14" ht="15" x14ac:dyDescent="0.25">
      <c r="B1429" s="91"/>
      <c r="C1429" s="23"/>
      <c r="D1429" s="37"/>
      <c r="E1429" s="60"/>
      <c r="F1429" s="26"/>
      <c r="G1429" s="10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27"/>
      <c r="L1430" s="285"/>
      <c r="M1430" s="116"/>
      <c r="N1430" s="212"/>
    </row>
    <row r="1431" spans="2:14" ht="15" x14ac:dyDescent="0.25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78"/>
      <c r="D1432" s="109"/>
      <c r="E1432" s="68"/>
      <c r="F1432" s="77"/>
      <c r="G1432" s="214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214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290"/>
      <c r="L1437" s="285"/>
      <c r="M1437" s="116"/>
      <c r="N1437" s="212"/>
    </row>
    <row r="1438" spans="2:14" ht="15" x14ac:dyDescent="0.25">
      <c r="B1438" s="65"/>
      <c r="C1438" s="66"/>
      <c r="D1438" s="109"/>
      <c r="E1438" s="68"/>
      <c r="F1438" s="77"/>
      <c r="G1438" s="10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65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65"/>
      <c r="C1440" s="286"/>
      <c r="D1440" s="286"/>
      <c r="E1440" s="306"/>
      <c r="F1440" s="307"/>
      <c r="G1440" s="307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78"/>
      <c r="D1441" s="109"/>
      <c r="E1441" s="68"/>
      <c r="F1441" s="77"/>
      <c r="G1441" s="214"/>
      <c r="H1441" s="215"/>
      <c r="I1441" s="293"/>
      <c r="J1441" s="348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78"/>
      <c r="D1450" s="109"/>
      <c r="E1450" s="68"/>
      <c r="F1450" s="77"/>
      <c r="G1450" s="308"/>
      <c r="H1450" s="215"/>
      <c r="I1450" s="293"/>
      <c r="J1450" s="348"/>
      <c r="K1450" s="69"/>
      <c r="L1450" s="216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309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66"/>
      <c r="D1452" s="109"/>
      <c r="E1452" s="68"/>
      <c r="F1452" s="77"/>
      <c r="G1452" s="309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104"/>
      <c r="H1453" s="121"/>
      <c r="I1453" s="107"/>
      <c r="J1453" s="351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104"/>
      <c r="H1454" s="121"/>
      <c r="I1454" s="107"/>
      <c r="J1454" s="351"/>
      <c r="K1454" s="69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310"/>
      <c r="H1455" s="121"/>
      <c r="I1455" s="107"/>
      <c r="J1455" s="351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296"/>
      <c r="H1456" s="121"/>
      <c r="I1456" s="107"/>
      <c r="J1456" s="351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91"/>
      <c r="C1459" s="78"/>
      <c r="D1459" s="109"/>
      <c r="E1459" s="68"/>
      <c r="F1459" s="77"/>
      <c r="G1459" s="311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91"/>
      <c r="C1460" s="66"/>
      <c r="D1460" s="109"/>
      <c r="E1460" s="68"/>
      <c r="F1460" s="77"/>
      <c r="G1460" s="104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91"/>
      <c r="C1461" s="66"/>
      <c r="D1461" s="109"/>
      <c r="E1461" s="68"/>
      <c r="F1461" s="68"/>
      <c r="G1461" s="104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91"/>
      <c r="C1462" s="66"/>
      <c r="D1462" s="109"/>
      <c r="E1462" s="68"/>
      <c r="F1462" s="77"/>
      <c r="G1462" s="296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66"/>
      <c r="D1463" s="109"/>
      <c r="E1463" s="68"/>
      <c r="F1463" s="77"/>
      <c r="G1463" s="104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104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65"/>
      <c r="C1466" s="78"/>
      <c r="D1466" s="109"/>
      <c r="E1466" s="68"/>
      <c r="F1466" s="77"/>
      <c r="G1466" s="311"/>
      <c r="H1466" s="312"/>
      <c r="I1466" s="313"/>
      <c r="J1466" s="352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91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91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91"/>
      <c r="C1472" s="78"/>
      <c r="D1472" s="109"/>
      <c r="E1472" s="68"/>
      <c r="F1472" s="77"/>
      <c r="G1472" s="311"/>
      <c r="H1472" s="312"/>
      <c r="I1472" s="313"/>
      <c r="J1472" s="352"/>
      <c r="K1472" s="69"/>
      <c r="L1472" s="285"/>
      <c r="M1472" s="116"/>
      <c r="N1472" s="212"/>
    </row>
    <row r="1473" spans="2:14" ht="15" x14ac:dyDescent="0.25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91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91"/>
      <c r="C1475" s="78"/>
      <c r="D1475" s="109"/>
      <c r="E1475" s="68"/>
      <c r="F1475" s="77"/>
      <c r="G1475" s="311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78"/>
      <c r="D1478" s="109"/>
      <c r="E1478" s="68"/>
      <c r="F1478" s="77"/>
      <c r="G1478" s="311"/>
      <c r="H1478" s="312"/>
      <c r="I1478" s="313"/>
      <c r="J1478" s="352"/>
      <c r="K1478" s="69"/>
      <c r="L1478" s="216"/>
      <c r="M1478" s="116"/>
      <c r="N1478" s="212"/>
    </row>
    <row r="1479" spans="2:14" ht="15.75" x14ac:dyDescent="0.25">
      <c r="B1479" s="314"/>
      <c r="C1479" s="78"/>
      <c r="D1479" s="109"/>
      <c r="E1479" s="68"/>
      <c r="F1479" s="77"/>
      <c r="G1479" s="311"/>
      <c r="H1479" s="312"/>
      <c r="I1479" s="313"/>
      <c r="J1479" s="352"/>
      <c r="K1479" s="69"/>
      <c r="L1479" s="216"/>
      <c r="M1479" s="116"/>
      <c r="N1479" s="212"/>
    </row>
    <row r="1480" spans="2:14" ht="15.75" x14ac:dyDescent="0.25">
      <c r="B1480" s="315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126"/>
      <c r="M1480" s="116"/>
      <c r="N1480" s="217"/>
    </row>
    <row r="1481" spans="2:14" ht="15.75" x14ac:dyDescent="0.25">
      <c r="B1481" s="315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126"/>
      <c r="M1481" s="116"/>
      <c r="N1481" s="217"/>
    </row>
    <row r="1482" spans="2:14" ht="15.75" x14ac:dyDescent="0.25">
      <c r="B1482" s="314"/>
      <c r="C1482" s="78"/>
      <c r="D1482" s="109"/>
      <c r="E1482" s="68"/>
      <c r="F1482" s="77"/>
      <c r="G1482" s="311"/>
      <c r="H1482" s="312"/>
      <c r="I1482" s="313"/>
      <c r="J1482" s="352"/>
      <c r="K1482" s="69"/>
      <c r="L1482" s="216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126"/>
      <c r="M1483" s="116"/>
      <c r="N1483" s="217"/>
    </row>
    <row r="1484" spans="2:14" ht="15" x14ac:dyDescent="0.25">
      <c r="B1484" s="91"/>
      <c r="C1484" s="316"/>
      <c r="D1484" s="65"/>
      <c r="E1484" s="68"/>
      <c r="F1484" s="117"/>
      <c r="G1484" s="117"/>
      <c r="H1484" s="121"/>
      <c r="I1484" s="107"/>
      <c r="J1484" s="351"/>
      <c r="K1484" s="69"/>
      <c r="L1484" s="126"/>
      <c r="M1484" s="116"/>
      <c r="N1484" s="217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126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126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65"/>
      <c r="C1490" s="78"/>
      <c r="D1490" s="109"/>
      <c r="E1490" s="68"/>
      <c r="F1490" s="77"/>
      <c r="G1490" s="311"/>
      <c r="H1490" s="312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126"/>
      <c r="M1491" s="116"/>
      <c r="N1491" s="212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16"/>
      <c r="M1494" s="116"/>
      <c r="N1494" s="212"/>
    </row>
    <row r="1495" spans="2:14" ht="15" x14ac:dyDescent="0.25">
      <c r="B1495" s="65"/>
      <c r="C1495" s="78"/>
      <c r="D1495" s="109"/>
      <c r="E1495" s="68"/>
      <c r="F1495" s="77"/>
      <c r="G1495" s="311"/>
      <c r="H1495" s="312"/>
      <c r="I1495" s="313"/>
      <c r="J1495" s="352"/>
      <c r="K1495" s="69"/>
      <c r="L1495" s="216"/>
      <c r="M1495" s="116"/>
      <c r="N1495" s="212"/>
    </row>
    <row r="1496" spans="2:14" ht="15" x14ac:dyDescent="0.25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16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3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80"/>
      <c r="L1506" s="126"/>
      <c r="M1506" s="117"/>
      <c r="N1506" s="217"/>
    </row>
    <row r="1507" spans="2:14" ht="15" x14ac:dyDescent="0.25">
      <c r="B1507" s="37"/>
      <c r="C1507" s="66"/>
      <c r="D1507" s="109"/>
      <c r="E1507" s="68"/>
      <c r="F1507" s="77"/>
      <c r="G1507" s="104"/>
      <c r="H1507" s="123"/>
      <c r="I1507" s="107"/>
      <c r="J1507" s="351"/>
      <c r="K1507" s="80"/>
      <c r="L1507" s="126"/>
      <c r="M1507" s="116"/>
      <c r="N1507" s="217"/>
    </row>
    <row r="1508" spans="2:14" ht="15" x14ac:dyDescent="0.25">
      <c r="B1508" s="37"/>
      <c r="C1508" s="66"/>
      <c r="D1508" s="109"/>
      <c r="E1508" s="68"/>
      <c r="F1508" s="68"/>
      <c r="G1508" s="104"/>
      <c r="H1508" s="121"/>
      <c r="I1508" s="107"/>
      <c r="J1508" s="351"/>
      <c r="K1508" s="69"/>
      <c r="L1508" s="126"/>
      <c r="M1508" s="116"/>
      <c r="N1508" s="217"/>
    </row>
    <row r="1509" spans="2:14" ht="15" x14ac:dyDescent="0.25">
      <c r="B1509" s="37"/>
      <c r="C1509" s="316"/>
      <c r="D1509" s="65"/>
      <c r="E1509" s="68"/>
      <c r="F1509" s="117"/>
      <c r="G1509" s="117"/>
      <c r="H1509" s="121"/>
      <c r="I1509" s="107"/>
      <c r="J1509" s="351"/>
      <c r="K1509" s="69"/>
      <c r="L1509" s="126"/>
      <c r="M1509" s="116"/>
      <c r="N1509" s="217"/>
    </row>
    <row r="1510" spans="2:14" ht="15" x14ac:dyDescent="0.25">
      <c r="B1510" s="37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7"/>
    </row>
    <row r="1511" spans="2:14" ht="15" x14ac:dyDescent="0.25">
      <c r="B1511" s="37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91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91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91"/>
      <c r="C1520" s="66"/>
      <c r="D1520" s="109"/>
      <c r="E1520" s="68"/>
      <c r="F1520" s="77"/>
      <c r="G1520" s="104"/>
      <c r="H1520" s="121"/>
      <c r="I1520" s="107"/>
      <c r="J1520" s="351"/>
      <c r="K1520" s="69"/>
      <c r="L1520" s="126"/>
      <c r="M1520" s="116"/>
      <c r="N1520" s="217"/>
    </row>
    <row r="1521" spans="2:14" ht="15" x14ac:dyDescent="0.25">
      <c r="B1521" s="91"/>
      <c r="C1521" s="78"/>
      <c r="D1521" s="109"/>
      <c r="E1521" s="68"/>
      <c r="F1521" s="77"/>
      <c r="G1521" s="311"/>
      <c r="H1521" s="312"/>
      <c r="I1521" s="107"/>
      <c r="J1521" s="351"/>
      <c r="K1521" s="69"/>
      <c r="L1521" s="126"/>
      <c r="M1521" s="116"/>
      <c r="N1521" s="217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65"/>
      <c r="C1531" s="78"/>
      <c r="D1531" s="109"/>
      <c r="E1531" s="68"/>
      <c r="F1531" s="77"/>
      <c r="G1531" s="311"/>
      <c r="H1531" s="312"/>
      <c r="I1531" s="107"/>
      <c r="J1531" s="351"/>
      <c r="K1531" s="69"/>
      <c r="L1531" s="126"/>
      <c r="M1531" s="116"/>
      <c r="N1531" s="217"/>
    </row>
    <row r="1532" spans="2:14" ht="15" x14ac:dyDescent="0.25">
      <c r="B1532" s="65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65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68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123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x14ac:dyDescent="0.2">
      <c r="B1541" s="91"/>
      <c r="C1541" s="66"/>
      <c r="D1541" s="109"/>
      <c r="E1541" s="68"/>
      <c r="F1541" s="77"/>
      <c r="G1541" s="104"/>
      <c r="H1541" s="121"/>
      <c r="I1541" s="129"/>
      <c r="J1541" s="353"/>
      <c r="K1541" s="80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66"/>
      <c r="D1543" s="109"/>
      <c r="E1543" s="68"/>
      <c r="F1543" s="77"/>
      <c r="G1543" s="104"/>
      <c r="H1543" s="121"/>
      <c r="I1543" s="107"/>
      <c r="J1543" s="351"/>
      <c r="K1543" s="69"/>
      <c r="L1543" s="126"/>
      <c r="M1543" s="116"/>
      <c r="N1543" s="3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317"/>
    </row>
    <row r="1545" spans="2:14" ht="15" x14ac:dyDescent="0.25">
      <c r="B1545" s="65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212"/>
    </row>
    <row r="1546" spans="2:14" ht="15" x14ac:dyDescent="0.25">
      <c r="B1546" s="65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2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ht="15" x14ac:dyDescent="0.25">
      <c r="B1549" s="65"/>
      <c r="C1549" s="78"/>
      <c r="D1549" s="109"/>
      <c r="E1549" s="68"/>
      <c r="F1549" s="77"/>
      <c r="G1549" s="311"/>
      <c r="H1549" s="312"/>
      <c r="I1549" s="313"/>
      <c r="J1549" s="352"/>
      <c r="K1549" s="69"/>
      <c r="L1549" s="216"/>
      <c r="M1549" s="116"/>
      <c r="N1549" s="212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313"/>
      <c r="J1550" s="352"/>
      <c r="K1550" s="69"/>
      <c r="L1550" s="216"/>
      <c r="M1550" s="116"/>
      <c r="N1550" s="212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ht="15" x14ac:dyDescent="0.25">
      <c r="B1553" s="91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91"/>
      <c r="C1554" s="66"/>
      <c r="D1554" s="109"/>
      <c r="E1554" s="68"/>
      <c r="F1554" s="77"/>
      <c r="G1554" s="104"/>
      <c r="H1554" s="121"/>
      <c r="I1554" s="107"/>
      <c r="J1554" s="351"/>
      <c r="K1554" s="79"/>
      <c r="L1554" s="126"/>
      <c r="M1554" s="115"/>
      <c r="N1554" s="217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79"/>
      <c r="L1557" s="126"/>
      <c r="M1557" s="115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66"/>
      <c r="D1565" s="109"/>
      <c r="E1565" s="68"/>
      <c r="F1565" s="77"/>
      <c r="G1565" s="104"/>
      <c r="H1565" s="123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91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0"/>
      <c r="M1572" s="116"/>
      <c r="N1572" s="218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0"/>
      <c r="M1573" s="116"/>
      <c r="N1573" s="218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68"/>
      <c r="G1575" s="104"/>
      <c r="H1575" s="121"/>
      <c r="I1575" s="107"/>
      <c r="J1575" s="351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3"/>
      <c r="I1576" s="107"/>
      <c r="J1576" s="351"/>
      <c r="K1576" s="69"/>
      <c r="L1576" s="120"/>
      <c r="M1576" s="116"/>
      <c r="N1576" s="218"/>
    </row>
    <row r="1577" spans="2:14" ht="15" x14ac:dyDescent="0.25">
      <c r="B1577" s="65"/>
      <c r="C1577" s="78"/>
      <c r="D1577" s="109"/>
      <c r="E1577" s="68"/>
      <c r="F1577" s="77"/>
      <c r="G1577" s="311"/>
      <c r="H1577" s="312"/>
      <c r="I1577" s="313"/>
      <c r="J1577" s="352"/>
      <c r="K1577" s="69"/>
      <c r="L1577" s="318"/>
      <c r="M1577" s="116"/>
      <c r="N1577" s="3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0"/>
      <c r="M1578" s="116"/>
      <c r="N1578" s="218"/>
    </row>
    <row r="1579" spans="2:14" ht="15" x14ac:dyDescent="0.25">
      <c r="B1579" s="65"/>
      <c r="C1579" s="78"/>
      <c r="D1579" s="109"/>
      <c r="E1579" s="68"/>
      <c r="F1579" s="77"/>
      <c r="G1579" s="311"/>
      <c r="H1579" s="312"/>
      <c r="I1579" s="313"/>
      <c r="J1579" s="352"/>
      <c r="K1579" s="69"/>
      <c r="L1579" s="318"/>
      <c r="M1579" s="116"/>
      <c r="N1579" s="318"/>
    </row>
    <row r="1580" spans="2:14" ht="15" x14ac:dyDescent="0.25">
      <c r="B1580" s="65"/>
      <c r="C1580" s="78"/>
      <c r="D1580" s="109"/>
      <c r="E1580" s="68"/>
      <c r="F1580" s="77"/>
      <c r="G1580" s="311"/>
      <c r="H1580" s="312"/>
      <c r="I1580" s="313"/>
      <c r="J1580" s="352"/>
      <c r="K1580" s="69"/>
      <c r="L1580" s="118"/>
      <c r="M1580" s="116"/>
      <c r="N1580" s="3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18"/>
      <c r="M1581" s="116"/>
      <c r="N1581" s="318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318"/>
      <c r="M1582" s="116"/>
      <c r="N1582" s="318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313"/>
      <c r="J1583" s="352"/>
      <c r="K1583" s="69"/>
      <c r="L1583" s="3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66"/>
      <c r="D1585" s="109"/>
      <c r="E1585" s="68"/>
      <c r="F1585" s="68"/>
      <c r="G1585" s="104"/>
      <c r="H1585" s="121"/>
      <c r="I1585" s="107"/>
      <c r="J1585" s="351"/>
      <c r="K1585" s="69"/>
      <c r="L1585" s="120"/>
      <c r="M1585" s="116"/>
      <c r="N1585" s="218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120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0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0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3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311"/>
      <c r="H1591" s="123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78"/>
      <c r="D1594" s="109"/>
      <c r="E1594" s="68"/>
      <c r="F1594" s="77"/>
      <c r="G1594" s="311"/>
      <c r="H1594" s="312"/>
      <c r="I1594" s="313"/>
      <c r="J1594" s="352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318"/>
      <c r="M1601" s="116"/>
      <c r="N1601" s="318"/>
    </row>
    <row r="1602" spans="2:14" ht="15" x14ac:dyDescent="0.25">
      <c r="B1602" s="91"/>
      <c r="C1602" s="66"/>
      <c r="D1602" s="109"/>
      <c r="E1602" s="68"/>
      <c r="F1602" s="68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77"/>
      <c r="G1605" s="104"/>
      <c r="H1605" s="121"/>
      <c r="I1605" s="107"/>
      <c r="J1605" s="351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18"/>
      <c r="M1606" s="116"/>
      <c r="N1606" s="3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18"/>
      <c r="M1607" s="116"/>
      <c r="N1607" s="3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318"/>
      <c r="M1608" s="116"/>
      <c r="N1608" s="318"/>
    </row>
    <row r="1609" spans="2:14" ht="15" x14ac:dyDescent="0.25">
      <c r="B1609" s="65"/>
      <c r="C1609" s="78"/>
      <c r="D1609" s="109"/>
      <c r="E1609" s="68"/>
      <c r="F1609" s="77"/>
      <c r="G1609" s="311"/>
      <c r="H1609" s="312"/>
      <c r="I1609" s="313"/>
      <c r="J1609" s="352"/>
      <c r="K1609" s="69"/>
      <c r="L1609" s="318"/>
      <c r="M1609" s="116"/>
      <c r="N1609" s="319"/>
    </row>
    <row r="1610" spans="2:14" ht="15" x14ac:dyDescent="0.25">
      <c r="B1610" s="91"/>
      <c r="C1610" s="66"/>
      <c r="D1610" s="109"/>
      <c r="E1610" s="68"/>
      <c r="F1610" s="68"/>
      <c r="G1610" s="104"/>
      <c r="H1610" s="123"/>
      <c r="I1610" s="107"/>
      <c r="J1610" s="351"/>
      <c r="K1610" s="69"/>
      <c r="L1610" s="120"/>
      <c r="M1610" s="116"/>
      <c r="N1610" s="319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319"/>
    </row>
    <row r="1612" spans="2:14" ht="15" x14ac:dyDescent="0.25">
      <c r="B1612" s="91"/>
      <c r="C1612" s="78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319"/>
    </row>
    <row r="1613" spans="2:14" ht="15" x14ac:dyDescent="0.25">
      <c r="B1613" s="65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318"/>
      <c r="M1613" s="116"/>
      <c r="N1613" s="319"/>
    </row>
    <row r="1614" spans="2:14" ht="15" x14ac:dyDescent="0.25">
      <c r="B1614" s="65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318"/>
      <c r="M1614" s="116"/>
      <c r="N1614" s="319"/>
    </row>
    <row r="1615" spans="2:14" ht="15" x14ac:dyDescent="0.25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9"/>
    </row>
    <row r="1617" spans="2:14" ht="15" x14ac:dyDescent="0.25">
      <c r="B1617" s="91"/>
      <c r="C1617" s="66"/>
      <c r="D1617" s="109"/>
      <c r="E1617" s="68"/>
      <c r="F1617" s="77"/>
      <c r="G1617" s="311"/>
      <c r="H1617" s="123"/>
      <c r="I1617" s="107"/>
      <c r="J1617" s="351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37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ht="15" x14ac:dyDescent="0.25">
      <c r="B1626" s="37"/>
      <c r="C1626" s="66"/>
      <c r="D1626" s="109"/>
      <c r="E1626" s="68"/>
      <c r="F1626" s="77"/>
      <c r="G1626" s="311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37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37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120"/>
      <c r="M1628" s="116"/>
      <c r="N1628" s="219"/>
    </row>
    <row r="1629" spans="2:14" ht="15" x14ac:dyDescent="0.25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68"/>
      <c r="G1630" s="311"/>
      <c r="H1630" s="123"/>
      <c r="I1630" s="107"/>
      <c r="J1630" s="351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318"/>
      <c r="M1632" s="116"/>
      <c r="N1632" s="319"/>
    </row>
    <row r="1633" spans="2:14" ht="15" x14ac:dyDescent="0.25">
      <c r="B1633" s="37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18"/>
      <c r="M1633" s="116"/>
      <c r="N1633" s="319"/>
    </row>
    <row r="1634" spans="2:14" ht="15" x14ac:dyDescent="0.25">
      <c r="B1634" s="37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37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ht="15" x14ac:dyDescent="0.25">
      <c r="B1641" s="91"/>
      <c r="C1641" s="66"/>
      <c r="D1641" s="109"/>
      <c r="E1641" s="68"/>
      <c r="F1641" s="77"/>
      <c r="G1641" s="104"/>
      <c r="H1641" s="121"/>
      <c r="I1641" s="107"/>
      <c r="J1641" s="351"/>
      <c r="K1641" s="69"/>
      <c r="L1641" s="120"/>
      <c r="M1641" s="116"/>
      <c r="N1641" s="219"/>
    </row>
    <row r="1642" spans="2:14" ht="15" x14ac:dyDescent="0.25">
      <c r="B1642" s="37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37"/>
      <c r="C1643" s="66"/>
      <c r="D1643" s="109"/>
      <c r="E1643" s="68"/>
      <c r="F1643" s="68"/>
      <c r="G1643" s="104"/>
      <c r="H1643" s="121"/>
      <c r="I1643" s="107"/>
      <c r="J1643" s="351"/>
      <c r="K1643" s="69"/>
      <c r="L1643" s="318"/>
      <c r="M1643" s="116"/>
      <c r="N1643" s="319"/>
    </row>
    <row r="1644" spans="2:14" ht="15" x14ac:dyDescent="0.25">
      <c r="B1644" s="65"/>
      <c r="C1644" s="78"/>
      <c r="D1644" s="109"/>
      <c r="E1644" s="68"/>
      <c r="F1644" s="77"/>
      <c r="G1644" s="311"/>
      <c r="H1644" s="312"/>
      <c r="I1644" s="313"/>
      <c r="J1644" s="352"/>
      <c r="K1644" s="69"/>
      <c r="L1644" s="318"/>
      <c r="M1644" s="116"/>
      <c r="N1644" s="319"/>
    </row>
    <row r="1645" spans="2:14" ht="15" x14ac:dyDescent="0.25">
      <c r="B1645" s="65"/>
      <c r="C1645" s="78"/>
      <c r="D1645" s="109"/>
      <c r="E1645" s="68"/>
      <c r="F1645" s="77"/>
      <c r="G1645" s="311"/>
      <c r="H1645" s="312"/>
      <c r="I1645" s="313"/>
      <c r="J1645" s="352"/>
      <c r="K1645" s="69"/>
      <c r="L1645" s="318"/>
      <c r="M1645" s="116"/>
      <c r="N1645" s="319"/>
    </row>
    <row r="1646" spans="2:14" ht="15" x14ac:dyDescent="0.25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ht="15" x14ac:dyDescent="0.25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37"/>
      <c r="C1650" s="66"/>
      <c r="D1650" s="109"/>
      <c r="E1650" s="68"/>
      <c r="F1650" s="77"/>
      <c r="G1650" s="104"/>
      <c r="H1650" s="121"/>
      <c r="I1650" s="107"/>
      <c r="J1650" s="351"/>
      <c r="K1650" s="79"/>
      <c r="L1650" s="120"/>
      <c r="M1650" s="115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1"/>
      <c r="I1651" s="107"/>
      <c r="J1651" s="351"/>
      <c r="K1651" s="69"/>
      <c r="L1651" s="118"/>
      <c r="M1651" s="116"/>
      <c r="N1651" s="320"/>
    </row>
    <row r="1652" spans="2:14" ht="15" x14ac:dyDescent="0.25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69"/>
      <c r="L1652" s="118"/>
      <c r="M1652" s="116"/>
      <c r="N1652" s="320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114"/>
      <c r="L1653" s="118"/>
      <c r="M1653" s="117"/>
      <c r="N1653" s="320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ht="15" x14ac:dyDescent="0.25">
      <c r="B1655" s="91"/>
      <c r="C1655" s="66"/>
      <c r="D1655" s="109"/>
      <c r="E1655" s="68"/>
      <c r="F1655" s="77"/>
      <c r="G1655" s="104"/>
      <c r="H1655" s="121"/>
      <c r="I1655" s="107"/>
      <c r="J1655" s="351"/>
      <c r="K1655" s="69"/>
      <c r="L1655" s="118"/>
      <c r="M1655" s="116"/>
      <c r="N1655" s="319"/>
    </row>
    <row r="1656" spans="2:14" ht="15" x14ac:dyDescent="0.25">
      <c r="B1656" s="91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318"/>
      <c r="M1661" s="116"/>
      <c r="N1661" s="319"/>
    </row>
    <row r="1662" spans="2:14" ht="15" x14ac:dyDescent="0.25">
      <c r="B1662" s="91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91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91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118"/>
      <c r="M1664" s="116"/>
      <c r="N1664" s="320"/>
    </row>
    <row r="1665" spans="2:14" ht="15" x14ac:dyDescent="0.25">
      <c r="B1665" s="91"/>
      <c r="C1665" s="66"/>
      <c r="D1665" s="109"/>
      <c r="E1665" s="68"/>
      <c r="F1665" s="77"/>
      <c r="G1665" s="104"/>
      <c r="H1665" s="121"/>
      <c r="I1665" s="107"/>
      <c r="J1665" s="351"/>
      <c r="K1665" s="69"/>
      <c r="L1665" s="118"/>
      <c r="M1665" s="116"/>
      <c r="N1665" s="319"/>
    </row>
    <row r="1666" spans="2:14" ht="15" x14ac:dyDescent="0.25">
      <c r="B1666" s="91"/>
      <c r="C1666" s="66"/>
      <c r="D1666" s="109"/>
      <c r="E1666" s="68"/>
      <c r="F1666" s="77"/>
      <c r="G1666" s="104"/>
      <c r="H1666" s="121"/>
      <c r="I1666" s="107"/>
      <c r="J1666" s="351"/>
      <c r="K1666" s="69"/>
      <c r="L1666" s="1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216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216"/>
      <c r="M1670" s="82"/>
      <c r="N1670" s="319"/>
    </row>
    <row r="1671" spans="2:14" ht="15" x14ac:dyDescent="0.25">
      <c r="B1671" s="91"/>
      <c r="C1671" s="66"/>
      <c r="D1671" s="100"/>
      <c r="E1671" s="101"/>
      <c r="F1671" s="77"/>
      <c r="G1671" s="104"/>
      <c r="H1671" s="106"/>
      <c r="I1671" s="107"/>
      <c r="J1671" s="351"/>
      <c r="K1671" s="69"/>
      <c r="L1671" s="84"/>
      <c r="M1671" s="82"/>
      <c r="N1671" s="319"/>
    </row>
    <row r="1672" spans="2:14" ht="15" x14ac:dyDescent="0.25">
      <c r="B1672" s="91"/>
      <c r="C1672" s="66"/>
      <c r="D1672" s="100"/>
      <c r="E1672" s="101"/>
      <c r="F1672" s="77"/>
      <c r="G1672" s="104"/>
      <c r="H1672" s="106"/>
      <c r="I1672" s="107"/>
      <c r="J1672" s="351"/>
      <c r="K1672" s="69"/>
      <c r="L1672" s="84"/>
      <c r="M1672" s="82"/>
      <c r="N1672" s="319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78"/>
      <c r="D1676" s="100"/>
      <c r="E1676" s="101"/>
      <c r="F1676" s="77"/>
      <c r="G1676" s="311"/>
      <c r="H1676" s="321"/>
      <c r="I1676" s="107"/>
      <c r="J1676" s="351"/>
      <c r="K1676" s="69"/>
      <c r="L1676" s="84"/>
      <c r="M1676" s="82"/>
      <c r="N1676" s="319"/>
    </row>
    <row r="1677" spans="2:14" ht="15" x14ac:dyDescent="0.25">
      <c r="B1677" s="65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65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ht="15" x14ac:dyDescent="0.25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65"/>
      <c r="C1680" s="78"/>
      <c r="D1680" s="100"/>
      <c r="E1680" s="101"/>
      <c r="F1680" s="77"/>
      <c r="G1680" s="311"/>
      <c r="H1680" s="321"/>
      <c r="I1680" s="313"/>
      <c r="J1680" s="352"/>
      <c r="K1680" s="69"/>
      <c r="L1680" s="84"/>
      <c r="M1680" s="82"/>
      <c r="N1680" s="319"/>
    </row>
    <row r="1681" spans="2:14" ht="15" x14ac:dyDescent="0.25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ht="15" x14ac:dyDescent="0.25">
      <c r="B1683" s="65"/>
      <c r="C1683" s="78"/>
      <c r="D1683" s="100"/>
      <c r="E1683" s="101"/>
      <c r="F1683" s="77"/>
      <c r="G1683" s="311"/>
      <c r="H1683" s="321"/>
      <c r="I1683" s="313"/>
      <c r="J1683" s="352"/>
      <c r="K1683" s="69"/>
      <c r="L1683" s="84"/>
      <c r="M1683" s="82"/>
      <c r="N1683" s="319"/>
    </row>
    <row r="1684" spans="2:14" ht="15" x14ac:dyDescent="0.25">
      <c r="B1684" s="65"/>
      <c r="C1684" s="66"/>
      <c r="D1684" s="109"/>
      <c r="E1684" s="101"/>
      <c r="F1684" s="77"/>
      <c r="G1684" s="104"/>
      <c r="H1684" s="106"/>
      <c r="I1684" s="107"/>
      <c r="J1684" s="351"/>
      <c r="K1684" s="69"/>
      <c r="L1684" s="322"/>
      <c r="M1684" s="82"/>
      <c r="N1684" s="319"/>
    </row>
    <row r="1685" spans="2:14" ht="15" x14ac:dyDescent="0.25">
      <c r="B1685" s="65"/>
      <c r="C1685" s="66"/>
      <c r="D1685" s="100"/>
      <c r="E1685" s="101"/>
      <c r="F1685" s="77"/>
      <c r="G1685" s="104"/>
      <c r="H1685" s="106"/>
      <c r="I1685" s="107"/>
      <c r="J1685" s="351"/>
      <c r="K1685" s="69"/>
      <c r="L1685" s="84"/>
      <c r="M1685" s="82"/>
      <c r="N1685" s="319"/>
    </row>
    <row r="1686" spans="2:14" ht="15" x14ac:dyDescent="0.25">
      <c r="B1686" s="65"/>
      <c r="C1686" s="66"/>
      <c r="D1686" s="100"/>
      <c r="E1686" s="101"/>
      <c r="F1686" s="77"/>
      <c r="G1686" s="104"/>
      <c r="H1686" s="106"/>
      <c r="I1686" s="107"/>
      <c r="J1686" s="351"/>
      <c r="K1686" s="69"/>
      <c r="L1686" s="322"/>
      <c r="M1686" s="82"/>
      <c r="N1686" s="319"/>
    </row>
    <row r="1687" spans="2:14" ht="15" x14ac:dyDescent="0.25">
      <c r="B1687" s="65"/>
      <c r="C1687" s="78"/>
      <c r="D1687" s="100"/>
      <c r="E1687" s="101"/>
      <c r="F1687" s="77"/>
      <c r="G1687" s="311"/>
      <c r="H1687" s="321"/>
      <c r="I1687" s="313"/>
      <c r="J1687" s="352"/>
      <c r="K1687" s="69"/>
      <c r="L1687" s="322"/>
      <c r="M1687" s="82"/>
      <c r="N1687" s="319"/>
    </row>
    <row r="1688" spans="2:14" ht="15" x14ac:dyDescent="0.25">
      <c r="B1688" s="65"/>
      <c r="C1688" s="78"/>
      <c r="D1688" s="100"/>
      <c r="E1688" s="101"/>
      <c r="F1688" s="77"/>
      <c r="G1688" s="311"/>
      <c r="H1688" s="321"/>
      <c r="I1688" s="313"/>
      <c r="J1688" s="352"/>
      <c r="K1688" s="69"/>
      <c r="L1688" s="322"/>
      <c r="M1688" s="82"/>
      <c r="N1688" s="323"/>
    </row>
    <row r="1689" spans="2:14" ht="15" x14ac:dyDescent="0.25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23"/>
    </row>
    <row r="1690" spans="2:14" ht="15" x14ac:dyDescent="0.25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107"/>
      <c r="J1691" s="351"/>
      <c r="K1691" s="69"/>
      <c r="L1691" s="84"/>
      <c r="M1691" s="82"/>
      <c r="N1691" s="323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23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23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68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66"/>
      <c r="D1700" s="100"/>
      <c r="E1700" s="101"/>
      <c r="F1700" s="77"/>
      <c r="G1700" s="104"/>
      <c r="H1700" s="106"/>
      <c r="I1700" s="107"/>
      <c r="J1700" s="351"/>
      <c r="K1700" s="70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78"/>
      <c r="D1702" s="100"/>
      <c r="E1702" s="101"/>
      <c r="F1702" s="68"/>
      <c r="G1702" s="311"/>
      <c r="H1702" s="321"/>
      <c r="I1702" s="107"/>
      <c r="J1702" s="351"/>
      <c r="K1702" s="69"/>
      <c r="L1702" s="84"/>
      <c r="M1702" s="82"/>
      <c r="N1702" s="323"/>
    </row>
    <row r="1703" spans="2:14" ht="15" x14ac:dyDescent="0.25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23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322"/>
      <c r="M1704" s="82"/>
      <c r="N1704" s="323"/>
    </row>
    <row r="1705" spans="2:14" ht="15" x14ac:dyDescent="0.25">
      <c r="B1705" s="65"/>
      <c r="C1705" s="66"/>
      <c r="D1705" s="100"/>
      <c r="E1705" s="101"/>
      <c r="F1705" s="68"/>
      <c r="G1705" s="104"/>
      <c r="H1705" s="106"/>
      <c r="I1705" s="107"/>
      <c r="J1705" s="351"/>
      <c r="K1705" s="69"/>
      <c r="L1705" s="84"/>
      <c r="M1705" s="82"/>
      <c r="N1705" s="323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23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23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23"/>
    </row>
    <row r="1709" spans="2:14" x14ac:dyDescent="0.2">
      <c r="B1709" s="65"/>
      <c r="C1709" s="78"/>
      <c r="D1709" s="100"/>
      <c r="E1709" s="101"/>
      <c r="F1709" s="77"/>
      <c r="G1709" s="311"/>
      <c r="H1709" s="321"/>
      <c r="I1709" s="324"/>
      <c r="J1709" s="354"/>
      <c r="K1709" s="69"/>
      <c r="L1709" s="84"/>
      <c r="M1709" s="82"/>
      <c r="N1709" s="323"/>
    </row>
    <row r="1710" spans="2:14" x14ac:dyDescent="0.2">
      <c r="B1710" s="65"/>
      <c r="C1710" s="78"/>
      <c r="D1710" s="100"/>
      <c r="E1710" s="101"/>
      <c r="F1710" s="77"/>
      <c r="G1710" s="311"/>
      <c r="H1710" s="321"/>
      <c r="I1710" s="324"/>
      <c r="J1710" s="354"/>
      <c r="K1710" s="69"/>
      <c r="L1710" s="84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2"/>
      <c r="F1712" s="77"/>
      <c r="G1712" s="325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97"/>
      <c r="E1713" s="67"/>
      <c r="F1713" s="77"/>
      <c r="G1713" s="325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97"/>
      <c r="E1714" s="67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ht="15" x14ac:dyDescent="0.25">
      <c r="B1715" s="65"/>
      <c r="C1715" s="78"/>
      <c r="D1715" s="97"/>
      <c r="E1715" s="67"/>
      <c r="F1715" s="77"/>
      <c r="G1715" s="325"/>
      <c r="H1715" s="321"/>
      <c r="I1715" s="326"/>
      <c r="J1715" s="355"/>
      <c r="K1715" s="69"/>
      <c r="L1715" s="322"/>
      <c r="M1715" s="82"/>
      <c r="N1715" s="323"/>
    </row>
    <row r="1716" spans="2:14" ht="15" x14ac:dyDescent="0.25">
      <c r="B1716" s="65"/>
      <c r="C1716" s="78"/>
      <c r="D1716" s="97"/>
      <c r="E1716" s="67"/>
      <c r="F1716" s="77"/>
      <c r="G1716" s="325"/>
      <c r="H1716" s="321"/>
      <c r="I1716" s="326"/>
      <c r="J1716" s="355"/>
      <c r="K1716" s="69"/>
      <c r="L1716" s="322"/>
      <c r="M1716" s="82"/>
      <c r="N1716" s="323"/>
    </row>
    <row r="1717" spans="2:14" x14ac:dyDescent="0.2">
      <c r="B1717" s="65"/>
      <c r="C1717" s="66"/>
      <c r="D1717" s="90"/>
      <c r="E1717" s="67"/>
      <c r="F1717" s="77"/>
      <c r="G1717" s="77"/>
      <c r="H1717" s="106"/>
      <c r="I1717" s="94"/>
      <c r="J1717" s="356"/>
      <c r="K1717" s="80"/>
      <c r="L1717" s="84"/>
      <c r="M1717" s="82"/>
      <c r="N1717" s="327"/>
    </row>
    <row r="1718" spans="2:14" ht="15" x14ac:dyDescent="0.25">
      <c r="B1718" s="65"/>
      <c r="C1718" s="78"/>
      <c r="D1718" s="90"/>
      <c r="E1718" s="67"/>
      <c r="F1718" s="77"/>
      <c r="G1718" s="328"/>
      <c r="H1718" s="321"/>
      <c r="I1718" s="326"/>
      <c r="J1718" s="355"/>
      <c r="K1718" s="69"/>
      <c r="L1718" s="322"/>
      <c r="M1718" s="82"/>
      <c r="N1718" s="327"/>
    </row>
    <row r="1719" spans="2:14" ht="15" x14ac:dyDescent="0.25">
      <c r="B1719" s="65"/>
      <c r="C1719" s="66"/>
      <c r="D1719" s="90"/>
      <c r="E1719" s="67"/>
      <c r="F1719" s="77"/>
      <c r="G1719" s="77"/>
      <c r="H1719" s="106"/>
      <c r="I1719" s="95"/>
      <c r="J1719" s="357"/>
      <c r="K1719" s="80"/>
      <c r="L1719" s="84"/>
      <c r="M1719" s="82"/>
      <c r="N1719" s="327"/>
    </row>
    <row r="1720" spans="2:14" ht="15" x14ac:dyDescent="0.25">
      <c r="B1720" s="91"/>
      <c r="C1720" s="66"/>
      <c r="D1720" s="90"/>
      <c r="E1720" s="67"/>
      <c r="F1720" s="77"/>
      <c r="G1720" s="77"/>
      <c r="H1720" s="106"/>
      <c r="I1720" s="95"/>
      <c r="J1720" s="357"/>
      <c r="K1720" s="69"/>
      <c r="L1720" s="84"/>
      <c r="M1720" s="82"/>
      <c r="N1720" s="327"/>
    </row>
    <row r="1721" spans="2:14" x14ac:dyDescent="0.2">
      <c r="B1721" s="91"/>
      <c r="C1721" s="66"/>
      <c r="D1721" s="90"/>
      <c r="E1721" s="67"/>
      <c r="F1721" s="77"/>
      <c r="G1721" s="77"/>
      <c r="H1721" s="106"/>
      <c r="I1721" s="94"/>
      <c r="J1721" s="356"/>
      <c r="K1721" s="69"/>
      <c r="L1721" s="84"/>
      <c r="M1721" s="82"/>
      <c r="N1721" s="327"/>
    </row>
    <row r="1722" spans="2:14" x14ac:dyDescent="0.2">
      <c r="B1722" s="91"/>
      <c r="C1722" s="66"/>
      <c r="D1722" s="90"/>
      <c r="E1722" s="67"/>
      <c r="F1722" s="77"/>
      <c r="G1722" s="77"/>
      <c r="H1722" s="106"/>
      <c r="I1722" s="94"/>
      <c r="J1722" s="356"/>
      <c r="K1722" s="69"/>
      <c r="L1722" s="84"/>
      <c r="M1722" s="82"/>
      <c r="N1722" s="327"/>
    </row>
    <row r="1723" spans="2:14" ht="15" x14ac:dyDescent="0.25">
      <c r="B1723" s="91"/>
      <c r="C1723" s="66"/>
      <c r="D1723" s="90"/>
      <c r="E1723" s="67"/>
      <c r="F1723" s="77"/>
      <c r="G1723" s="77"/>
      <c r="H1723" s="106"/>
      <c r="I1723" s="95"/>
      <c r="J1723" s="357"/>
      <c r="K1723" s="80"/>
      <c r="L1723" s="84"/>
      <c r="M1723" s="82"/>
      <c r="N1723" s="327"/>
    </row>
    <row r="1724" spans="2:14" ht="15" x14ac:dyDescent="0.25">
      <c r="B1724" s="91"/>
      <c r="C1724" s="66"/>
      <c r="D1724" s="90"/>
      <c r="E1724" s="67"/>
      <c r="F1724" s="77"/>
      <c r="G1724" s="77"/>
      <c r="H1724" s="106"/>
      <c r="I1724" s="95"/>
      <c r="J1724" s="357"/>
      <c r="K1724" s="69"/>
      <c r="L1724" s="84"/>
      <c r="M1724" s="82"/>
      <c r="N1724" s="327"/>
    </row>
    <row r="1725" spans="2:14" ht="15" x14ac:dyDescent="0.25">
      <c r="B1725" s="91"/>
      <c r="C1725" s="78"/>
      <c r="D1725" s="90"/>
      <c r="E1725" s="67"/>
      <c r="F1725" s="77"/>
      <c r="G1725" s="328"/>
      <c r="H1725" s="321"/>
      <c r="I1725" s="326"/>
      <c r="J1725" s="355"/>
      <c r="K1725" s="69"/>
      <c r="L1725" s="84"/>
      <c r="M1725" s="82"/>
      <c r="N1725" s="327"/>
    </row>
    <row r="1726" spans="2:14" x14ac:dyDescent="0.2">
      <c r="B1726" s="91"/>
      <c r="C1726" s="66"/>
      <c r="D1726" s="90"/>
      <c r="E1726" s="67"/>
      <c r="F1726" s="77"/>
      <c r="G1726" s="77"/>
      <c r="H1726" s="106"/>
      <c r="I1726" s="94"/>
      <c r="J1726" s="356"/>
      <c r="K1726" s="69"/>
      <c r="L1726" s="84"/>
      <c r="M1726" s="82"/>
      <c r="N1726" s="327"/>
    </row>
    <row r="1727" spans="2:14" ht="15" x14ac:dyDescent="0.25">
      <c r="B1727" s="91"/>
      <c r="C1727" s="66"/>
      <c r="D1727" s="90"/>
      <c r="E1727" s="67"/>
      <c r="F1727" s="77"/>
      <c r="G1727" s="77"/>
      <c r="H1727" s="106"/>
      <c r="I1727" s="95"/>
      <c r="J1727" s="357"/>
      <c r="K1727" s="69"/>
      <c r="L1727" s="84"/>
      <c r="M1727" s="82"/>
      <c r="N1727" s="327"/>
    </row>
    <row r="1728" spans="2:14" ht="15" x14ac:dyDescent="0.25">
      <c r="B1728" s="91"/>
      <c r="C1728" s="66"/>
      <c r="D1728" s="90"/>
      <c r="E1728" s="67"/>
      <c r="F1728" s="77"/>
      <c r="G1728" s="77"/>
      <c r="H1728" s="106"/>
      <c r="I1728" s="95"/>
      <c r="J1728" s="357"/>
      <c r="K1728" s="80"/>
      <c r="L1728" s="84"/>
      <c r="M1728" s="82"/>
      <c r="N1728" s="327"/>
    </row>
    <row r="1729" spans="2:14" x14ac:dyDescent="0.2">
      <c r="B1729" s="91"/>
      <c r="C1729" s="66"/>
      <c r="D1729" s="90"/>
      <c r="E1729" s="67"/>
      <c r="F1729" s="77"/>
      <c r="G1729" s="77"/>
      <c r="H1729" s="106"/>
      <c r="I1729" s="94"/>
      <c r="J1729" s="356"/>
      <c r="K1729" s="69"/>
      <c r="L1729" s="84"/>
      <c r="M1729" s="82"/>
      <c r="N1729" s="323"/>
    </row>
    <row r="1730" spans="2:14" ht="15" x14ac:dyDescent="0.25">
      <c r="B1730" s="91"/>
      <c r="C1730" s="66"/>
      <c r="D1730" s="90"/>
      <c r="E1730" s="67"/>
      <c r="F1730" s="77"/>
      <c r="G1730" s="77"/>
      <c r="H1730" s="106"/>
      <c r="I1730" s="95"/>
      <c r="J1730" s="357"/>
      <c r="K1730" s="69"/>
      <c r="L1730" s="322"/>
      <c r="M1730" s="82"/>
      <c r="N1730" s="323"/>
    </row>
    <row r="1731" spans="2:14" ht="15" x14ac:dyDescent="0.25">
      <c r="B1731" s="91"/>
      <c r="C1731" s="66"/>
      <c r="D1731" s="90"/>
      <c r="E1731" s="67"/>
      <c r="F1731" s="77"/>
      <c r="G1731" s="77"/>
      <c r="H1731" s="106"/>
      <c r="I1731" s="95"/>
      <c r="J1731" s="357"/>
      <c r="K1731" s="69"/>
      <c r="L1731" s="84"/>
      <c r="M1731" s="82"/>
      <c r="N1731" s="323"/>
    </row>
    <row r="1732" spans="2:14" ht="15" x14ac:dyDescent="0.25">
      <c r="B1732" s="65"/>
      <c r="C1732" s="78"/>
      <c r="D1732" s="90"/>
      <c r="E1732" s="67"/>
      <c r="F1732" s="77"/>
      <c r="G1732" s="328"/>
      <c r="H1732" s="321"/>
      <c r="I1732" s="326"/>
      <c r="J1732" s="355"/>
      <c r="K1732" s="69"/>
      <c r="L1732" s="322"/>
      <c r="M1732" s="82"/>
      <c r="N1732" s="323"/>
    </row>
    <row r="1733" spans="2:14" ht="15" x14ac:dyDescent="0.25">
      <c r="B1733" s="37"/>
      <c r="C1733" s="52"/>
      <c r="D1733" s="24"/>
      <c r="E1733" s="25"/>
      <c r="F1733" s="26"/>
      <c r="G1733" s="26"/>
      <c r="H1733" s="329"/>
      <c r="I1733" s="41"/>
      <c r="J1733" s="358"/>
      <c r="K1733" s="27"/>
      <c r="L1733" s="330"/>
      <c r="M1733" s="34"/>
      <c r="N1733" s="331"/>
    </row>
    <row r="1734" spans="2:14" ht="15" x14ac:dyDescent="0.25">
      <c r="B1734" s="37"/>
      <c r="C1734" s="53"/>
      <c r="D1734" s="24"/>
      <c r="E1734" s="25"/>
      <c r="F1734" s="26"/>
      <c r="G1734" s="325"/>
      <c r="H1734" s="332"/>
      <c r="I1734" s="333"/>
      <c r="J1734" s="359"/>
      <c r="K1734" s="27"/>
      <c r="L1734" s="33"/>
      <c r="M1734" s="34"/>
      <c r="N1734" s="331"/>
    </row>
    <row r="1735" spans="2:14" ht="15" x14ac:dyDescent="0.25">
      <c r="B1735" s="37"/>
      <c r="C1735" s="53"/>
      <c r="D1735" s="24"/>
      <c r="E1735" s="25"/>
      <c r="F1735" s="26"/>
      <c r="G1735" s="325"/>
      <c r="H1735" s="332"/>
      <c r="I1735" s="333"/>
      <c r="J1735" s="359"/>
      <c r="K1735" s="27"/>
      <c r="L1735" s="330"/>
      <c r="M1735" s="34"/>
      <c r="N1735" s="331"/>
    </row>
    <row r="1736" spans="2:14" ht="15" x14ac:dyDescent="0.25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0"/>
      <c r="M1736" s="34"/>
      <c r="N1736" s="331"/>
    </row>
    <row r="1737" spans="2:14" ht="15" x14ac:dyDescent="0.25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ht="15" x14ac:dyDescent="0.25">
      <c r="B1738" s="30"/>
      <c r="C1738" s="52"/>
      <c r="D1738" s="24"/>
      <c r="E1738" s="25"/>
      <c r="F1738" s="26"/>
      <c r="G1738" s="26"/>
      <c r="H1738" s="329"/>
      <c r="I1738" s="41"/>
      <c r="J1738" s="358"/>
      <c r="K1738" s="27"/>
      <c r="L1738" s="330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ht="15" x14ac:dyDescent="0.25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5"/>
    </row>
    <row r="1742" spans="2:14" ht="15" x14ac:dyDescent="0.25">
      <c r="B1742" s="30"/>
      <c r="C1742" s="2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5"/>
    </row>
    <row r="1743" spans="2:14" ht="15" x14ac:dyDescent="0.25">
      <c r="B1743" s="30"/>
      <c r="C1743" s="52"/>
      <c r="D1743" s="24"/>
      <c r="E1743" s="25"/>
      <c r="F1743" s="26"/>
      <c r="G1743" s="26"/>
      <c r="H1743" s="329"/>
      <c r="I1743" s="41"/>
      <c r="J1743" s="358"/>
      <c r="K1743" s="27"/>
      <c r="L1743" s="33"/>
      <c r="M1743" s="34"/>
      <c r="N1743" s="35"/>
    </row>
    <row r="1744" spans="2:14" ht="15" x14ac:dyDescent="0.25">
      <c r="B1744" s="37"/>
      <c r="C1744" s="52"/>
      <c r="D1744" s="24"/>
      <c r="E1744" s="25"/>
      <c r="F1744" s="26"/>
      <c r="G1744" s="26"/>
      <c r="H1744" s="329"/>
      <c r="I1744" s="41"/>
      <c r="J1744" s="358"/>
      <c r="K1744" s="27"/>
      <c r="L1744" s="33"/>
      <c r="M1744" s="34"/>
      <c r="N1744" s="35"/>
    </row>
    <row r="1745" spans="2:14" ht="15" x14ac:dyDescent="0.25">
      <c r="B1745" s="37"/>
      <c r="C1745" s="52"/>
      <c r="D1745" s="24"/>
      <c r="E1745" s="25"/>
      <c r="F1745" s="60"/>
      <c r="G1745" s="26"/>
      <c r="H1745" s="329"/>
      <c r="I1745" s="41"/>
      <c r="J1745" s="358"/>
      <c r="K1745" s="27"/>
      <c r="L1745" s="33"/>
      <c r="M1745" s="34"/>
      <c r="N1745" s="35"/>
    </row>
    <row r="1746" spans="2:14" ht="15" x14ac:dyDescent="0.25">
      <c r="B1746" s="37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26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5"/>
    </row>
    <row r="1753" spans="2:14" x14ac:dyDescent="0.2">
      <c r="B1753" s="37"/>
      <c r="C1753" s="23"/>
      <c r="D1753" s="24"/>
      <c r="E1753" s="25"/>
      <c r="F1753" s="60"/>
      <c r="G1753" s="26"/>
      <c r="H1753" s="329"/>
      <c r="I1753" s="42"/>
      <c r="J1753" s="360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"/>
      <c r="M1754" s="34"/>
      <c r="N1754" s="35"/>
    </row>
    <row r="1755" spans="2:14" ht="15" x14ac:dyDescent="0.25">
      <c r="B1755" s="37"/>
      <c r="C1755" s="52"/>
      <c r="D1755" s="24"/>
      <c r="E1755" s="25"/>
      <c r="F1755" s="60"/>
      <c r="G1755" s="26"/>
      <c r="H1755" s="329"/>
      <c r="I1755" s="41"/>
      <c r="J1755" s="358"/>
      <c r="K1755" s="27"/>
      <c r="L1755" s="33"/>
      <c r="M1755" s="34"/>
      <c r="N1755" s="35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5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"/>
      <c r="M1757" s="34"/>
      <c r="N1757" s="35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5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7"/>
      <c r="C1765" s="53"/>
      <c r="D1765" s="24"/>
      <c r="E1765" s="25"/>
      <c r="F1765" s="26"/>
      <c r="G1765" s="325"/>
      <c r="H1765" s="332"/>
      <c r="I1765" s="333"/>
      <c r="J1765" s="359"/>
      <c r="K1765" s="27"/>
      <c r="L1765" s="330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ht="15" x14ac:dyDescent="0.25">
      <c r="B1767" s="30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0"/>
      <c r="C1768" s="23"/>
      <c r="D1768" s="24"/>
      <c r="E1768" s="25"/>
      <c r="F1768" s="26"/>
      <c r="G1768" s="26"/>
      <c r="H1768" s="329"/>
      <c r="I1768" s="41"/>
      <c r="J1768" s="358"/>
      <c r="K1768" s="36"/>
      <c r="L1768" s="33"/>
      <c r="M1768" s="34"/>
      <c r="N1768" s="35"/>
    </row>
    <row r="1769" spans="2:14" ht="15" x14ac:dyDescent="0.25">
      <c r="B1769" s="30"/>
      <c r="C1769" s="23"/>
      <c r="D1769" s="24"/>
      <c r="E1769" s="25"/>
      <c r="F1769" s="26"/>
      <c r="G1769" s="325"/>
      <c r="H1769" s="332"/>
      <c r="I1769" s="333"/>
      <c r="J1769" s="359"/>
      <c r="K1769" s="27"/>
      <c r="L1769" s="33"/>
      <c r="M1769" s="34"/>
      <c r="N1769" s="35"/>
    </row>
    <row r="1770" spans="2:14" ht="15" x14ac:dyDescent="0.25">
      <c r="B1770" s="30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x14ac:dyDescent="0.2">
      <c r="B1771" s="37"/>
      <c r="C1771" s="52"/>
      <c r="D1771" s="24"/>
      <c r="E1771" s="25"/>
      <c r="F1771" s="26"/>
      <c r="G1771" s="26"/>
      <c r="H1771" s="329"/>
      <c r="I1771" s="42"/>
      <c r="J1771" s="360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60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x14ac:dyDescent="0.2">
      <c r="B1774" s="37"/>
      <c r="C1774" s="52"/>
      <c r="D1774" s="24"/>
      <c r="E1774" s="25"/>
      <c r="F1774" s="26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x14ac:dyDescent="0.2">
      <c r="B1776" s="37"/>
      <c r="C1776" s="52"/>
      <c r="D1776" s="24"/>
      <c r="E1776" s="25"/>
      <c r="F1776" s="26"/>
      <c r="G1776" s="26"/>
      <c r="H1776" s="329"/>
      <c r="I1776" s="42"/>
      <c r="J1776" s="360"/>
      <c r="K1776" s="27"/>
      <c r="L1776" s="33"/>
      <c r="M1776" s="34"/>
      <c r="N1776" s="35"/>
    </row>
    <row r="1777" spans="2:14" x14ac:dyDescent="0.2">
      <c r="B1777" s="37"/>
      <c r="C1777" s="23"/>
      <c r="D1777" s="24"/>
      <c r="E1777" s="25"/>
      <c r="F1777" s="26"/>
      <c r="G1777" s="325"/>
      <c r="H1777" s="332"/>
      <c r="I1777" s="334"/>
      <c r="J1777" s="361"/>
      <c r="K1777" s="27"/>
      <c r="L1777" s="33"/>
      <c r="M1777" s="34"/>
      <c r="N1777" s="35"/>
    </row>
    <row r="1778" spans="2:14" x14ac:dyDescent="0.2">
      <c r="B1778" s="37"/>
      <c r="C1778" s="52"/>
      <c r="D1778" s="24"/>
      <c r="E1778" s="25"/>
      <c r="F1778" s="26"/>
      <c r="G1778" s="26"/>
      <c r="H1778" s="329"/>
      <c r="I1778" s="42"/>
      <c r="J1778" s="360"/>
      <c r="K1778" s="36"/>
      <c r="L1778" s="33"/>
      <c r="M1778" s="34"/>
      <c r="N1778" s="35"/>
    </row>
    <row r="1779" spans="2:14" x14ac:dyDescent="0.2">
      <c r="B1779" s="37"/>
      <c r="C1779" s="53"/>
      <c r="D1779" s="24"/>
      <c r="E1779" s="25"/>
      <c r="F1779" s="26"/>
      <c r="G1779" s="26"/>
      <c r="H1779" s="329"/>
      <c r="I1779" s="334"/>
      <c r="J1779" s="361"/>
      <c r="K1779" s="36"/>
      <c r="L1779" s="330"/>
      <c r="M1779" s="34"/>
      <c r="N1779" s="35"/>
    </row>
    <row r="1780" spans="2:14" ht="15" x14ac:dyDescent="0.25">
      <c r="B1780" s="37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0"/>
      <c r="M1780" s="34"/>
      <c r="N1780" s="35"/>
    </row>
    <row r="1781" spans="2:14" ht="15" x14ac:dyDescent="0.25">
      <c r="B1781" s="37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26"/>
      <c r="H1782" s="329"/>
      <c r="I1782" s="333"/>
      <c r="J1782" s="359"/>
      <c r="K1782" s="36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36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36"/>
      <c r="L1792" s="33"/>
      <c r="M1792" s="34"/>
      <c r="N1792" s="35"/>
    </row>
    <row r="1793" spans="2:14" ht="15" x14ac:dyDescent="0.25">
      <c r="B1793" s="30"/>
      <c r="C1793" s="23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ht="15" x14ac:dyDescent="0.25">
      <c r="B1794" s="30"/>
      <c r="C1794" s="23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ht="15" x14ac:dyDescent="0.25">
      <c r="B1795" s="30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ht="15" x14ac:dyDescent="0.25">
      <c r="B1796" s="30"/>
      <c r="C1796" s="23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ht="15" x14ac:dyDescent="0.25">
      <c r="B1797" s="30"/>
      <c r="C1797" s="52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ht="15" x14ac:dyDescent="0.25">
      <c r="B1798" s="30"/>
      <c r="C1798" s="53"/>
      <c r="D1798" s="24"/>
      <c r="E1798" s="25"/>
      <c r="F1798" s="26"/>
      <c r="G1798" s="325"/>
      <c r="H1798" s="332"/>
      <c r="I1798" s="333"/>
      <c r="J1798" s="359"/>
      <c r="K1798" s="36"/>
      <c r="L1798" s="33"/>
      <c r="M1798" s="34"/>
      <c r="N1798" s="35"/>
    </row>
    <row r="1799" spans="2:14" ht="15" x14ac:dyDescent="0.25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52"/>
      <c r="D1800" s="24"/>
      <c r="E1800" s="25"/>
      <c r="F1800" s="26"/>
      <c r="G1800" s="26"/>
      <c r="H1800" s="329"/>
      <c r="I1800" s="41"/>
      <c r="J1800" s="358"/>
      <c r="K1800" s="36"/>
      <c r="L1800" s="33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x14ac:dyDescent="0.2">
      <c r="B1802" s="37"/>
      <c r="C1802" s="23"/>
      <c r="D1802" s="24"/>
      <c r="E1802" s="25"/>
      <c r="F1802" s="26"/>
      <c r="G1802" s="26"/>
      <c r="H1802" s="329"/>
      <c r="I1802" s="42"/>
      <c r="J1802" s="360"/>
      <c r="K1802" s="36"/>
      <c r="L1802" s="33"/>
      <c r="M1802" s="34"/>
      <c r="N1802" s="35"/>
    </row>
    <row r="1803" spans="2:14" x14ac:dyDescent="0.2">
      <c r="B1803" s="37"/>
      <c r="C1803" s="23"/>
      <c r="D1803" s="24"/>
      <c r="E1803" s="25"/>
      <c r="F1803" s="26"/>
      <c r="G1803" s="26"/>
      <c r="H1803" s="329"/>
      <c r="I1803" s="42"/>
      <c r="J1803" s="360"/>
      <c r="K1803" s="36"/>
      <c r="L1803" s="33"/>
      <c r="M1803" s="34"/>
      <c r="N1803" s="35"/>
    </row>
    <row r="1804" spans="2:14" ht="15" x14ac:dyDescent="0.25">
      <c r="B1804" s="37"/>
      <c r="C1804" s="23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x14ac:dyDescent="0.2">
      <c r="B1805" s="37"/>
      <c r="C1805" s="52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ht="15" x14ac:dyDescent="0.25">
      <c r="B1806" s="37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x14ac:dyDescent="0.2">
      <c r="B1807" s="37"/>
      <c r="C1807" s="52"/>
      <c r="D1807" s="24"/>
      <c r="E1807" s="25"/>
      <c r="F1807" s="26"/>
      <c r="G1807" s="26"/>
      <c r="H1807" s="329"/>
      <c r="I1807" s="42"/>
      <c r="J1807" s="360"/>
      <c r="K1807" s="36"/>
      <c r="L1807" s="330"/>
      <c r="M1807" s="34"/>
      <c r="N1807" s="35"/>
    </row>
    <row r="1808" spans="2:14" ht="15" x14ac:dyDescent="0.25">
      <c r="B1808" s="37"/>
      <c r="C1808" s="23"/>
      <c r="D1808" s="24"/>
      <c r="E1808" s="25"/>
      <c r="F1808" s="26"/>
      <c r="G1808" s="26"/>
      <c r="H1808" s="329"/>
      <c r="I1808" s="41"/>
      <c r="J1808" s="358"/>
      <c r="K1808" s="27"/>
      <c r="L1808" s="330"/>
      <c r="M1808" s="34"/>
      <c r="N1808" s="35"/>
    </row>
    <row r="1809" spans="2:14" ht="15" x14ac:dyDescent="0.25">
      <c r="B1809" s="37"/>
      <c r="C1809" s="23"/>
      <c r="D1809" s="24"/>
      <c r="E1809" s="25"/>
      <c r="F1809" s="26"/>
      <c r="G1809" s="26"/>
      <c r="H1809" s="329"/>
      <c r="I1809" s="41"/>
      <c r="J1809" s="358"/>
      <c r="K1809" s="27"/>
      <c r="L1809" s="330"/>
      <c r="M1809" s="34"/>
      <c r="N1809" s="35"/>
    </row>
    <row r="1810" spans="2:14" x14ac:dyDescent="0.2">
      <c r="B1810" s="37"/>
      <c r="C1810" s="23"/>
      <c r="D1810" s="24"/>
      <c r="E1810" s="25"/>
      <c r="F1810" s="26"/>
      <c r="G1810" s="325"/>
      <c r="H1810" s="332"/>
      <c r="I1810" s="334"/>
      <c r="J1810" s="361"/>
      <c r="K1810" s="27"/>
      <c r="L1810" s="33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7"/>
      <c r="C1813" s="52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x14ac:dyDescent="0.2">
      <c r="B1814" s="37"/>
      <c r="C1814" s="23"/>
      <c r="D1814" s="24"/>
      <c r="E1814" s="25"/>
      <c r="F1814" s="26"/>
      <c r="G1814" s="325"/>
      <c r="H1814" s="332"/>
      <c r="I1814" s="334"/>
      <c r="J1814" s="361"/>
      <c r="K1814" s="27"/>
      <c r="L1814" s="33"/>
      <c r="M1814" s="34"/>
      <c r="N1814" s="35"/>
    </row>
    <row r="1815" spans="2:14" ht="15" x14ac:dyDescent="0.25">
      <c r="B1815" s="37"/>
      <c r="C1815" s="53"/>
      <c r="D1815" s="24"/>
      <c r="E1815" s="25"/>
      <c r="F1815" s="26"/>
      <c r="G1815" s="325"/>
      <c r="H1815" s="332"/>
      <c r="I1815" s="333"/>
      <c r="J1815" s="359"/>
      <c r="K1815" s="27"/>
      <c r="L1815" s="330"/>
      <c r="M1815" s="34"/>
      <c r="N1815" s="35"/>
    </row>
    <row r="1816" spans="2:14" ht="15" x14ac:dyDescent="0.25">
      <c r="B1816" s="37"/>
      <c r="C1816" s="53"/>
      <c r="D1816" s="24"/>
      <c r="E1816" s="25"/>
      <c r="F1816" s="26"/>
      <c r="G1816" s="325"/>
      <c r="H1816" s="332"/>
      <c r="I1816" s="333"/>
      <c r="J1816" s="359"/>
      <c r="K1816" s="27"/>
      <c r="L1816" s="330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ht="15" x14ac:dyDescent="0.25">
      <c r="B1819" s="37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0"/>
      <c r="C1820" s="23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23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0"/>
      <c r="C1822" s="23"/>
      <c r="D1822" s="24"/>
      <c r="E1822" s="25"/>
      <c r="F1822" s="26"/>
      <c r="G1822" s="325"/>
      <c r="H1822" s="332"/>
      <c r="I1822" s="333"/>
      <c r="J1822" s="359"/>
      <c r="K1822" s="27"/>
      <c r="L1822" s="33"/>
      <c r="M1822" s="34"/>
      <c r="N1822" s="35"/>
    </row>
    <row r="1823" spans="2:14" x14ac:dyDescent="0.2">
      <c r="B1823" s="30"/>
      <c r="C1823" s="23"/>
      <c r="D1823" s="24"/>
      <c r="E1823" s="25"/>
      <c r="F1823" s="26"/>
      <c r="G1823" s="26"/>
      <c r="H1823" s="329"/>
      <c r="I1823" s="42"/>
      <c r="J1823" s="360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27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0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0"/>
      <c r="C1827" s="23"/>
      <c r="D1827" s="24"/>
      <c r="E1827" s="25"/>
      <c r="F1827" s="26"/>
      <c r="G1827" s="26"/>
      <c r="H1827" s="329"/>
      <c r="I1827" s="42"/>
      <c r="J1827" s="360"/>
      <c r="K1827" s="27"/>
      <c r="L1827" s="33"/>
      <c r="M1827" s="34"/>
      <c r="N1827" s="35"/>
    </row>
    <row r="1828" spans="2:14" ht="15" x14ac:dyDescent="0.25">
      <c r="B1828" s="30"/>
      <c r="C1828" s="23"/>
      <c r="D1828" s="24"/>
      <c r="E1828" s="25"/>
      <c r="F1828" s="26"/>
      <c r="G1828" s="325"/>
      <c r="H1828" s="332"/>
      <c r="I1828" s="333"/>
      <c r="J1828" s="359"/>
      <c r="K1828" s="27"/>
      <c r="L1828" s="33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26"/>
      <c r="H1830" s="329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29"/>
      <c r="I1832" s="41"/>
      <c r="J1832" s="358"/>
      <c r="K1832" s="27"/>
      <c r="L1832" s="330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26"/>
      <c r="H1833" s="329"/>
      <c r="I1833" s="42"/>
      <c r="J1833" s="360"/>
      <c r="K1833" s="27"/>
      <c r="L1833" s="33"/>
      <c r="M1833" s="34"/>
      <c r="N1833" s="35"/>
    </row>
    <row r="1834" spans="2:14" x14ac:dyDescent="0.2">
      <c r="B1834" s="30"/>
      <c r="C1834" s="23"/>
      <c r="D1834" s="24"/>
      <c r="E1834" s="25"/>
      <c r="F1834" s="26"/>
      <c r="G1834" s="26"/>
      <c r="H1834" s="329"/>
      <c r="I1834" s="42"/>
      <c r="J1834" s="360"/>
      <c r="K1834" s="27"/>
      <c r="L1834" s="33"/>
      <c r="M1834" s="34"/>
      <c r="N1834" s="35"/>
    </row>
    <row r="1835" spans="2:14" ht="15" x14ac:dyDescent="0.25">
      <c r="B1835" s="37"/>
      <c r="C1835" s="2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2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0"/>
      <c r="C1838" s="23"/>
      <c r="D1838" s="24"/>
      <c r="E1838" s="25"/>
      <c r="F1838" s="26"/>
      <c r="G1838" s="26"/>
      <c r="H1838" s="329"/>
      <c r="I1838" s="41"/>
      <c r="J1838" s="358"/>
      <c r="K1838" s="27"/>
      <c r="L1838" s="33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0"/>
      <c r="M1839" s="34"/>
      <c r="N1839" s="35"/>
    </row>
    <row r="1840" spans="2:14" ht="15" x14ac:dyDescent="0.25">
      <c r="B1840" s="37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ht="15" x14ac:dyDescent="0.25">
      <c r="B1846" s="37"/>
      <c r="C1846" s="23"/>
      <c r="D1846" s="24"/>
      <c r="E1846" s="25"/>
      <c r="F1846" s="26"/>
      <c r="G1846" s="26"/>
      <c r="H1846" s="329"/>
      <c r="I1846" s="41"/>
      <c r="J1846" s="358"/>
      <c r="K1846" s="36"/>
      <c r="L1846" s="33"/>
      <c r="M1846" s="34"/>
      <c r="N1846" s="35"/>
    </row>
  </sheetData>
  <sortState xmlns:xlrd2="http://schemas.microsoft.com/office/spreadsheetml/2017/richdata2" ref="B7:I1048555">
    <sortCondition ref="C7:C25"/>
  </sortState>
  <mergeCells count="3">
    <mergeCell ref="D1:H1"/>
    <mergeCell ref="D2:K2"/>
    <mergeCell ref="B3:F4"/>
  </mergeCells>
  <phoneticPr fontId="19" type="noConversion"/>
  <conditionalFormatting sqref="H1819:H184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19:H184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19:H184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19:E184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19:E184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19:E184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19:E184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19:E184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19:E184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19:E184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19:E184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19:H184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19:H184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19:H184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19:E184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19:H184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19:E184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19:H1846">
    <cfRule type="iconSet" priority="282941">
      <iconSet>
        <cfvo type="percent" val="0"/>
        <cfvo type="percent" val="23"/>
        <cfvo type="percent" val="70"/>
      </iconSet>
    </cfRule>
  </conditionalFormatting>
  <conditionalFormatting sqref="H1819:H184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19:H184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19:H184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19:H184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19:E184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19:H184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19:H184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19:H184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19:H184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19:H184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19:E184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19:H184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19:H184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19:E184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19:E184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19:H184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19:H184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19:H184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19:E184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19:H184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19:H184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19:H184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19:H184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19:H184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19:H184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19:E184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19:H184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19:H184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19:H184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19:H184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19:H184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19:H184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19:H184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19:H184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19:E184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19:H184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19:E184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19:H184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19:E184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19:H184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19:H1846">
    <cfRule type="iconSet" priority="283409">
      <iconSet>
        <cfvo type="percent" val="0"/>
        <cfvo type="num" val="22"/>
        <cfvo type="num" val="26"/>
      </iconSet>
    </cfRule>
  </conditionalFormatting>
  <conditionalFormatting sqref="H1819:H184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19:H1846">
    <cfRule type="iconSet" priority="283415">
      <iconSet>
        <cfvo type="percent" val="0"/>
        <cfvo type="num" val="21"/>
        <cfvo type="num" val="25"/>
      </iconSet>
    </cfRule>
  </conditionalFormatting>
  <conditionalFormatting sqref="H1819:H1846">
    <cfRule type="iconSet" priority="283417">
      <iconSet>
        <cfvo type="percent" val="0"/>
        <cfvo type="num" val="19"/>
        <cfvo type="num" val="23"/>
      </iconSet>
    </cfRule>
  </conditionalFormatting>
  <conditionalFormatting sqref="H1819:H1846">
    <cfRule type="iconSet" priority="283419">
      <iconSet>
        <cfvo type="percent" val="0"/>
        <cfvo type="num" val="23"/>
        <cfvo type="num" val="27"/>
      </iconSet>
    </cfRule>
  </conditionalFormatting>
  <conditionalFormatting sqref="E1733:E173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28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27:E1156 E7:E25">
    <cfRule type="cellIs" dxfId="30" priority="170" operator="greaterThan">
      <formula>7</formula>
    </cfRule>
  </conditionalFormatting>
  <conditionalFormatting sqref="E1466:E4744">
    <cfRule type="cellIs" dxfId="29" priority="137" operator="greaterThan">
      <formula>7</formula>
    </cfRule>
  </conditionalFormatting>
  <conditionalFormatting sqref="I27:I1228 G27:G29 I7:I25">
    <cfRule type="cellIs" dxfId="28" priority="41" operator="lessThan">
      <formula>E7</formula>
    </cfRule>
  </conditionalFormatting>
  <conditionalFormatting sqref="I1819:I184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19:I184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19:I184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19:I184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19:I184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19:I184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19:I184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19:I184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19:I184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19:I184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19:I184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19:I184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19:I184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19:I184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5:H1452 H1239:H1413 H27:H1228 H7:H25">
    <cfRule type="cellIs" dxfId="27" priority="297711" operator="greaterThan">
      <formula>$H$26</formula>
    </cfRule>
  </conditionalFormatting>
  <conditionalFormatting sqref="L7:L1228">
    <cfRule type="top10" dxfId="26" priority="29772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E1819:E1846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H1819:H1846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E1733:E1735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I1819:I1846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H1819:H1846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H1819:H1846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L1819:L1846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L1819:L1846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L1819:L1846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L1819:L1846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L1819:L1846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H1819:H1846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E1713:E1732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$H$26</xm:f>
              </x14:cfvo>
              <x14:cfIcon iconSet="NoIcons" iconId="0"/>
              <x14:cfIcon iconSet="NoIcons" iconId="0"/>
              <x14:cfIcon iconSet="3Stars" iconId="2"/>
            </x14:iconSet>
          </x14:cfRule>
          <xm:sqref>H1239:H1249 H27:H1228 H7:H25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2025-12-26T08:39:19Z</cp:lastPrinted>
  <dcterms:created xsi:type="dcterms:W3CDTF">2021-05-05T13:25:05Z</dcterms:created>
  <dcterms:modified xsi:type="dcterms:W3CDTF">2025-12-26T08:40:51Z</dcterms:modified>
</cp:coreProperties>
</file>