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E27B982-61DF-4244-9787-7A02AFE5514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H8" i="1"/>
  <c r="M8" i="1"/>
  <c r="O8" i="1"/>
  <c r="Q8" i="1" s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 s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C45" i="1"/>
  <c r="G45" i="1"/>
  <c r="F45" i="1"/>
  <c r="E45" i="1"/>
  <c r="G11" i="6"/>
  <c r="F11" i="6"/>
  <c r="E11" i="6"/>
  <c r="T7" i="1"/>
  <c r="O7" i="1"/>
  <c r="Q7" i="1" s="1"/>
  <c r="M7" i="1"/>
  <c r="H7" i="1"/>
  <c r="P3" i="6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3" i="3"/>
  <c r="E12" i="3"/>
  <c r="AP6" i="3"/>
  <c r="H11" i="3"/>
  <c r="D12" i="3"/>
  <c r="I16" i="1" l="1"/>
  <c r="J16" i="1" s="1"/>
  <c r="I31" i="1"/>
  <c r="I10" i="1"/>
  <c r="J10" i="1" s="1"/>
  <c r="I41" i="1"/>
  <c r="I38" i="1"/>
  <c r="J38" i="1" s="1"/>
  <c r="I37" i="1"/>
  <c r="I35" i="1"/>
  <c r="I32" i="1"/>
  <c r="I22" i="1"/>
  <c r="J22" i="1" s="1"/>
  <c r="I21" i="1"/>
  <c r="I19" i="1"/>
  <c r="I11" i="1"/>
  <c r="I34" i="1"/>
  <c r="J34" i="1" s="1"/>
  <c r="I33" i="1"/>
  <c r="I17" i="1"/>
  <c r="I9" i="1"/>
  <c r="I42" i="1"/>
  <c r="J42" i="1" s="1"/>
  <c r="I43" i="1"/>
  <c r="I40" i="1"/>
  <c r="I26" i="1"/>
  <c r="J26" i="1" s="1"/>
  <c r="I25" i="1"/>
  <c r="I23" i="1"/>
  <c r="I20" i="1"/>
  <c r="I15" i="1"/>
  <c r="I14" i="1"/>
  <c r="J14" i="1" s="1"/>
  <c r="I13" i="1"/>
  <c r="I12" i="1"/>
  <c r="I28" i="1"/>
  <c r="I18" i="1"/>
  <c r="J18" i="1" s="1"/>
  <c r="I8" i="1"/>
  <c r="I7" i="1"/>
  <c r="J7" i="1" s="1"/>
  <c r="I39" i="1"/>
  <c r="I36" i="1"/>
  <c r="I44" i="1"/>
  <c r="I30" i="1"/>
  <c r="J30" i="1" s="1"/>
  <c r="I29" i="1"/>
  <c r="I27" i="1"/>
  <c r="I24" i="1"/>
  <c r="P38" i="1"/>
  <c r="L38" i="1" s="1"/>
  <c r="U17" i="1"/>
  <c r="H45" i="1"/>
  <c r="U43" i="1" s="1"/>
  <c r="P45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7" i="1" l="1"/>
  <c r="L7" i="1" s="1"/>
  <c r="U37" i="1"/>
  <c r="P16" i="1"/>
  <c r="L16" i="1" s="1"/>
  <c r="U24" i="1"/>
  <c r="U40" i="1"/>
  <c r="U10" i="1"/>
  <c r="P26" i="1"/>
  <c r="L26" i="1" s="1"/>
  <c r="U30" i="1"/>
  <c r="U31" i="1"/>
  <c r="U14" i="1"/>
  <c r="U12" i="1"/>
  <c r="U32" i="1"/>
  <c r="U9" i="1"/>
  <c r="P22" i="1"/>
  <c r="L22" i="1" s="1"/>
  <c r="P30" i="1"/>
  <c r="L30" i="1" s="1"/>
  <c r="U41" i="1"/>
  <c r="U22" i="1"/>
  <c r="U27" i="1"/>
  <c r="U19" i="1"/>
  <c r="U35" i="1"/>
  <c r="U39" i="1"/>
  <c r="U28" i="1"/>
  <c r="U44" i="1"/>
  <c r="U21" i="1"/>
  <c r="U29" i="1"/>
  <c r="U18" i="1"/>
  <c r="U34" i="1"/>
  <c r="U16" i="1"/>
  <c r="U8" i="1"/>
  <c r="U23" i="1"/>
  <c r="U20" i="1"/>
  <c r="U36" i="1"/>
  <c r="U13" i="1"/>
  <c r="U25" i="1"/>
  <c r="U33" i="1"/>
  <c r="U42" i="1"/>
  <c r="U26" i="1"/>
  <c r="U15" i="1"/>
  <c r="U38" i="1"/>
  <c r="U11" i="1"/>
  <c r="P34" i="1"/>
  <c r="L34" i="1" s="1"/>
  <c r="P42" i="1"/>
  <c r="L42" i="1" s="1"/>
  <c r="P36" i="1"/>
  <c r="L36" i="1" s="1"/>
  <c r="J36" i="1"/>
  <c r="P13" i="1"/>
  <c r="L13" i="1" s="1"/>
  <c r="J13" i="1"/>
  <c r="P43" i="1"/>
  <c r="L43" i="1" s="1"/>
  <c r="J43" i="1"/>
  <c r="P33" i="1"/>
  <c r="L33" i="1" s="1"/>
  <c r="J33" i="1"/>
  <c r="P19" i="1"/>
  <c r="L19" i="1" s="1"/>
  <c r="J19" i="1"/>
  <c r="P10" i="1"/>
  <c r="L10" i="1" s="1"/>
  <c r="P18" i="1"/>
  <c r="L18" i="1" s="1"/>
  <c r="P29" i="1"/>
  <c r="L29" i="1" s="1"/>
  <c r="J29" i="1"/>
  <c r="J39" i="1"/>
  <c r="P39" i="1"/>
  <c r="L39" i="1" s="1"/>
  <c r="J28" i="1"/>
  <c r="P28" i="1"/>
  <c r="L28" i="1" s="1"/>
  <c r="P21" i="1"/>
  <c r="L21" i="1" s="1"/>
  <c r="J21" i="1"/>
  <c r="P37" i="1"/>
  <c r="L37" i="1" s="1"/>
  <c r="J37" i="1"/>
  <c r="J31" i="1"/>
  <c r="P31" i="1"/>
  <c r="L31" i="1" s="1"/>
  <c r="P15" i="1"/>
  <c r="L15" i="1" s="1"/>
  <c r="J15" i="1"/>
  <c r="P9" i="1"/>
  <c r="L9" i="1" s="1"/>
  <c r="J9" i="1"/>
  <c r="P27" i="1"/>
  <c r="L27" i="1" s="1"/>
  <c r="J27" i="1"/>
  <c r="P23" i="1"/>
  <c r="L23" i="1" s="1"/>
  <c r="J23" i="1"/>
  <c r="J35" i="1"/>
  <c r="P35" i="1"/>
  <c r="L35" i="1" s="1"/>
  <c r="P25" i="1"/>
  <c r="L25" i="1" s="1"/>
  <c r="J25" i="1"/>
  <c r="P14" i="1"/>
  <c r="L14" i="1" s="1"/>
  <c r="I45" i="1"/>
  <c r="P24" i="1"/>
  <c r="L24" i="1" s="1"/>
  <c r="J24" i="1"/>
  <c r="P44" i="1"/>
  <c r="L44" i="1" s="1"/>
  <c r="J44" i="1"/>
  <c r="J8" i="1"/>
  <c r="P8" i="1"/>
  <c r="L8" i="1" s="1"/>
  <c r="J12" i="1"/>
  <c r="P12" i="1"/>
  <c r="L12" i="1" s="1"/>
  <c r="P20" i="1"/>
  <c r="L20" i="1" s="1"/>
  <c r="J20" i="1"/>
  <c r="P40" i="1"/>
  <c r="L40" i="1" s="1"/>
  <c r="J40" i="1"/>
  <c r="P17" i="1"/>
  <c r="L17" i="1" s="1"/>
  <c r="J17" i="1"/>
  <c r="J11" i="1"/>
  <c r="P11" i="1"/>
  <c r="L11" i="1" s="1"/>
  <c r="J32" i="1"/>
  <c r="P32" i="1"/>
  <c r="L32" i="1" s="1"/>
  <c r="P41" i="1"/>
  <c r="L41" i="1" s="1"/>
  <c r="J41" i="1"/>
  <c r="U46" i="1"/>
  <c r="U7" i="1"/>
  <c r="N45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R8" i="1"/>
  <c r="S8" i="1" s="1"/>
  <c r="R11" i="1"/>
  <c r="S11" i="1" s="1"/>
  <c r="R16" i="1"/>
  <c r="S16" i="1" s="1"/>
  <c r="R19" i="1"/>
  <c r="S19" i="1" s="1"/>
  <c r="R28" i="1"/>
  <c r="S28" i="1" s="1"/>
  <c r="R29" i="1"/>
  <c r="S29" i="1" s="1"/>
  <c r="R30" i="1"/>
  <c r="S30" i="1" s="1"/>
  <c r="R35" i="1"/>
  <c r="S35" i="1" s="1"/>
  <c r="R39" i="1"/>
  <c r="S39" i="1" s="1"/>
  <c r="R26" i="1"/>
  <c r="S26" i="1" s="1"/>
  <c r="R31" i="1"/>
  <c r="S31" i="1" s="1"/>
  <c r="R44" i="1"/>
  <c r="S44" i="1" s="1"/>
  <c r="R38" i="1"/>
  <c r="S38" i="1" s="1"/>
  <c r="R42" i="1"/>
  <c r="S42" i="1" s="1"/>
  <c r="R15" i="1"/>
  <c r="S15" i="1" s="1"/>
  <c r="R17" i="1"/>
  <c r="S17" i="1" s="1"/>
  <c r="R23" i="1"/>
  <c r="S23" i="1" s="1"/>
  <c r="R33" i="1"/>
  <c r="S33" i="1" s="1"/>
  <c r="R34" i="1"/>
  <c r="S34" i="1" s="1"/>
  <c r="R43" i="1"/>
  <c r="S43" i="1" s="1"/>
  <c r="R12" i="1"/>
  <c r="S12" i="1" s="1"/>
  <c r="R13" i="1"/>
  <c r="S13" i="1" s="1"/>
  <c r="R14" i="1"/>
  <c r="S14" i="1" s="1"/>
  <c r="R24" i="1"/>
  <c r="S24" i="1" s="1"/>
  <c r="R25" i="1"/>
  <c r="S25" i="1" s="1"/>
  <c r="R41" i="1"/>
  <c r="S41" i="1" s="1"/>
  <c r="R10" i="1"/>
  <c r="S10" i="1" s="1"/>
  <c r="R32" i="1"/>
  <c r="S32" i="1" s="1"/>
  <c r="R20" i="1"/>
  <c r="S20" i="1" s="1"/>
  <c r="R21" i="1"/>
  <c r="S21" i="1" s="1"/>
  <c r="R22" i="1"/>
  <c r="S22" i="1" s="1"/>
  <c r="R27" i="1"/>
  <c r="S27" i="1" s="1"/>
  <c r="R36" i="1"/>
  <c r="S36" i="1" s="1"/>
  <c r="R37" i="1"/>
  <c r="S37" i="1" s="1"/>
  <c r="R40" i="1"/>
  <c r="S40" i="1" s="1"/>
  <c r="R9" i="1"/>
  <c r="S9" i="1" s="1"/>
  <c r="R18" i="1"/>
  <c r="S18" i="1" s="1"/>
  <c r="R7" i="1"/>
  <c r="S7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<sst xmlns="http://schemas.openxmlformats.org/spreadsheetml/2006/main" count="303" uniqueCount="195">
  <si>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</si>
  <si>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</si>
  <si>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</si>
  <si>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</si>
  <si>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</si>
  <si>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</si>
  <si>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</si>
  <si>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</si>
  <si>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</si>
  <si>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</si>
  <si>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</si>
  <si>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</si>
  <si>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</si>
  <si>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</si>
  <si>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</si>
  <si>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</si>
  <si>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</si>
  <si>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</si>
  <si>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</si>
  <si>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</si>
  <si>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</si>
  <si>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</si>
  <si>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</si>
  <si>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</si>
  <si>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</si>
  <si>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</si>
  <si>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</si>
  <si>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</si>
  <si>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</si>
  <si>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</si>
  <si>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</si>
  <si>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</si>
  <si>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</si>
  <si>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</si>
  <si>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</si>
  <si>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</si>
  <si>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</si>
  <si>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</si>
  <si>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</si>
  <si>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</si>
  <si>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</si>
  <si>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</si>
  <si>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</si>
  <si>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</si>
  <si>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</si>
  <si>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</si>
  <si>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</si>
  <si>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</si>
  <si>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</si>
  <si>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</si>
  <si>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</si>
  <si>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</si>
  <si>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</si>
  <si>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</si>
  <si>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</si>
  <si>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</si>
  <si>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</si>
  <si>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</si>
  <si>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</si>
  <si>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</si>
  <si>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</si>
  <si>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</si>
  <si>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</si>
  <si>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</si>
  <si>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</si>
  <si>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</si>
  <si>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</si>
  <si>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</si>
  <si>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</si>
  <si>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</si>
  <si>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</si>
  <si>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</si>
  <si>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</si>
  <si>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</si>
  <si>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</si>
  <si>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</si>
  <si>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</si>
  <si>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</si>
  <si>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</si>
  <si>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</si>
  <si>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</si>
  <si>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</si>
  <si>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</si>
  <si>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</si>
  <si>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</si>
  <si>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</si>
  <si>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</si>
  <si>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</si>
  <si>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</si>
  <si>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</si>
  <si>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</si>
  <si>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</si>
  <si>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</si>
  <si>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</si>
  <si>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</si>
  <si>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</si>
  <si>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</si>
  <si>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</si>
  <si>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</si>
  <si>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</si>
  <si>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</si>
  <si>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</si>
  <si>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</si>
  <si>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</si>
  <si>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</si>
  <si>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</si>
  <si>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</si>
  <si>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</si>
  <si>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</si>
  <si>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</si>
  <si>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</si>
  <si>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</si>
  <si>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</si>
  <si>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</si>
  <si>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</si>
  <si>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</si>
  <si>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</si>
  <si>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</si>
  <si>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</si>
  <si>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</si>
  <si>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</si>
  <si>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</si>
  <si>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</si>
  <si>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</si>
  <si>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</si>
  <si>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</si>
  <si>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</si>
  <si>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</si>
  <si>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</si>
  <si>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</si>
  <si>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</si>
  <si>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</si>
  <si>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</si>
  <si>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</si>
  <si>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</si>
  <si>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</si>
  <si>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</si>
  <si>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</si>
  <si>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</si>
  <si>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</si>
  <si>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</si>
  <si>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</si>
  <si>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</si>
  <si>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</si>
  <si>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</si>
  <si>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</si>
  <si>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</si>
  <si>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</si>
  <si>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AGUDELO GARCIA LLORDIN ELIAS</t>
  </si>
  <si>
    <t>QUIRAMA CASTAÑEDA JHON JADER</t>
  </si>
  <si>
    <t>LAYOS JIMENEZ JOHAN CAMILO</t>
  </si>
  <si>
    <t>OSORIO URREGO SANTIAGO</t>
  </si>
  <si>
    <t>FRANCO CARVAJAL GERARDO ANTONIO</t>
  </si>
  <si>
    <t>SALDARRIAGA PARRA LUIS ALBERTO</t>
  </si>
  <si>
    <t>RUA CHAVARRIA YEFERSON ANDREY</t>
  </si>
  <si>
    <t>LEON PEREZ RAUL ENRIQUE</t>
  </si>
  <si>
    <t>OCAMPO OCAMPO ANTONIO JOSE</t>
  </si>
  <si>
    <t>FLORES RINCON JORGE ALBERTO</t>
  </si>
  <si>
    <t>TUBERQUIA  MAICOL</t>
  </si>
  <si>
    <t>MARIN ALZATE KEVIN ANDRES</t>
  </si>
  <si>
    <t>VALENCIA MENDOZA JHON</t>
  </si>
  <si>
    <t>TUBERQUIA URREGO HAROL</t>
  </si>
  <si>
    <t>YEPES TORRES JHON ALEXANDER</t>
  </si>
  <si>
    <t>MACIAS HERNANDEZ JULIAN DAVID</t>
  </si>
  <si>
    <t>MIRANDA MACHADO ALVARO</t>
  </si>
  <si>
    <t>HINCAPIE VILLA JUAN ESTIVEN</t>
  </si>
  <si>
    <t>PARIAS MURIEL JHON FREDY</t>
  </si>
  <si>
    <t>AGUDELO GARCIA DENIN ANGELO</t>
  </si>
  <si>
    <t>MARULANDA JARAMILLO DAWER ANDRES</t>
  </si>
  <si>
    <t>SUAREZ ESCUDERO JONATAN</t>
  </si>
  <si>
    <t>SANCHEZ BETANCOURT FRANSCISCO</t>
  </si>
  <si>
    <t>PALMAR PANA EDIXON JOSUE</t>
  </si>
  <si>
    <t>GONZALEZ PEREZ RAFAEL JOSE</t>
  </si>
  <si>
    <t>ALBERTO ARISTIZABAL RAFAEL</t>
  </si>
  <si>
    <t>MURILLO  YOIMAR ANDRES</t>
  </si>
  <si>
    <t>DAVID  HENRY GIOVANNY</t>
  </si>
  <si>
    <t>VERENZUELA MARTINEZ ALEXANDER</t>
  </si>
  <si>
    <t>MONTOYA OSPINA GILBERTO ANTONIO</t>
  </si>
  <si>
    <t>MACEA ARBELAEZ MATEO</t>
  </si>
  <si>
    <t>JIMENEZ HERNANDEZ ESTEBAN CAMILO</t>
  </si>
  <si>
    <t>ARAQUE ARROYAVE JOSE ALBEIRO</t>
  </si>
  <si>
    <t xml:space="preserve">LOPEZ PINEDA DANIEL ESTIVEN </t>
  </si>
  <si>
    <t xml:space="preserve">CARTAGENA RAMIREZ FREDY ALONSO </t>
  </si>
  <si>
    <t xml:space="preserve">TABORDA ROJAS DIEGO ALEJANDRO </t>
  </si>
  <si>
    <t xml:space="preserve">CIRO MARIN RODRIGO ALBERTO </t>
  </si>
  <si>
    <t xml:space="preserve">GUILLERMO ESPINOZA Realizó 3 viajes donde movilizó 22 Usuarios </t>
  </si>
  <si>
    <t xml:space="preserve">3 Descuentos (Despachador y conducts) </t>
  </si>
  <si>
    <t xml:space="preserve">2 Descuentos (Usuarios desubicados) </t>
  </si>
  <si>
    <t xml:space="preserve">4 Descuentos (transbordo y usuarios desubicados) </t>
  </si>
  <si>
    <t xml:space="preserve">2 Descuentos (Transbordo) </t>
  </si>
  <si>
    <t xml:space="preserve">3 Descuentos (Usuarios desubicados y conduct) </t>
  </si>
  <si>
    <t xml:space="preserve">Se descuenta 0.5 viaje de 7 48 am ya que NO espera el tiempo indicado en el paradero. </t>
  </si>
  <si>
    <t xml:space="preserve">Se descuenta 0.5 viaje de 5 44 am ya que NO cumple con el recorrido de la ruta. </t>
  </si>
  <si>
    <t xml:space="preserve">Se descuenta 0.5 viaje de 11 44 am ya que NO espera el tiempo indicado en el paradero. </t>
  </si>
  <si>
    <r>
      <t xml:space="preserve">PROMEDIO X VIAJE </t>
    </r>
    <r>
      <rPr>
        <b/>
        <sz val="11"/>
        <color theme="8" tint="-0.249977111117893"/>
        <rFont val="Verdana"/>
        <family val="2"/>
      </rPr>
      <t>13.6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</si>
</sst>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8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 formatCode="General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 formatCode="General">
                  <c:v>30</c:v>
                </c:pt>
                <c:pt idx="26">
                  <c:v>31</c:v>
                </c:pt>
                <c:pt idx="27" formatCode="General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 formatCode="General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44">
    <sortCondition ref="C16:C44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3.6 USUARIOS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48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topLeftCell="A2" zoomScaleNormal="100" workbookViewId="0">
      <selection activeCell="A2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9.375" style="361" hidden="1" customWidth="1"/>
    <col min="11" max="11" width="59.125" bestFit="1" customWidth="1"/>
    <col min="12" max="12" width="10.5" style="336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hidden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7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0"/>
      <c r="H3" s="242"/>
      <c r="I3" s="19"/>
      <c r="J3" s="337"/>
      <c r="K3" s="195"/>
      <c r="L3" s="197"/>
      <c r="Q3" s="55">
        <f>+SUM(G6:G1856)/2</f>
        <v>4449</v>
      </c>
      <c r="R3" s="55">
        <f>+SUM(E6:E1856)/2</f>
        <v>326</v>
      </c>
      <c r="S3" s="55">
        <f>+Q3-R3</f>
        <v>4123</v>
      </c>
      <c r="T3" s="56">
        <f>+S3/R3</f>
        <v>12.64723926380368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46025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9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165</v>
      </c>
      <c r="E7" s="150">
        <v>9</v>
      </c>
      <c r="F7" s="150">
        <v>0</v>
      </c>
      <c r="G7" s="146">
        <v>101</v>
      </c>
      <c r="H7" s="226">
        <f>+G7/E7</f>
        <v>11.222222222222221</v>
      </c>
      <c r="I7" s="363">
        <f>+(SUM($G$7:$G$1048576)/SUM($E$7:$E$1048576))*E7</f>
        <v>122.82515337423312</v>
      </c>
      <c r="J7" s="362">
        <f>+Tabla2[[#This Row],[PROM DE USUARIOS]]-Tabla2[[#This Row],[USUARIOS]]</f>
        <v>21.825153374233125</v>
      </c>
      <c r="K7" s="151"/>
      <c r="L7" s="163">
        <f>P7*585</f>
        <v>66587.714723926372</v>
      </c>
      <c r="M7" s="162" t="str">
        <f>+VLOOKUP(C7,Lista!B:D,3,0)</f>
        <v>MICRO</v>
      </c>
      <c r="N7" s="164">
        <f t="shared" ref="N7:N44" si="0">+(SUMIFS(G:G,M:M,"MICRO",E:E,"&gt;0")*100)/COUNTIF($E$7:$E$44,"&gt;0")</f>
        <v>6957.894736842105</v>
      </c>
      <c r="O7" s="50">
        <f t="shared" ref="O7:O41" si="1">+(E7*1)-V7</f>
        <v>9</v>
      </c>
      <c r="P7" s="47">
        <f t="shared" ref="P7:P41" si="2">+I7-O7-W7</f>
        <v>113.82515337423312</v>
      </c>
      <c r="Q7" s="49">
        <f t="shared" ref="Q7:Q41" si="3">+G7-O7</f>
        <v>92</v>
      </c>
      <c r="R7" s="51">
        <f t="shared" ref="R7:R41" si="4">+E7*$T$3</f>
        <v>113.82515337423312</v>
      </c>
      <c r="S7" s="46">
        <f t="shared" ref="S7:S41" si="5">+R7*550</f>
        <v>62603.834355828221</v>
      </c>
      <c r="T7" t="str">
        <f t="shared" ref="T7:T41" si="6">+IF(K7&lt;&gt;"",K7,"")</f>
        <v/>
      </c>
      <c r="U7">
        <f>+RANK(H7,$H$6:$H$1048576,1)</f>
        <v>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66">
        <v>2</v>
      </c>
      <c r="D8" s="151" t="s">
        <v>166</v>
      </c>
      <c r="E8" s="150">
        <v>8</v>
      </c>
      <c r="F8" s="150">
        <v>0</v>
      </c>
      <c r="G8" s="165">
        <v>124</v>
      </c>
      <c r="H8" s="226">
        <f t="shared" ref="H8:H44" si="7">+G8/E8</f>
        <v>15.5</v>
      </c>
      <c r="I8" s="363">
        <f t="shared" ref="I8:I44" si="8">+(SUM($G$7:$G$1048576)/SUM($E$7:$E$1048576))*E8</f>
        <v>109.17791411042944</v>
      </c>
      <c r="J8" s="362">
        <f>+Tabla2[[#This Row],[PROM DE USUARIOS]]-Tabla2[[#This Row],[USUARIOS]]</f>
        <v>-14.822085889570559</v>
      </c>
      <c r="K8" s="151"/>
      <c r="L8" s="163">
        <f t="shared" ref="L8:L44" si="9">P8*585</f>
        <v>59189.079754601225</v>
      </c>
      <c r="M8" s="162">
        <f>+VLOOKUP(C8,Lista!B:D,3,0)</f>
        <v>0</v>
      </c>
      <c r="N8" s="164">
        <f t="shared" si="0"/>
        <v>6957.894736842105</v>
      </c>
      <c r="O8" s="50">
        <f t="shared" ref="O8:O44" si="10">+(E8*1)-V8</f>
        <v>8</v>
      </c>
      <c r="P8" s="47">
        <f t="shared" ref="P8:P44" si="11">+I8-O8-W8</f>
        <v>101.17791411042944</v>
      </c>
      <c r="Q8" s="49">
        <f t="shared" ref="Q8:Q44" si="12">+G8-O8</f>
        <v>116</v>
      </c>
      <c r="R8" s="51">
        <f t="shared" ref="R8:R44" si="13">+E8*$T$3</f>
        <v>101.17791411042944</v>
      </c>
      <c r="S8" s="46">
        <f t="shared" ref="S8:S44" si="14">+R8*550</f>
        <v>55647.85276073619</v>
      </c>
      <c r="T8" t="str">
        <f t="shared" ref="T8:T44" si="15">+IF(K8&lt;&gt;"",K8,"")</f>
        <v/>
      </c>
      <c r="U8">
        <f t="shared" ref="U8:U44" si="16">+RANK(H8,$H$6:$H$1048576,1)</f>
        <v>33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169</v>
      </c>
      <c r="E9" s="150">
        <v>9</v>
      </c>
      <c r="F9" s="150">
        <v>0</v>
      </c>
      <c r="G9" s="146">
        <v>130</v>
      </c>
      <c r="H9" s="226">
        <f t="shared" si="7"/>
        <v>14.444444444444445</v>
      </c>
      <c r="I9" s="363">
        <f t="shared" si="8"/>
        <v>122.82515337423312</v>
      </c>
      <c r="J9" s="362">
        <f>+Tabla2[[#This Row],[PROM DE USUARIOS]]-Tabla2[[#This Row],[USUARIOS]]</f>
        <v>-7.1748466257668753</v>
      </c>
      <c r="K9" s="151"/>
      <c r="L9" s="163">
        <f t="shared" si="9"/>
        <v>66587.714723926372</v>
      </c>
      <c r="M9" s="162" t="str">
        <f>+VLOOKUP(C9,Lista!B:D,3,0)</f>
        <v>MICRO</v>
      </c>
      <c r="N9" s="164">
        <f t="shared" si="0"/>
        <v>6957.894736842105</v>
      </c>
      <c r="O9" s="50">
        <f t="shared" si="10"/>
        <v>9</v>
      </c>
      <c r="P9" s="47">
        <f t="shared" si="11"/>
        <v>113.82515337423312</v>
      </c>
      <c r="Q9" s="49">
        <f t="shared" si="12"/>
        <v>121</v>
      </c>
      <c r="R9" s="51">
        <f t="shared" si="13"/>
        <v>113.82515337423312</v>
      </c>
      <c r="S9" s="46">
        <f t="shared" si="14"/>
        <v>62603.834355828221</v>
      </c>
      <c r="T9" t="str">
        <f t="shared" si="15"/>
        <v/>
      </c>
      <c r="U9">
        <f t="shared" si="16"/>
        <v>27</v>
      </c>
      <c r="Y9" t="str">
        <f>TRIM(Tabla2[[#This Row],[CONDUCTOR]])</f>
        <v>SUAREZ ESCUDERO JONATAN</v>
      </c>
    </row>
    <row r="10" spans="1:32" x14ac:dyDescent="0.2">
      <c r="B10" s="136" t="s">
        <v>122</v>
      </c>
      <c r="C10" s="166">
        <v>4</v>
      </c>
      <c r="D10" s="151" t="s">
        <v>170</v>
      </c>
      <c r="E10" s="150">
        <v>9</v>
      </c>
      <c r="F10" s="150">
        <v>0</v>
      </c>
      <c r="G10" s="146">
        <v>121</v>
      </c>
      <c r="H10" s="226">
        <f t="shared" si="7"/>
        <v>13.444444444444445</v>
      </c>
      <c r="I10" s="363">
        <f t="shared" si="8"/>
        <v>122.82515337423312</v>
      </c>
      <c r="J10" s="362">
        <f>+Tabla2[[#This Row],[PROM DE USUARIOS]]-Tabla2[[#This Row],[USUARIOS]]</f>
        <v>1.8251533742331247</v>
      </c>
      <c r="K10" s="151"/>
      <c r="L10" s="163">
        <f t="shared" si="9"/>
        <v>66587.714723926372</v>
      </c>
      <c r="M10" s="162" t="str">
        <f>+VLOOKUP(C10,Lista!B:D,3,0)</f>
        <v>MICRO</v>
      </c>
      <c r="N10" s="164">
        <f t="shared" si="0"/>
        <v>6957.894736842105</v>
      </c>
      <c r="O10" s="50">
        <f t="shared" si="10"/>
        <v>9</v>
      </c>
      <c r="P10" s="47">
        <f t="shared" si="11"/>
        <v>113.82515337423312</v>
      </c>
      <c r="Q10" s="49">
        <f t="shared" si="12"/>
        <v>112</v>
      </c>
      <c r="R10" s="51">
        <f t="shared" si="13"/>
        <v>113.82515337423312</v>
      </c>
      <c r="S10" s="46">
        <f t="shared" si="14"/>
        <v>62603.834355828221</v>
      </c>
      <c r="T10" t="str">
        <f t="shared" si="15"/>
        <v/>
      </c>
      <c r="U10">
        <f t="shared" si="16"/>
        <v>16</v>
      </c>
      <c r="Y10" t="str">
        <f>TRIM(Tabla2[[#This Row],[CONDUCTOR]])</f>
        <v>SANCHEZ BETANCOURT FRANSCISCO</v>
      </c>
    </row>
    <row r="11" spans="1:32" s="2" customFormat="1" ht="22.5" x14ac:dyDescent="0.2">
      <c r="B11" s="136" t="s">
        <v>121</v>
      </c>
      <c r="C11" s="166">
        <v>5</v>
      </c>
      <c r="D11" s="136" t="s">
        <v>176</v>
      </c>
      <c r="E11" s="150">
        <v>9</v>
      </c>
      <c r="F11" s="150">
        <v>0.5</v>
      </c>
      <c r="G11" s="373">
        <v>92</v>
      </c>
      <c r="H11" s="374">
        <f t="shared" si="7"/>
        <v>10.222222222222221</v>
      </c>
      <c r="I11" s="375">
        <f t="shared" si="8"/>
        <v>122.82515337423312</v>
      </c>
      <c r="J11" s="376">
        <f>+Tabla2[[#This Row],[PROM DE USUARIOS]]-Tabla2[[#This Row],[USUARIOS]]</f>
        <v>30.825153374233125</v>
      </c>
      <c r="K11" s="377" t="s">
        <v>192</v>
      </c>
      <c r="L11" s="163">
        <f t="shared" si="9"/>
        <v>62888.467223926382</v>
      </c>
      <c r="M11" s="162">
        <f>+VLOOKUP(C11,Lista!B:D,3,0)</f>
        <v>0</v>
      </c>
      <c r="N11" s="164">
        <f t="shared" si="0"/>
        <v>6957.894736842105</v>
      </c>
      <c r="O11" s="50">
        <f t="shared" si="10"/>
        <v>8.5</v>
      </c>
      <c r="P11" s="47">
        <f t="shared" si="11"/>
        <v>107.50165337423313</v>
      </c>
      <c r="Q11" s="49">
        <f t="shared" si="12"/>
        <v>83.5</v>
      </c>
      <c r="R11" s="51">
        <f t="shared" si="13"/>
        <v>113.82515337423312</v>
      </c>
      <c r="S11" s="46">
        <f t="shared" si="14"/>
        <v>62603.834355828221</v>
      </c>
      <c r="T11" s="2" t="str">
        <f t="shared" si="15"/>
        <v xml:space="preserve">Se descuenta 0.5 viaje de 5 44 am ya que NO cumple con el recorrido de la ruta. </v>
      </c>
      <c r="U11" s="2">
        <f t="shared" si="16"/>
        <v>5</v>
      </c>
      <c r="V11" s="2">
        <v>0.5</v>
      </c>
      <c r="W11" s="2">
        <v>6.8235000000000001</v>
      </c>
      <c r="Y11" s="2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181</v>
      </c>
      <c r="E12" s="150">
        <v>9</v>
      </c>
      <c r="F12" s="150">
        <v>0</v>
      </c>
      <c r="G12" s="165">
        <v>83</v>
      </c>
      <c r="H12" s="226">
        <f t="shared" si="7"/>
        <v>9.2222222222222214</v>
      </c>
      <c r="I12" s="363">
        <f t="shared" si="8"/>
        <v>122.82515337423312</v>
      </c>
      <c r="J12" s="362">
        <f>+Tabla2[[#This Row],[PROM DE USUARIOS]]-Tabla2[[#This Row],[USUARIOS]]</f>
        <v>39.825153374233125</v>
      </c>
      <c r="K12" s="151"/>
      <c r="L12" s="163">
        <f t="shared" si="9"/>
        <v>66587.714723926372</v>
      </c>
      <c r="M12" s="162" t="str">
        <f>+VLOOKUP(C12,Lista!B:D,3,0)</f>
        <v>MICRO</v>
      </c>
      <c r="N12" s="164">
        <f t="shared" si="0"/>
        <v>6957.894736842105</v>
      </c>
      <c r="O12" s="50">
        <f t="shared" si="10"/>
        <v>9</v>
      </c>
      <c r="P12" s="47">
        <f t="shared" si="11"/>
        <v>113.82515337423312</v>
      </c>
      <c r="Q12" s="49">
        <f t="shared" si="12"/>
        <v>74</v>
      </c>
      <c r="R12" s="51">
        <f t="shared" si="13"/>
        <v>113.82515337423312</v>
      </c>
      <c r="S12" s="46">
        <f t="shared" si="14"/>
        <v>62603.834355828221</v>
      </c>
      <c r="T12" t="str">
        <f t="shared" si="15"/>
        <v/>
      </c>
      <c r="U12">
        <f t="shared" si="16"/>
        <v>4</v>
      </c>
      <c r="Y12" t="str">
        <f>TRIM(Tabla2[[#This Row],[CONDUCTOR]])</f>
        <v>LOPEZ PINEDA DANIEL ESTIVEN</v>
      </c>
    </row>
    <row r="13" spans="1:32" s="2" customFormat="1" ht="22.5" x14ac:dyDescent="0.2">
      <c r="B13" s="136" t="s">
        <v>121</v>
      </c>
      <c r="C13" s="166">
        <v>8</v>
      </c>
      <c r="D13" s="136" t="s">
        <v>172</v>
      </c>
      <c r="E13" s="150">
        <v>9</v>
      </c>
      <c r="F13" s="150">
        <v>0.5</v>
      </c>
      <c r="G13" s="373">
        <v>81</v>
      </c>
      <c r="H13" s="374">
        <f t="shared" si="7"/>
        <v>9</v>
      </c>
      <c r="I13" s="375">
        <f t="shared" si="8"/>
        <v>122.82515337423312</v>
      </c>
      <c r="J13" s="376">
        <f>+Tabla2[[#This Row],[PROM DE USUARIOS]]-Tabla2[[#This Row],[USUARIOS]]</f>
        <v>41.825153374233125</v>
      </c>
      <c r="K13" s="377" t="s">
        <v>191</v>
      </c>
      <c r="L13" s="163">
        <f t="shared" si="9"/>
        <v>62888.467223926382</v>
      </c>
      <c r="M13" s="162">
        <f>+VLOOKUP(C13,Lista!B:D,3,0)</f>
        <v>0</v>
      </c>
      <c r="N13" s="164">
        <f t="shared" si="0"/>
        <v>6957.894736842105</v>
      </c>
      <c r="O13" s="50">
        <f t="shared" si="10"/>
        <v>8.5</v>
      </c>
      <c r="P13" s="47">
        <f t="shared" si="11"/>
        <v>107.50165337423313</v>
      </c>
      <c r="Q13" s="49">
        <f t="shared" si="12"/>
        <v>72.5</v>
      </c>
      <c r="R13" s="51">
        <f t="shared" si="13"/>
        <v>113.82515337423312</v>
      </c>
      <c r="S13" s="46">
        <f t="shared" si="14"/>
        <v>62603.834355828221</v>
      </c>
      <c r="T13" s="2" t="str">
        <f t="shared" si="15"/>
        <v xml:space="preserve">Se descuenta 0.5 viaje de 7 48 am ya que NO espera el tiempo indicado en el paradero. </v>
      </c>
      <c r="U13" s="2">
        <f t="shared" si="16"/>
        <v>2</v>
      </c>
      <c r="V13" s="2">
        <v>0.5</v>
      </c>
      <c r="W13" s="2">
        <v>6.8235000000000001</v>
      </c>
      <c r="Y13" s="2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182</v>
      </c>
      <c r="E14" s="150">
        <v>9</v>
      </c>
      <c r="F14" s="150">
        <v>0</v>
      </c>
      <c r="G14" s="146">
        <v>129</v>
      </c>
      <c r="H14" s="226">
        <f t="shared" si="7"/>
        <v>14.333333333333334</v>
      </c>
      <c r="I14" s="363">
        <f t="shared" si="8"/>
        <v>122.82515337423312</v>
      </c>
      <c r="J14" s="362">
        <f>+Tabla2[[#This Row],[PROM DE USUARIOS]]-Tabla2[[#This Row],[USUARIOS]]</f>
        <v>-6.1748466257668753</v>
      </c>
      <c r="K14" s="151"/>
      <c r="L14" s="163">
        <f t="shared" si="9"/>
        <v>66587.714723926372</v>
      </c>
      <c r="M14" s="162" t="str">
        <f>+VLOOKUP(C14,Lista!B:D,3,0)</f>
        <v>MICRO</v>
      </c>
      <c r="N14" s="164">
        <f t="shared" si="0"/>
        <v>6957.894736842105</v>
      </c>
      <c r="O14" s="50">
        <f t="shared" si="10"/>
        <v>9</v>
      </c>
      <c r="P14" s="47">
        <f t="shared" si="11"/>
        <v>113.82515337423312</v>
      </c>
      <c r="Q14" s="49">
        <f t="shared" si="12"/>
        <v>120</v>
      </c>
      <c r="R14" s="51">
        <f t="shared" si="13"/>
        <v>113.82515337423312</v>
      </c>
      <c r="S14" s="46">
        <f t="shared" si="14"/>
        <v>62603.834355828221</v>
      </c>
      <c r="T14" t="str">
        <f t="shared" si="15"/>
        <v/>
      </c>
      <c r="U14">
        <f t="shared" si="16"/>
        <v>26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162</v>
      </c>
      <c r="E15" s="150">
        <v>10</v>
      </c>
      <c r="F15" s="150">
        <v>0</v>
      </c>
      <c r="G15" s="146">
        <v>116</v>
      </c>
      <c r="H15" s="226">
        <f t="shared" si="7"/>
        <v>11.6</v>
      </c>
      <c r="I15" s="363">
        <f t="shared" si="8"/>
        <v>136.47239263803681</v>
      </c>
      <c r="J15" s="362">
        <f>+Tabla2[[#This Row],[PROM DE USUARIOS]]-Tabla2[[#This Row],[USUARIOS]]</f>
        <v>20.472392638036808</v>
      </c>
      <c r="K15" s="151" t="s">
        <v>186</v>
      </c>
      <c r="L15" s="163">
        <f t="shared" si="9"/>
        <v>73986.349693251526</v>
      </c>
      <c r="M15" s="162" t="str">
        <f>+VLOOKUP(C15,Lista!B:D,3,0)</f>
        <v>MICRO</v>
      </c>
      <c r="N15" s="164">
        <f t="shared" si="0"/>
        <v>6957.894736842105</v>
      </c>
      <c r="O15" s="50">
        <f t="shared" si="10"/>
        <v>10</v>
      </c>
      <c r="P15" s="47">
        <f t="shared" si="11"/>
        <v>126.47239263803681</v>
      </c>
      <c r="Q15" s="49">
        <f t="shared" si="12"/>
        <v>106</v>
      </c>
      <c r="R15" s="51">
        <f t="shared" si="13"/>
        <v>126.47239263803681</v>
      </c>
      <c r="S15" s="46">
        <f t="shared" si="14"/>
        <v>69559.815950920238</v>
      </c>
      <c r="T15" t="str">
        <f t="shared" si="15"/>
        <v xml:space="preserve">3 Descuentos (Despachador y conducts) </v>
      </c>
      <c r="U15">
        <f t="shared" si="16"/>
        <v>8</v>
      </c>
      <c r="Y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175</v>
      </c>
      <c r="E16" s="150">
        <v>9</v>
      </c>
      <c r="F16" s="150">
        <v>0</v>
      </c>
      <c r="G16" s="165">
        <v>122</v>
      </c>
      <c r="H16" s="226">
        <f t="shared" si="7"/>
        <v>13.555555555555555</v>
      </c>
      <c r="I16" s="363">
        <f t="shared" si="8"/>
        <v>122.82515337423312</v>
      </c>
      <c r="J16" s="362">
        <f>+Tabla2[[#This Row],[PROM DE USUARIOS]]-Tabla2[[#This Row],[USUARIOS]]</f>
        <v>0.82515337423312474</v>
      </c>
      <c r="K16" s="151" t="s">
        <v>187</v>
      </c>
      <c r="L16" s="163">
        <f t="shared" si="9"/>
        <v>66587.714723926372</v>
      </c>
      <c r="M16" s="162">
        <f>+VLOOKUP(C16,Lista!B:D,3,0)</f>
        <v>0</v>
      </c>
      <c r="N16" s="164">
        <f t="shared" si="0"/>
        <v>6957.894736842105</v>
      </c>
      <c r="O16" s="50">
        <f t="shared" si="10"/>
        <v>9</v>
      </c>
      <c r="P16" s="47">
        <f t="shared" si="11"/>
        <v>113.82515337423312</v>
      </c>
      <c r="Q16" s="49">
        <f t="shared" si="12"/>
        <v>113</v>
      </c>
      <c r="R16" s="51">
        <f t="shared" si="13"/>
        <v>113.82515337423312</v>
      </c>
      <c r="S16" s="46">
        <f t="shared" si="14"/>
        <v>62603.834355828221</v>
      </c>
      <c r="T16" t="str">
        <f t="shared" si="15"/>
        <v xml:space="preserve">2 Descuentos (Usuarios desubicados) </v>
      </c>
      <c r="U16">
        <f t="shared" si="16"/>
        <v>17</v>
      </c>
      <c r="Y16" t="str">
        <f>TRIM(Tabla2[[#This Row],[CONDUCTOR]])</f>
        <v>DAVID HENRY GIOVANNY</v>
      </c>
    </row>
    <row r="17" spans="2:25" x14ac:dyDescent="0.2">
      <c r="B17" s="136" t="s">
        <v>122</v>
      </c>
      <c r="C17" s="166">
        <v>13</v>
      </c>
      <c r="D17" s="151" t="s">
        <v>164</v>
      </c>
      <c r="E17" s="150">
        <v>8</v>
      </c>
      <c r="F17" s="150">
        <v>0</v>
      </c>
      <c r="G17" s="146">
        <v>148</v>
      </c>
      <c r="H17" s="226">
        <f t="shared" si="7"/>
        <v>18.5</v>
      </c>
      <c r="I17" s="363">
        <f t="shared" si="8"/>
        <v>109.17791411042944</v>
      </c>
      <c r="J17" s="362">
        <f>+Tabla2[[#This Row],[PROM DE USUARIOS]]-Tabla2[[#This Row],[USUARIOS]]</f>
        <v>-38.822085889570559</v>
      </c>
      <c r="K17" s="151"/>
      <c r="L17" s="163">
        <f t="shared" si="9"/>
        <v>59189.079754601225</v>
      </c>
      <c r="M17" s="162" t="str">
        <f>+VLOOKUP(C17,Lista!B:D,3,0)</f>
        <v>MICRO</v>
      </c>
      <c r="N17" s="164">
        <f t="shared" si="0"/>
        <v>6957.894736842105</v>
      </c>
      <c r="O17" s="50">
        <f t="shared" si="10"/>
        <v>8</v>
      </c>
      <c r="P17" s="47">
        <f t="shared" si="11"/>
        <v>101.17791411042944</v>
      </c>
      <c r="Q17" s="49">
        <f t="shared" si="12"/>
        <v>140</v>
      </c>
      <c r="R17" s="51">
        <f t="shared" si="13"/>
        <v>101.17791411042944</v>
      </c>
      <c r="S17" s="46">
        <f t="shared" si="14"/>
        <v>55647.85276073619</v>
      </c>
      <c r="T17" t="str">
        <f t="shared" si="15"/>
        <v/>
      </c>
      <c r="U17">
        <f t="shared" si="16"/>
        <v>39</v>
      </c>
      <c r="Y17" t="str">
        <f>TRIM(Tabla2[[#This Row],[CONDUCTOR]])</f>
        <v>MIRANDA MACHADO ALVARO</v>
      </c>
    </row>
    <row r="18" spans="2:25" x14ac:dyDescent="0.2">
      <c r="B18" s="136" t="s">
        <v>121</v>
      </c>
      <c r="C18" s="166">
        <v>14</v>
      </c>
      <c r="D18" s="151" t="s">
        <v>120</v>
      </c>
      <c r="E18" s="150">
        <v>5</v>
      </c>
      <c r="F18" s="150"/>
      <c r="G18" s="165">
        <v>34</v>
      </c>
      <c r="H18" s="226">
        <f t="shared" si="7"/>
        <v>6.8</v>
      </c>
      <c r="I18" s="363">
        <f t="shared" si="8"/>
        <v>68.236196319018404</v>
      </c>
      <c r="J18" s="362">
        <f>+Tabla2[[#This Row],[PROM DE USUARIOS]]-Tabla2[[#This Row],[USUARIOS]]</f>
        <v>34.236196319018404</v>
      </c>
      <c r="K18" s="151"/>
      <c r="L18" s="163">
        <f t="shared" si="9"/>
        <v>36993.174846625763</v>
      </c>
      <c r="M18" s="162">
        <f>+VLOOKUP(C18,Lista!B:D,3,0)</f>
        <v>0</v>
      </c>
      <c r="N18" s="164">
        <f t="shared" si="0"/>
        <v>6957.894736842105</v>
      </c>
      <c r="O18" s="50">
        <f t="shared" si="10"/>
        <v>5</v>
      </c>
      <c r="P18" s="47">
        <f t="shared" si="11"/>
        <v>63.236196319018404</v>
      </c>
      <c r="Q18" s="49">
        <f t="shared" si="12"/>
        <v>29</v>
      </c>
      <c r="R18" s="51">
        <f t="shared" si="13"/>
        <v>63.236196319018404</v>
      </c>
      <c r="S18" s="46">
        <f t="shared" si="14"/>
        <v>34779.907975460119</v>
      </c>
      <c r="T18" t="str">
        <f t="shared" si="15"/>
        <v/>
      </c>
      <c r="U18">
        <f t="shared" si="16"/>
        <v>1</v>
      </c>
      <c r="Y18" t="str">
        <f>TRIM(Tabla2[[#This Row],[CONDUCTOR]])</f>
        <v>DURANGO PAEZ GILDARDO</v>
      </c>
    </row>
    <row r="19" spans="2:25" x14ac:dyDescent="0.2">
      <c r="B19" s="136" t="s">
        <v>122</v>
      </c>
      <c r="C19" s="166">
        <v>15</v>
      </c>
      <c r="D19" s="151" t="s">
        <v>184</v>
      </c>
      <c r="E19" s="150">
        <v>9</v>
      </c>
      <c r="F19" s="150">
        <v>0</v>
      </c>
      <c r="G19" s="146">
        <v>133</v>
      </c>
      <c r="H19" s="226">
        <f t="shared" si="7"/>
        <v>14.777777777777779</v>
      </c>
      <c r="I19" s="363">
        <f t="shared" si="8"/>
        <v>122.82515337423312</v>
      </c>
      <c r="J19" s="362">
        <f>+Tabla2[[#This Row],[PROM DE USUARIOS]]-Tabla2[[#This Row],[USUARIOS]]</f>
        <v>-10.174846625766875</v>
      </c>
      <c r="K19" s="151" t="s">
        <v>185</v>
      </c>
      <c r="L19" s="163">
        <f t="shared" si="9"/>
        <v>66587.714723926372</v>
      </c>
      <c r="M19" s="162">
        <f>+VLOOKUP(C19,Lista!B:D,3,0)</f>
        <v>0</v>
      </c>
      <c r="N19" s="164">
        <f t="shared" si="0"/>
        <v>6957.894736842105</v>
      </c>
      <c r="O19" s="50">
        <f t="shared" si="10"/>
        <v>9</v>
      </c>
      <c r="P19" s="47">
        <f t="shared" si="11"/>
        <v>113.82515337423312</v>
      </c>
      <c r="Q19" s="49">
        <f t="shared" si="12"/>
        <v>124</v>
      </c>
      <c r="R19" s="51">
        <f t="shared" si="13"/>
        <v>113.82515337423312</v>
      </c>
      <c r="S19" s="46">
        <f t="shared" si="14"/>
        <v>62603.834355828221</v>
      </c>
      <c r="T19" t="str">
        <f t="shared" si="15"/>
        <v xml:space="preserve">GUILLERMO ESPINOZA Realizó 3 viajes donde movilizó 22 Usuarios </v>
      </c>
      <c r="U19">
        <f t="shared" si="16"/>
        <v>28</v>
      </c>
      <c r="Y19" t="str">
        <f>TRIM(Tabla2[[#This Row],[CONDUCTOR]])</f>
        <v>CIRO MARIN RODRIGO ALBERTO</v>
      </c>
    </row>
    <row r="20" spans="2:25" x14ac:dyDescent="0.2">
      <c r="B20" s="136" t="s">
        <v>121</v>
      </c>
      <c r="C20" s="166">
        <v>16</v>
      </c>
      <c r="D20" s="151" t="s">
        <v>177</v>
      </c>
      <c r="E20" s="150">
        <v>9</v>
      </c>
      <c r="F20" s="150">
        <v>0</v>
      </c>
      <c r="G20" s="146">
        <v>137</v>
      </c>
      <c r="H20" s="226">
        <f t="shared" si="7"/>
        <v>15.222222222222221</v>
      </c>
      <c r="I20" s="363">
        <f t="shared" si="8"/>
        <v>122.82515337423312</v>
      </c>
      <c r="J20" s="362">
        <f>+Tabla2[[#This Row],[PROM DE USUARIOS]]-Tabla2[[#This Row],[USUARIOS]]</f>
        <v>-14.174846625766875</v>
      </c>
      <c r="K20" s="151"/>
      <c r="L20" s="163">
        <f t="shared" si="9"/>
        <v>66587.714723926372</v>
      </c>
      <c r="M20" s="162" t="str">
        <f>+VLOOKUP(C20,Lista!B:D,3,0)</f>
        <v>MICRO</v>
      </c>
      <c r="N20" s="164">
        <f t="shared" si="0"/>
        <v>6957.894736842105</v>
      </c>
      <c r="O20" s="50">
        <f t="shared" si="10"/>
        <v>9</v>
      </c>
      <c r="P20" s="47">
        <f t="shared" si="11"/>
        <v>113.82515337423312</v>
      </c>
      <c r="Q20" s="49">
        <f t="shared" si="12"/>
        <v>128</v>
      </c>
      <c r="R20" s="51">
        <f t="shared" si="13"/>
        <v>113.82515337423312</v>
      </c>
      <c r="S20" s="46">
        <f t="shared" si="14"/>
        <v>62603.834355828221</v>
      </c>
      <c r="T20" t="str">
        <f t="shared" si="15"/>
        <v/>
      </c>
      <c r="U20">
        <f t="shared" si="16"/>
        <v>31</v>
      </c>
      <c r="Y20" t="str">
        <f>TRIM(Tabla2[[#This Row],[CONDUCTOR]])</f>
        <v>MONTOYA OSPINA GILBERTO ANTONIO</v>
      </c>
    </row>
    <row r="21" spans="2:25" x14ac:dyDescent="0.2">
      <c r="B21" s="136" t="s">
        <v>122</v>
      </c>
      <c r="C21" s="166">
        <v>18</v>
      </c>
      <c r="D21" s="151" t="s">
        <v>173</v>
      </c>
      <c r="E21" s="150">
        <v>9</v>
      </c>
      <c r="F21" s="150">
        <v>0</v>
      </c>
      <c r="G21" s="165">
        <v>139</v>
      </c>
      <c r="H21" s="226">
        <f t="shared" si="7"/>
        <v>15.444444444444445</v>
      </c>
      <c r="I21" s="363">
        <f t="shared" si="8"/>
        <v>122.82515337423312</v>
      </c>
      <c r="J21" s="362">
        <f>+Tabla2[[#This Row],[PROM DE USUARIOS]]-Tabla2[[#This Row],[USUARIOS]]</f>
        <v>-16.174846625766875</v>
      </c>
      <c r="K21" s="151" t="s">
        <v>188</v>
      </c>
      <c r="L21" s="163">
        <f t="shared" si="9"/>
        <v>66587.714723926372</v>
      </c>
      <c r="M21" s="162" t="str">
        <f>+VLOOKUP(C21,Lista!B:D,3,0)</f>
        <v>MICRO</v>
      </c>
      <c r="N21" s="164">
        <f t="shared" si="0"/>
        <v>6957.894736842105</v>
      </c>
      <c r="O21" s="50">
        <f t="shared" si="10"/>
        <v>9</v>
      </c>
      <c r="P21" s="47">
        <f t="shared" si="11"/>
        <v>113.82515337423312</v>
      </c>
      <c r="Q21" s="49">
        <f t="shared" si="12"/>
        <v>130</v>
      </c>
      <c r="R21" s="51">
        <f t="shared" si="13"/>
        <v>113.82515337423312</v>
      </c>
      <c r="S21" s="46">
        <f t="shared" si="14"/>
        <v>62603.834355828221</v>
      </c>
      <c r="T21" t="str">
        <f t="shared" si="15"/>
        <v xml:space="preserve">4 Descuentos (transbordo y usuarios desubicados) </v>
      </c>
      <c r="U21">
        <f t="shared" si="16"/>
        <v>32</v>
      </c>
      <c r="Y21" t="str">
        <f>TRIM(Tabla2[[#This Row],[CONDUCTOR]])</f>
        <v>ALBERTO ARISTIZABAL RAFAEL</v>
      </c>
    </row>
    <row r="22" spans="2:25" x14ac:dyDescent="0.2">
      <c r="B22" s="136" t="s">
        <v>121</v>
      </c>
      <c r="C22" s="166">
        <v>19</v>
      </c>
      <c r="D22" s="151" t="s">
        <v>178</v>
      </c>
      <c r="E22" s="150">
        <v>9</v>
      </c>
      <c r="F22" s="150">
        <v>0</v>
      </c>
      <c r="G22" s="165">
        <v>125</v>
      </c>
      <c r="H22" s="226">
        <f t="shared" si="7"/>
        <v>13.888888888888889</v>
      </c>
      <c r="I22" s="363">
        <f t="shared" si="8"/>
        <v>122.82515337423312</v>
      </c>
      <c r="J22" s="362">
        <f>+Tabla2[[#This Row],[PROM DE USUARIOS]]-Tabla2[[#This Row],[USUARIOS]]</f>
        <v>-2.1748466257668753</v>
      </c>
      <c r="K22" s="151"/>
      <c r="L22" s="163">
        <f t="shared" si="9"/>
        <v>66587.714723926372</v>
      </c>
      <c r="M22" s="162" t="str">
        <f>+VLOOKUP(C22,Lista!B:D,3,0)</f>
        <v>MICRO</v>
      </c>
      <c r="N22" s="164">
        <f t="shared" si="0"/>
        <v>6957.894736842105</v>
      </c>
      <c r="O22" s="50">
        <f t="shared" si="10"/>
        <v>9</v>
      </c>
      <c r="P22" s="47">
        <f t="shared" si="11"/>
        <v>113.82515337423312</v>
      </c>
      <c r="Q22" s="49">
        <f t="shared" si="12"/>
        <v>116</v>
      </c>
      <c r="R22" s="51">
        <f t="shared" si="13"/>
        <v>113.82515337423312</v>
      </c>
      <c r="S22" s="46">
        <f t="shared" si="14"/>
        <v>62603.834355828221</v>
      </c>
      <c r="T22" t="str">
        <f t="shared" si="15"/>
        <v/>
      </c>
      <c r="U22">
        <f t="shared" si="16"/>
        <v>20</v>
      </c>
      <c r="Y22" t="str">
        <f>TRIM(Tabla2[[#This Row],[CONDUCTOR]])</f>
        <v>MACEA ARBELAEZ MATEO</v>
      </c>
    </row>
    <row r="23" spans="2:25" x14ac:dyDescent="0.2">
      <c r="B23" s="136" t="s">
        <v>122</v>
      </c>
      <c r="C23" s="137">
        <v>20</v>
      </c>
      <c r="D23" s="151" t="s">
        <v>160</v>
      </c>
      <c r="E23" s="150">
        <v>8</v>
      </c>
      <c r="F23" s="150">
        <v>0</v>
      </c>
      <c r="G23" s="146">
        <v>100</v>
      </c>
      <c r="H23" s="226">
        <f t="shared" si="7"/>
        <v>12.5</v>
      </c>
      <c r="I23" s="363">
        <f t="shared" si="8"/>
        <v>109.17791411042944</v>
      </c>
      <c r="J23" s="362">
        <f>+Tabla2[[#This Row],[PROM DE USUARIOS]]-Tabla2[[#This Row],[USUARIOS]]</f>
        <v>9.1779141104294411</v>
      </c>
      <c r="K23" s="151"/>
      <c r="L23" s="163">
        <f t="shared" si="9"/>
        <v>59189.079754601225</v>
      </c>
      <c r="M23" s="162" t="str">
        <f>+VLOOKUP(C23,Lista!B:D,3,0)</f>
        <v>MICRO</v>
      </c>
      <c r="N23" s="164">
        <f t="shared" si="0"/>
        <v>6957.894736842105</v>
      </c>
      <c r="O23" s="50">
        <f t="shared" si="10"/>
        <v>8</v>
      </c>
      <c r="P23" s="47">
        <f t="shared" si="11"/>
        <v>101.17791411042944</v>
      </c>
      <c r="Q23" s="49">
        <f t="shared" si="12"/>
        <v>92</v>
      </c>
      <c r="R23" s="51">
        <f t="shared" si="13"/>
        <v>101.17791411042944</v>
      </c>
      <c r="S23" s="46">
        <f t="shared" si="14"/>
        <v>55647.85276073619</v>
      </c>
      <c r="T23" t="str">
        <f t="shared" si="15"/>
        <v/>
      </c>
      <c r="U23">
        <f t="shared" si="16"/>
        <v>12</v>
      </c>
      <c r="Y23" t="str">
        <f>TRIM(Tabla2[[#This Row],[CONDUCTOR]])</f>
        <v>VALENCIA MENDOZA JHON</v>
      </c>
    </row>
    <row r="24" spans="2:25" x14ac:dyDescent="0.2">
      <c r="B24" s="136" t="s">
        <v>121</v>
      </c>
      <c r="C24" s="166">
        <v>21</v>
      </c>
      <c r="D24" s="151" t="s">
        <v>163</v>
      </c>
      <c r="E24" s="150">
        <v>9</v>
      </c>
      <c r="F24" s="150">
        <v>0</v>
      </c>
      <c r="G24" s="165">
        <v>146</v>
      </c>
      <c r="H24" s="226">
        <f t="shared" si="7"/>
        <v>16.222222222222221</v>
      </c>
      <c r="I24" s="363">
        <f t="shared" si="8"/>
        <v>122.82515337423312</v>
      </c>
      <c r="J24" s="362">
        <f>+Tabla2[[#This Row],[PROM DE USUARIOS]]-Tabla2[[#This Row],[USUARIOS]]</f>
        <v>-23.174846625766875</v>
      </c>
      <c r="K24" s="151"/>
      <c r="L24" s="163">
        <f t="shared" si="9"/>
        <v>66587.714723926372</v>
      </c>
      <c r="M24" s="162" t="str">
        <f>+VLOOKUP(C24,Lista!B:D,3,0)</f>
        <v>MICRO</v>
      </c>
      <c r="N24" s="164">
        <f t="shared" si="0"/>
        <v>6957.894736842105</v>
      </c>
      <c r="O24" s="50">
        <f t="shared" si="10"/>
        <v>9</v>
      </c>
      <c r="P24" s="47">
        <f t="shared" si="11"/>
        <v>113.82515337423312</v>
      </c>
      <c r="Q24" s="49">
        <f t="shared" si="12"/>
        <v>137</v>
      </c>
      <c r="R24" s="51">
        <f t="shared" si="13"/>
        <v>113.82515337423312</v>
      </c>
      <c r="S24" s="46">
        <f t="shared" si="14"/>
        <v>62603.834355828221</v>
      </c>
      <c r="T24" t="str">
        <f t="shared" si="15"/>
        <v/>
      </c>
      <c r="U24">
        <f t="shared" si="16"/>
        <v>35</v>
      </c>
      <c r="Y24" t="str">
        <f>TRIM(Tabla2[[#This Row],[CONDUCTOR]])</f>
        <v>MACIAS HERNANDEZ JULIAN DAVID</v>
      </c>
    </row>
    <row r="25" spans="2:25" x14ac:dyDescent="0.2">
      <c r="B25" s="136" t="s">
        <v>122</v>
      </c>
      <c r="C25" s="166">
        <v>22</v>
      </c>
      <c r="D25" s="151" t="s">
        <v>149</v>
      </c>
      <c r="E25" s="150">
        <v>10</v>
      </c>
      <c r="F25" s="150">
        <v>0</v>
      </c>
      <c r="G25" s="165">
        <v>166</v>
      </c>
      <c r="H25" s="226">
        <f t="shared" si="7"/>
        <v>16.600000000000001</v>
      </c>
      <c r="I25" s="363">
        <f t="shared" si="8"/>
        <v>136.47239263803681</v>
      </c>
      <c r="J25" s="362">
        <f>+Tabla2[[#This Row],[PROM DE USUARIOS]]-Tabla2[[#This Row],[USUARIOS]]</f>
        <v>-29.527607361963192</v>
      </c>
      <c r="K25" s="151" t="s">
        <v>187</v>
      </c>
      <c r="L25" s="163">
        <f t="shared" si="9"/>
        <v>73986.349693251526</v>
      </c>
      <c r="M25" s="162">
        <f>+VLOOKUP(C25,Lista!B:D,3,0)</f>
        <v>0</v>
      </c>
      <c r="N25" s="164">
        <f t="shared" si="0"/>
        <v>6957.894736842105</v>
      </c>
      <c r="O25" s="50">
        <f t="shared" si="10"/>
        <v>10</v>
      </c>
      <c r="P25" s="47">
        <f t="shared" si="11"/>
        <v>126.47239263803681</v>
      </c>
      <c r="Q25" s="49">
        <f t="shared" si="12"/>
        <v>156</v>
      </c>
      <c r="R25" s="51">
        <f t="shared" si="13"/>
        <v>126.47239263803681</v>
      </c>
      <c r="S25" s="46">
        <f t="shared" si="14"/>
        <v>69559.815950920238</v>
      </c>
      <c r="T25" t="str">
        <f t="shared" si="15"/>
        <v xml:space="preserve">2 Descuentos (Usuarios desubicados) </v>
      </c>
      <c r="U25">
        <f t="shared" si="16"/>
        <v>37</v>
      </c>
      <c r="Y25" t="str">
        <f>TRIM(Tabla2[[#This Row],[CONDUCTOR]])</f>
        <v>QUIRAMA CASTAÑEDA JHON JADER</v>
      </c>
    </row>
    <row r="26" spans="2:25" x14ac:dyDescent="0.2">
      <c r="B26" s="136" t="s">
        <v>121</v>
      </c>
      <c r="C26" s="166">
        <v>23</v>
      </c>
      <c r="D26" s="151" t="s">
        <v>153</v>
      </c>
      <c r="E26" s="150">
        <v>6</v>
      </c>
      <c r="F26" s="150">
        <v>0</v>
      </c>
      <c r="G26" s="146">
        <v>73</v>
      </c>
      <c r="H26" s="226">
        <f t="shared" si="7"/>
        <v>12.166666666666666</v>
      </c>
      <c r="I26" s="363">
        <f t="shared" si="8"/>
        <v>81.883435582822074</v>
      </c>
      <c r="J26" s="362">
        <f>+Tabla2[[#This Row],[PROM DE USUARIOS]]-Tabla2[[#This Row],[USUARIOS]]</f>
        <v>8.8834355828220737</v>
      </c>
      <c r="K26" s="151" t="s">
        <v>189</v>
      </c>
      <c r="L26" s="163">
        <f t="shared" si="9"/>
        <v>44391.80981595091</v>
      </c>
      <c r="M26" s="162" t="str">
        <f>+VLOOKUP(C26,Lista!B:D,3,0)</f>
        <v xml:space="preserve">MICRO </v>
      </c>
      <c r="N26" s="164">
        <f t="shared" si="0"/>
        <v>6957.894736842105</v>
      </c>
      <c r="O26" s="50">
        <f t="shared" si="10"/>
        <v>6</v>
      </c>
      <c r="P26" s="47">
        <f t="shared" si="11"/>
        <v>75.883435582822074</v>
      </c>
      <c r="Q26" s="49">
        <f t="shared" si="12"/>
        <v>67</v>
      </c>
      <c r="R26" s="51">
        <f t="shared" si="13"/>
        <v>75.883435582822074</v>
      </c>
      <c r="S26" s="46">
        <f t="shared" si="14"/>
        <v>41735.889570552143</v>
      </c>
      <c r="T26" t="str">
        <f t="shared" si="15"/>
        <v xml:space="preserve">2 Descuentos (Transbordo) </v>
      </c>
      <c r="U26">
        <f t="shared" si="16"/>
        <v>11</v>
      </c>
      <c r="Y26" t="str">
        <f>TRIM(Tabla2[[#This Row],[CONDUCTOR]])</f>
        <v>SALDARRIAGA PARRA LUIS ALBERTO</v>
      </c>
    </row>
    <row r="27" spans="2:25" x14ac:dyDescent="0.2">
      <c r="B27" s="136" t="s">
        <v>122</v>
      </c>
      <c r="C27" s="166">
        <v>24</v>
      </c>
      <c r="D27" s="151" t="s">
        <v>179</v>
      </c>
      <c r="E27" s="150">
        <v>12</v>
      </c>
      <c r="F27" s="150">
        <v>0</v>
      </c>
      <c r="G27" s="146">
        <v>171</v>
      </c>
      <c r="H27" s="226">
        <f t="shared" si="7"/>
        <v>14.25</v>
      </c>
      <c r="I27" s="363">
        <f t="shared" si="8"/>
        <v>163.76687116564415</v>
      </c>
      <c r="J27" s="362">
        <f>+Tabla2[[#This Row],[PROM DE USUARIOS]]-Tabla2[[#This Row],[USUARIOS]]</f>
        <v>-7.2331288343558526</v>
      </c>
      <c r="K27" s="151"/>
      <c r="L27" s="163">
        <f t="shared" si="9"/>
        <v>88783.61963190182</v>
      </c>
      <c r="M27" s="162" t="str">
        <f>+VLOOKUP(C27,Lista!B:D,3,0)</f>
        <v>MICRO</v>
      </c>
      <c r="N27" s="164">
        <f t="shared" si="0"/>
        <v>6957.894736842105</v>
      </c>
      <c r="O27" s="50">
        <f t="shared" si="10"/>
        <v>12</v>
      </c>
      <c r="P27" s="47">
        <f t="shared" si="11"/>
        <v>151.76687116564415</v>
      </c>
      <c r="Q27" s="49">
        <f t="shared" si="12"/>
        <v>159</v>
      </c>
      <c r="R27" s="51">
        <f t="shared" si="13"/>
        <v>151.76687116564415</v>
      </c>
      <c r="S27" s="46">
        <f t="shared" si="14"/>
        <v>83471.779141104285</v>
      </c>
      <c r="T27" t="str">
        <f t="shared" si="15"/>
        <v/>
      </c>
      <c r="U27">
        <f t="shared" si="16"/>
        <v>24</v>
      </c>
      <c r="Y27" t="str">
        <f>TRIM(Tabla2[[#This Row],[CONDUCTOR]])</f>
        <v>JIMENEZ HERNANDEZ ESTEBAN CAMILO</v>
      </c>
    </row>
    <row r="28" spans="2:25" x14ac:dyDescent="0.2">
      <c r="B28" s="136" t="s">
        <v>121</v>
      </c>
      <c r="C28" s="166">
        <v>25</v>
      </c>
      <c r="D28" s="151" t="s">
        <v>151</v>
      </c>
      <c r="E28" s="150">
        <v>10</v>
      </c>
      <c r="F28" s="150">
        <v>0</v>
      </c>
      <c r="G28" s="146">
        <v>140</v>
      </c>
      <c r="H28" s="226">
        <f t="shared" si="7"/>
        <v>14</v>
      </c>
      <c r="I28" s="363">
        <f t="shared" si="8"/>
        <v>136.47239263803681</v>
      </c>
      <c r="J28" s="362">
        <f>+Tabla2[[#This Row],[PROM DE USUARIOS]]-Tabla2[[#This Row],[USUARIOS]]</f>
        <v>-3.5276073619631916</v>
      </c>
      <c r="K28" s="151"/>
      <c r="L28" s="163">
        <f t="shared" si="9"/>
        <v>73986.349693251526</v>
      </c>
      <c r="M28" s="162">
        <f>+VLOOKUP(C28,Lista!B:D,3,0)</f>
        <v>0</v>
      </c>
      <c r="N28" s="164">
        <f t="shared" si="0"/>
        <v>6957.894736842105</v>
      </c>
      <c r="O28" s="50">
        <f t="shared" si="10"/>
        <v>10</v>
      </c>
      <c r="P28" s="47">
        <f t="shared" si="11"/>
        <v>126.47239263803681</v>
      </c>
      <c r="Q28" s="49">
        <f t="shared" si="12"/>
        <v>130</v>
      </c>
      <c r="R28" s="51">
        <f t="shared" si="13"/>
        <v>126.47239263803681</v>
      </c>
      <c r="S28" s="46">
        <f t="shared" si="14"/>
        <v>69559.815950920238</v>
      </c>
      <c r="T28" t="str">
        <f t="shared" si="15"/>
        <v/>
      </c>
      <c r="U28">
        <f t="shared" si="16"/>
        <v>22</v>
      </c>
      <c r="Y28" t="str">
        <f>TRIM(Tabla2[[#This Row],[CONDUCTOR]])</f>
        <v>OSORIO URREGO SANTIAGO</v>
      </c>
    </row>
    <row r="29" spans="2:25" x14ac:dyDescent="0.2">
      <c r="B29" s="136" t="s">
        <v>122</v>
      </c>
      <c r="C29" s="166">
        <v>27</v>
      </c>
      <c r="D29" s="151" t="s">
        <v>157</v>
      </c>
      <c r="E29" s="150">
        <v>10</v>
      </c>
      <c r="F29" s="150">
        <v>0</v>
      </c>
      <c r="G29" s="146">
        <v>128</v>
      </c>
      <c r="H29" s="226">
        <f t="shared" si="7"/>
        <v>12.8</v>
      </c>
      <c r="I29" s="363">
        <f t="shared" si="8"/>
        <v>136.47239263803681</v>
      </c>
      <c r="J29" s="362">
        <f>+Tabla2[[#This Row],[PROM DE USUARIOS]]-Tabla2[[#This Row],[USUARIOS]]</f>
        <v>8.4723926380368084</v>
      </c>
      <c r="K29" s="151"/>
      <c r="L29" s="163">
        <f t="shared" si="9"/>
        <v>73986.349693251526</v>
      </c>
      <c r="M29" s="162">
        <f>+VLOOKUP(C29,Lista!B:D,3,0)</f>
        <v>0</v>
      </c>
      <c r="N29" s="164">
        <f t="shared" si="0"/>
        <v>6957.894736842105</v>
      </c>
      <c r="O29" s="50">
        <f t="shared" si="10"/>
        <v>10</v>
      </c>
      <c r="P29" s="47">
        <f t="shared" si="11"/>
        <v>126.47239263803681</v>
      </c>
      <c r="Q29" s="49">
        <f t="shared" si="12"/>
        <v>118</v>
      </c>
      <c r="R29" s="51">
        <f t="shared" si="13"/>
        <v>126.47239263803681</v>
      </c>
      <c r="S29" s="46">
        <f t="shared" si="14"/>
        <v>69559.815950920238</v>
      </c>
      <c r="T29" t="str">
        <f t="shared" si="15"/>
        <v/>
      </c>
      <c r="U29">
        <f t="shared" si="16"/>
        <v>13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121</v>
      </c>
      <c r="C30" s="166">
        <v>28</v>
      </c>
      <c r="D30" s="151" t="s">
        <v>158</v>
      </c>
      <c r="E30" s="150">
        <v>10</v>
      </c>
      <c r="F30" s="150">
        <v>0</v>
      </c>
      <c r="G30" s="165">
        <v>163</v>
      </c>
      <c r="H30" s="226">
        <f t="shared" si="7"/>
        <v>16.3</v>
      </c>
      <c r="I30" s="363">
        <f t="shared" si="8"/>
        <v>136.47239263803681</v>
      </c>
      <c r="J30" s="362">
        <f>+Tabla2[[#This Row],[PROM DE USUARIOS]]-Tabla2[[#This Row],[USUARIOS]]</f>
        <v>-26.527607361963192</v>
      </c>
      <c r="K30" s="151"/>
      <c r="L30" s="163">
        <f t="shared" si="9"/>
        <v>73986.349693251526</v>
      </c>
      <c r="M30" s="162" t="str">
        <f>+VLOOKUP(C30,Lista!B:D,3,0)</f>
        <v>MICRO</v>
      </c>
      <c r="N30" s="164">
        <f t="shared" si="0"/>
        <v>6957.894736842105</v>
      </c>
      <c r="O30" s="50">
        <f t="shared" si="10"/>
        <v>10</v>
      </c>
      <c r="P30" s="47">
        <f t="shared" si="11"/>
        <v>126.47239263803681</v>
      </c>
      <c r="Q30" s="49">
        <f t="shared" si="12"/>
        <v>153</v>
      </c>
      <c r="R30" s="51">
        <f t="shared" si="13"/>
        <v>126.47239263803681</v>
      </c>
      <c r="S30" s="46">
        <f t="shared" si="14"/>
        <v>69559.815950920238</v>
      </c>
      <c r="T30" t="str">
        <f t="shared" si="15"/>
        <v/>
      </c>
      <c r="U30">
        <f t="shared" si="16"/>
        <v>36</v>
      </c>
      <c r="Y30" t="str">
        <f>TRIM(Tabla2[[#This Row],[CONDUCTOR]])</f>
        <v>TUBERQUIA MAICOL</v>
      </c>
    </row>
    <row r="31" spans="2:25" x14ac:dyDescent="0.2">
      <c r="B31" s="136" t="s">
        <v>122</v>
      </c>
      <c r="C31" s="166">
        <v>29</v>
      </c>
      <c r="D31" s="151" t="s">
        <v>155</v>
      </c>
      <c r="E31" s="150">
        <v>10</v>
      </c>
      <c r="F31" s="150">
        <v>0</v>
      </c>
      <c r="G31" s="165">
        <v>143</v>
      </c>
      <c r="H31" s="226">
        <f t="shared" si="7"/>
        <v>14.3</v>
      </c>
      <c r="I31" s="363">
        <f t="shared" si="8"/>
        <v>136.47239263803681</v>
      </c>
      <c r="J31" s="362">
        <f>+Tabla2[[#This Row],[PROM DE USUARIOS]]-Tabla2[[#This Row],[USUARIOS]]</f>
        <v>-6.5276073619631916</v>
      </c>
      <c r="K31" s="151"/>
      <c r="L31" s="163">
        <f t="shared" si="9"/>
        <v>73986.349693251526</v>
      </c>
      <c r="M31" s="162" t="str">
        <f>+VLOOKUP(C31,Lista!B:D,3,0)</f>
        <v>MICRO</v>
      </c>
      <c r="N31" s="164">
        <f t="shared" si="0"/>
        <v>6957.894736842105</v>
      </c>
      <c r="O31" s="50">
        <f t="shared" si="10"/>
        <v>10</v>
      </c>
      <c r="P31" s="47">
        <f t="shared" si="11"/>
        <v>126.47239263803681</v>
      </c>
      <c r="Q31" s="49">
        <f t="shared" si="12"/>
        <v>133</v>
      </c>
      <c r="R31" s="51">
        <f t="shared" si="13"/>
        <v>126.47239263803681</v>
      </c>
      <c r="S31" s="46">
        <f t="shared" si="14"/>
        <v>69559.815950920238</v>
      </c>
      <c r="T31" t="str">
        <f t="shared" si="15"/>
        <v/>
      </c>
      <c r="U31">
        <f t="shared" si="16"/>
        <v>25</v>
      </c>
      <c r="Y31" t="str">
        <f>TRIM(Tabla2[[#This Row],[CONDUCTOR]])</f>
        <v>LEON PEREZ RAUL ENRIQUE</v>
      </c>
    </row>
    <row r="32" spans="2:25" s="2" customFormat="1" ht="22.5" x14ac:dyDescent="0.2">
      <c r="B32" s="136" t="s">
        <v>121</v>
      </c>
      <c r="C32" s="137">
        <v>30</v>
      </c>
      <c r="D32" s="136" t="s">
        <v>148</v>
      </c>
      <c r="E32" s="150">
        <v>9</v>
      </c>
      <c r="F32" s="150">
        <v>0.5</v>
      </c>
      <c r="G32" s="373">
        <v>93</v>
      </c>
      <c r="H32" s="374">
        <f t="shared" si="7"/>
        <v>10.333333333333334</v>
      </c>
      <c r="I32" s="375">
        <f t="shared" si="8"/>
        <v>122.82515337423312</v>
      </c>
      <c r="J32" s="376">
        <f>+Tabla2[[#This Row],[PROM DE USUARIOS]]-Tabla2[[#This Row],[USUARIOS]]</f>
        <v>29.825153374233125</v>
      </c>
      <c r="K32" s="377" t="s">
        <v>193</v>
      </c>
      <c r="L32" s="163">
        <f t="shared" si="9"/>
        <v>62888.467223926382</v>
      </c>
      <c r="M32" s="162">
        <f>+VLOOKUP(C32,Lista!B:D,3,0)</f>
        <v>0</v>
      </c>
      <c r="N32" s="164">
        <f t="shared" si="0"/>
        <v>6957.894736842105</v>
      </c>
      <c r="O32" s="50">
        <f t="shared" si="10"/>
        <v>8.5</v>
      </c>
      <c r="P32" s="47">
        <f t="shared" si="11"/>
        <v>107.50165337423313</v>
      </c>
      <c r="Q32" s="49">
        <f t="shared" si="12"/>
        <v>84.5</v>
      </c>
      <c r="R32" s="51">
        <f t="shared" si="13"/>
        <v>113.82515337423312</v>
      </c>
      <c r="S32" s="46">
        <f t="shared" si="14"/>
        <v>62603.834355828221</v>
      </c>
      <c r="T32" s="2" t="str">
        <f t="shared" si="15"/>
        <v xml:space="preserve">Se descuenta 0.5 viaje de 11 44 am ya que NO espera el tiempo indicado en el paradero. </v>
      </c>
      <c r="U32" s="2">
        <f t="shared" si="16"/>
        <v>6</v>
      </c>
      <c r="V32" s="2">
        <v>0.5</v>
      </c>
      <c r="W32" s="2">
        <v>6.8235000000000001</v>
      </c>
      <c r="Y32" s="2" t="str">
        <f>TRIM(Tabla2[[#This Row],[CONDUCTOR]])</f>
        <v>AGUDELO GARCIA LLORDIN ELIAS</v>
      </c>
    </row>
    <row r="33" spans="2:25" x14ac:dyDescent="0.2">
      <c r="B33" s="136" t="s">
        <v>122</v>
      </c>
      <c r="C33" s="166">
        <v>31</v>
      </c>
      <c r="D33" s="151" t="s">
        <v>152</v>
      </c>
      <c r="E33" s="150">
        <v>10</v>
      </c>
      <c r="F33" s="150">
        <v>0</v>
      </c>
      <c r="G33" s="165">
        <v>129</v>
      </c>
      <c r="H33" s="226">
        <f t="shared" si="7"/>
        <v>12.9</v>
      </c>
      <c r="I33" s="363">
        <f t="shared" si="8"/>
        <v>136.47239263803681</v>
      </c>
      <c r="J33" s="362">
        <f>+Tabla2[[#This Row],[PROM DE USUARIOS]]-Tabla2[[#This Row],[USUARIOS]]</f>
        <v>7.4723926380368084</v>
      </c>
      <c r="K33" s="151" t="s">
        <v>190</v>
      </c>
      <c r="L33" s="163">
        <f t="shared" si="9"/>
        <v>73986.349693251526</v>
      </c>
      <c r="M33" s="162" t="str">
        <f>+VLOOKUP(C33,Lista!B:D,3,0)</f>
        <v>MICRO</v>
      </c>
      <c r="N33" s="164">
        <f t="shared" si="0"/>
        <v>6957.894736842105</v>
      </c>
      <c r="O33" s="50">
        <f t="shared" si="10"/>
        <v>10</v>
      </c>
      <c r="P33" s="47">
        <f t="shared" si="11"/>
        <v>126.47239263803681</v>
      </c>
      <c r="Q33" s="49">
        <f t="shared" si="12"/>
        <v>119</v>
      </c>
      <c r="R33" s="51">
        <f t="shared" si="13"/>
        <v>126.47239263803681</v>
      </c>
      <c r="S33" s="46">
        <f t="shared" si="14"/>
        <v>69559.815950920238</v>
      </c>
      <c r="T33" t="str">
        <f t="shared" si="15"/>
        <v xml:space="preserve">3 Descuentos (Usuarios desubicados y conduct) </v>
      </c>
      <c r="U33">
        <f t="shared" si="16"/>
        <v>14</v>
      </c>
      <c r="Y33" t="str">
        <f>TRIM(Tabla2[[#This Row],[CONDUCTOR]])</f>
        <v>FRANCO CARVAJAL GERARDO ANTONIO</v>
      </c>
    </row>
    <row r="34" spans="2:25" x14ac:dyDescent="0.2">
      <c r="B34" s="136" t="s">
        <v>121</v>
      </c>
      <c r="C34" s="137">
        <v>32</v>
      </c>
      <c r="D34" s="151" t="s">
        <v>150</v>
      </c>
      <c r="E34" s="150">
        <v>2</v>
      </c>
      <c r="F34" s="150">
        <v>0</v>
      </c>
      <c r="G34" s="146">
        <v>18</v>
      </c>
      <c r="H34" s="226">
        <f t="shared" si="7"/>
        <v>9</v>
      </c>
      <c r="I34" s="363">
        <f t="shared" si="8"/>
        <v>27.29447852760736</v>
      </c>
      <c r="J34" s="362">
        <f>+Tabla2[[#This Row],[PROM DE USUARIOS]]-Tabla2[[#This Row],[USUARIOS]]</f>
        <v>9.2944785276073603</v>
      </c>
      <c r="K34" s="151"/>
      <c r="L34" s="163">
        <f t="shared" si="9"/>
        <v>14797.269938650306</v>
      </c>
      <c r="M34" s="162" t="str">
        <f>+VLOOKUP(C34,Lista!B:D,3,0)</f>
        <v>MICRO</v>
      </c>
      <c r="N34" s="164">
        <f t="shared" si="0"/>
        <v>6957.894736842105</v>
      </c>
      <c r="O34" s="50">
        <f t="shared" si="10"/>
        <v>2</v>
      </c>
      <c r="P34" s="47">
        <f t="shared" si="11"/>
        <v>25.29447852760736</v>
      </c>
      <c r="Q34" s="49">
        <f t="shared" si="12"/>
        <v>16</v>
      </c>
      <c r="R34" s="51">
        <f t="shared" si="13"/>
        <v>25.29447852760736</v>
      </c>
      <c r="S34" s="46">
        <f t="shared" si="14"/>
        <v>13911.963190184048</v>
      </c>
      <c r="T34" t="str">
        <f t="shared" si="15"/>
        <v/>
      </c>
      <c r="U34">
        <f t="shared" si="16"/>
        <v>2</v>
      </c>
      <c r="Y34" t="str">
        <f>TRIM(Tabla2[[#This Row],[CONDUCTOR]])</f>
        <v>LAYOS JIMENEZ JOHAN CAMILO</v>
      </c>
    </row>
    <row r="35" spans="2:25" x14ac:dyDescent="0.2">
      <c r="B35" s="136" t="s">
        <v>122</v>
      </c>
      <c r="C35" s="166">
        <v>33</v>
      </c>
      <c r="D35" s="151" t="s">
        <v>168</v>
      </c>
      <c r="E35" s="150">
        <v>10</v>
      </c>
      <c r="F35" s="150">
        <v>0</v>
      </c>
      <c r="G35" s="165">
        <v>139</v>
      </c>
      <c r="H35" s="226">
        <f t="shared" si="7"/>
        <v>13.9</v>
      </c>
      <c r="I35" s="363">
        <f t="shared" si="8"/>
        <v>136.47239263803681</v>
      </c>
      <c r="J35" s="362">
        <f>+Tabla2[[#This Row],[PROM DE USUARIOS]]-Tabla2[[#This Row],[USUARIOS]]</f>
        <v>-2.5276073619631916</v>
      </c>
      <c r="K35" s="151"/>
      <c r="L35" s="163">
        <f t="shared" si="9"/>
        <v>73986.349693251526</v>
      </c>
      <c r="M35" s="162" t="str">
        <f>+VLOOKUP(C35,Lista!B:D,3,0)</f>
        <v>MICRO</v>
      </c>
      <c r="N35" s="164">
        <f t="shared" si="0"/>
        <v>6957.894736842105</v>
      </c>
      <c r="O35" s="50">
        <f t="shared" si="10"/>
        <v>10</v>
      </c>
      <c r="P35" s="47">
        <f t="shared" si="11"/>
        <v>126.47239263803681</v>
      </c>
      <c r="Q35" s="49">
        <f t="shared" si="12"/>
        <v>129</v>
      </c>
      <c r="R35" s="51">
        <f t="shared" si="13"/>
        <v>126.47239263803681</v>
      </c>
      <c r="S35" s="46">
        <f t="shared" si="14"/>
        <v>69559.815950920238</v>
      </c>
      <c r="T35" t="str">
        <f t="shared" si="15"/>
        <v/>
      </c>
      <c r="U35">
        <f t="shared" si="16"/>
        <v>21</v>
      </c>
      <c r="Y35" t="str">
        <f>TRIM(Tabla2[[#This Row],[CONDUCTOR]])</f>
        <v>MARULANDA JARAMILLO DAWER ANDRES</v>
      </c>
    </row>
    <row r="36" spans="2:25" x14ac:dyDescent="0.2">
      <c r="B36" s="136" t="s">
        <v>121</v>
      </c>
      <c r="C36" s="166">
        <v>35</v>
      </c>
      <c r="D36" s="151" t="s">
        <v>161</v>
      </c>
      <c r="E36" s="150">
        <v>9</v>
      </c>
      <c r="F36" s="150">
        <v>0</v>
      </c>
      <c r="G36" s="146">
        <v>108</v>
      </c>
      <c r="H36" s="226">
        <f t="shared" si="7"/>
        <v>12</v>
      </c>
      <c r="I36" s="363">
        <f t="shared" si="8"/>
        <v>122.82515337423312</v>
      </c>
      <c r="J36" s="362">
        <f>+Tabla2[[#This Row],[PROM DE USUARIOS]]-Tabla2[[#This Row],[USUARIOS]]</f>
        <v>14.825153374233125</v>
      </c>
      <c r="K36" s="151"/>
      <c r="L36" s="163">
        <f t="shared" si="9"/>
        <v>66587.714723926372</v>
      </c>
      <c r="M36" s="162">
        <f>+VLOOKUP(C36,Lista!B:D,3,0)</f>
        <v>0</v>
      </c>
      <c r="N36" s="164">
        <f t="shared" si="0"/>
        <v>6957.894736842105</v>
      </c>
      <c r="O36" s="50">
        <f t="shared" si="10"/>
        <v>9</v>
      </c>
      <c r="P36" s="47">
        <f t="shared" si="11"/>
        <v>113.82515337423312</v>
      </c>
      <c r="Q36" s="49">
        <f t="shared" si="12"/>
        <v>99</v>
      </c>
      <c r="R36" s="51">
        <f t="shared" si="13"/>
        <v>113.82515337423312</v>
      </c>
      <c r="S36" s="46">
        <f t="shared" si="14"/>
        <v>62603.834355828221</v>
      </c>
      <c r="T36" t="str">
        <f t="shared" si="15"/>
        <v/>
      </c>
      <c r="U36">
        <f t="shared" si="16"/>
        <v>10</v>
      </c>
      <c r="Y36" t="str">
        <f>TRIM(Tabla2[[#This Row],[CONDUCTOR]])</f>
        <v>TUBERQUIA URREGO HAROL</v>
      </c>
    </row>
    <row r="37" spans="2:25" x14ac:dyDescent="0.2">
      <c r="B37" s="136" t="s">
        <v>122</v>
      </c>
      <c r="C37" s="166">
        <v>36</v>
      </c>
      <c r="D37" s="151" t="s">
        <v>174</v>
      </c>
      <c r="E37" s="150">
        <v>10</v>
      </c>
      <c r="F37" s="150">
        <v>0</v>
      </c>
      <c r="G37" s="146">
        <v>161</v>
      </c>
      <c r="H37" s="226">
        <f t="shared" si="7"/>
        <v>16.100000000000001</v>
      </c>
      <c r="I37" s="363">
        <f t="shared" si="8"/>
        <v>136.47239263803681</v>
      </c>
      <c r="J37" s="362">
        <f>+Tabla2[[#This Row],[PROM DE USUARIOS]]-Tabla2[[#This Row],[USUARIOS]]</f>
        <v>-24.527607361963192</v>
      </c>
      <c r="K37" s="151"/>
      <c r="L37" s="163">
        <f t="shared" si="9"/>
        <v>73986.349693251526</v>
      </c>
      <c r="M37" s="162" t="str">
        <f>+VLOOKUP(C37,Lista!B:D,3,0)</f>
        <v>MICRO</v>
      </c>
      <c r="N37" s="164">
        <f t="shared" si="0"/>
        <v>6957.894736842105</v>
      </c>
      <c r="O37" s="50">
        <f t="shared" si="10"/>
        <v>10</v>
      </c>
      <c r="P37" s="47">
        <f t="shared" si="11"/>
        <v>126.47239263803681</v>
      </c>
      <c r="Q37" s="49">
        <f t="shared" si="12"/>
        <v>151</v>
      </c>
      <c r="R37" s="51">
        <f t="shared" si="13"/>
        <v>126.47239263803681</v>
      </c>
      <c r="S37" s="46">
        <f t="shared" si="14"/>
        <v>69559.815950920238</v>
      </c>
      <c r="T37" t="str">
        <f t="shared" si="15"/>
        <v/>
      </c>
      <c r="U37">
        <f t="shared" si="16"/>
        <v>34</v>
      </c>
      <c r="Y37" t="str">
        <f>TRIM(Tabla2[[#This Row],[CONDUCTOR]])</f>
        <v>MURILLO YOIMAR ANDRES</v>
      </c>
    </row>
    <row r="38" spans="2:25" x14ac:dyDescent="0.2">
      <c r="B38" s="136" t="s">
        <v>121</v>
      </c>
      <c r="C38" s="166">
        <v>37</v>
      </c>
      <c r="D38" s="151" t="s">
        <v>183</v>
      </c>
      <c r="E38" s="150">
        <v>1</v>
      </c>
      <c r="F38" s="150">
        <v>0</v>
      </c>
      <c r="G38" s="146">
        <v>14</v>
      </c>
      <c r="H38" s="226">
        <f t="shared" si="7"/>
        <v>14</v>
      </c>
      <c r="I38" s="363">
        <f t="shared" si="8"/>
        <v>13.64723926380368</v>
      </c>
      <c r="J38" s="362">
        <f>+Tabla2[[#This Row],[PROM DE USUARIOS]]-Tabla2[[#This Row],[USUARIOS]]</f>
        <v>-0.35276073619631987</v>
      </c>
      <c r="K38" s="151"/>
      <c r="L38" s="163">
        <f t="shared" si="9"/>
        <v>7398.6349693251532</v>
      </c>
      <c r="M38" s="162">
        <f>+VLOOKUP(C38,Lista!B:D,3,0)</f>
        <v>0</v>
      </c>
      <c r="N38" s="164">
        <f t="shared" si="0"/>
        <v>6957.894736842105</v>
      </c>
      <c r="O38" s="50">
        <f t="shared" si="10"/>
        <v>1</v>
      </c>
      <c r="P38" s="47">
        <f t="shared" si="11"/>
        <v>12.64723926380368</v>
      </c>
      <c r="Q38" s="49">
        <f t="shared" si="12"/>
        <v>13</v>
      </c>
      <c r="R38" s="51">
        <f t="shared" si="13"/>
        <v>12.64723926380368</v>
      </c>
      <c r="S38" s="46">
        <f t="shared" si="14"/>
        <v>6955.9815950920238</v>
      </c>
      <c r="T38" t="str">
        <f t="shared" si="15"/>
        <v/>
      </c>
      <c r="U38">
        <f t="shared" si="16"/>
        <v>22</v>
      </c>
      <c r="Y38" t="str">
        <f>TRIM(Tabla2[[#This Row],[CONDUCTOR]])</f>
        <v>TABORDA ROJAS DIEGO ALEJANDRO</v>
      </c>
    </row>
    <row r="39" spans="2:25" x14ac:dyDescent="0.2">
      <c r="B39" s="136" t="s">
        <v>122</v>
      </c>
      <c r="C39" s="166">
        <v>39</v>
      </c>
      <c r="D39" s="151" t="s">
        <v>171</v>
      </c>
      <c r="E39" s="150">
        <v>8</v>
      </c>
      <c r="F39" s="150">
        <v>0</v>
      </c>
      <c r="G39" s="165">
        <v>109</v>
      </c>
      <c r="H39" s="226">
        <f t="shared" si="7"/>
        <v>13.625</v>
      </c>
      <c r="I39" s="363">
        <f t="shared" si="8"/>
        <v>109.17791411042944</v>
      </c>
      <c r="J39" s="362">
        <f>+Tabla2[[#This Row],[PROM DE USUARIOS]]-Tabla2[[#This Row],[USUARIOS]]</f>
        <v>0.17791411042944105</v>
      </c>
      <c r="K39" s="151"/>
      <c r="L39" s="163">
        <f t="shared" si="9"/>
        <v>59189.079754601225</v>
      </c>
      <c r="M39" s="162" t="str">
        <f>+VLOOKUP(C39,Lista!B:D,3,0)</f>
        <v>MICRO</v>
      </c>
      <c r="N39" s="164">
        <f t="shared" si="0"/>
        <v>6957.894736842105</v>
      </c>
      <c r="O39" s="50">
        <f t="shared" si="10"/>
        <v>8</v>
      </c>
      <c r="P39" s="47">
        <f t="shared" si="11"/>
        <v>101.17791411042944</v>
      </c>
      <c r="Q39" s="49">
        <f t="shared" si="12"/>
        <v>101</v>
      </c>
      <c r="R39" s="51">
        <f t="shared" si="13"/>
        <v>101.17791411042944</v>
      </c>
      <c r="S39" s="46">
        <f t="shared" si="14"/>
        <v>55647.85276073619</v>
      </c>
      <c r="T39" t="str">
        <f t="shared" si="15"/>
        <v/>
      </c>
      <c r="U39">
        <f t="shared" si="16"/>
        <v>18</v>
      </c>
      <c r="Y39" t="str">
        <f>TRIM(Tabla2[[#This Row],[CONDUCTOR]])</f>
        <v>PALMAR PANA EDIXON JOSUE</v>
      </c>
    </row>
    <row r="40" spans="2:25" x14ac:dyDescent="0.2">
      <c r="B40" s="136" t="s">
        <v>121</v>
      </c>
      <c r="C40" s="166">
        <v>40</v>
      </c>
      <c r="D40" s="151" t="s">
        <v>156</v>
      </c>
      <c r="E40" s="150">
        <v>9</v>
      </c>
      <c r="F40" s="150">
        <v>0</v>
      </c>
      <c r="G40" s="165">
        <v>136</v>
      </c>
      <c r="H40" s="226">
        <f t="shared" si="7"/>
        <v>15.111111111111111</v>
      </c>
      <c r="I40" s="363">
        <f t="shared" si="8"/>
        <v>122.82515337423312</v>
      </c>
      <c r="J40" s="362">
        <f>+Tabla2[[#This Row],[PROM DE USUARIOS]]-Tabla2[[#This Row],[USUARIOS]]</f>
        <v>-13.174846625766875</v>
      </c>
      <c r="K40" s="151"/>
      <c r="L40" s="163">
        <f t="shared" si="9"/>
        <v>66587.714723926372</v>
      </c>
      <c r="M40" s="162" t="str">
        <f>+VLOOKUP(C40,Lista!B:D,3,0)</f>
        <v>MICRO</v>
      </c>
      <c r="N40" s="164">
        <f t="shared" si="0"/>
        <v>6957.894736842105</v>
      </c>
      <c r="O40" s="50">
        <f t="shared" si="10"/>
        <v>9</v>
      </c>
      <c r="P40" s="47">
        <f t="shared" si="11"/>
        <v>113.82515337423312</v>
      </c>
      <c r="Q40" s="49">
        <f t="shared" si="12"/>
        <v>127</v>
      </c>
      <c r="R40" s="51">
        <f t="shared" si="13"/>
        <v>113.82515337423312</v>
      </c>
      <c r="S40" s="46">
        <f t="shared" si="14"/>
        <v>62603.834355828221</v>
      </c>
      <c r="T40" t="str">
        <f t="shared" si="15"/>
        <v/>
      </c>
      <c r="U40">
        <f t="shared" si="16"/>
        <v>30</v>
      </c>
      <c r="Y40" t="str">
        <f>TRIM(Tabla2[[#This Row],[CONDUCTOR]])</f>
        <v>OCAMPO OCAMPO ANTONIO JOSE</v>
      </c>
    </row>
    <row r="41" spans="2:25" x14ac:dyDescent="0.2">
      <c r="B41" s="136" t="s">
        <v>122</v>
      </c>
      <c r="C41" s="166">
        <v>41</v>
      </c>
      <c r="D41" s="151" t="s">
        <v>154</v>
      </c>
      <c r="E41" s="150">
        <v>8</v>
      </c>
      <c r="F41" s="150">
        <v>0</v>
      </c>
      <c r="G41" s="165">
        <v>95</v>
      </c>
      <c r="H41" s="226">
        <f t="shared" si="7"/>
        <v>11.875</v>
      </c>
      <c r="I41" s="363">
        <f t="shared" si="8"/>
        <v>109.17791411042944</v>
      </c>
      <c r="J41" s="362">
        <f>+Tabla2[[#This Row],[PROM DE USUARIOS]]-Tabla2[[#This Row],[USUARIOS]]</f>
        <v>14.177914110429441</v>
      </c>
      <c r="K41" s="151"/>
      <c r="L41" s="163">
        <f t="shared" si="9"/>
        <v>59189.079754601225</v>
      </c>
      <c r="M41" s="162">
        <f>+VLOOKUP(C41,Lista!B:D,3,0)</f>
        <v>0</v>
      </c>
      <c r="N41" s="164">
        <f t="shared" si="0"/>
        <v>6957.894736842105</v>
      </c>
      <c r="O41" s="50">
        <f t="shared" si="10"/>
        <v>8</v>
      </c>
      <c r="P41" s="47">
        <f t="shared" si="11"/>
        <v>101.17791411042944</v>
      </c>
      <c r="Q41" s="49">
        <f t="shared" si="12"/>
        <v>87</v>
      </c>
      <c r="R41" s="51">
        <f t="shared" si="13"/>
        <v>101.17791411042944</v>
      </c>
      <c r="S41" s="46">
        <f t="shared" si="14"/>
        <v>55647.85276073619</v>
      </c>
      <c r="T41" t="str">
        <f t="shared" si="15"/>
        <v/>
      </c>
      <c r="U41">
        <f t="shared" si="16"/>
        <v>9</v>
      </c>
      <c r="Y41" t="str">
        <f>TRIM(Tabla2[[#This Row],[CONDUCTOR]])</f>
        <v>RUA CHAVARRIA YEFERSON ANDREY</v>
      </c>
    </row>
    <row r="42" spans="2:25" x14ac:dyDescent="0.2">
      <c r="B42" s="136" t="s">
        <v>121</v>
      </c>
      <c r="C42" s="137">
        <v>42</v>
      </c>
      <c r="D42" s="151" t="s">
        <v>167</v>
      </c>
      <c r="E42" s="150">
        <v>9</v>
      </c>
      <c r="F42" s="150">
        <v>0</v>
      </c>
      <c r="G42" s="165">
        <v>117</v>
      </c>
      <c r="H42" s="226">
        <f t="shared" si="7"/>
        <v>13</v>
      </c>
      <c r="I42" s="363">
        <f t="shared" si="8"/>
        <v>122.82515337423312</v>
      </c>
      <c r="J42" s="362">
        <f>+Tabla2[[#This Row],[PROM DE USUARIOS]]-Tabla2[[#This Row],[USUARIOS]]</f>
        <v>5.8251533742331247</v>
      </c>
      <c r="K42" s="151"/>
      <c r="L42" s="163">
        <f t="shared" si="9"/>
        <v>66587.714723926372</v>
      </c>
      <c r="M42" s="162">
        <f>+VLOOKUP(C42,Lista!B:D,3,0)</f>
        <v>0</v>
      </c>
      <c r="N42" s="164">
        <f t="shared" si="0"/>
        <v>6957.894736842105</v>
      </c>
      <c r="O42" s="50">
        <f t="shared" si="10"/>
        <v>9</v>
      </c>
      <c r="P42" s="47">
        <f t="shared" si="11"/>
        <v>113.82515337423312</v>
      </c>
      <c r="Q42" s="49">
        <f t="shared" si="12"/>
        <v>108</v>
      </c>
      <c r="R42" s="51">
        <f t="shared" si="13"/>
        <v>113.82515337423312</v>
      </c>
      <c r="S42" s="46">
        <f t="shared" si="14"/>
        <v>62603.834355828221</v>
      </c>
      <c r="T42" t="str">
        <f t="shared" si="15"/>
        <v/>
      </c>
      <c r="U42">
        <f t="shared" si="16"/>
        <v>15</v>
      </c>
      <c r="Y42" t="str">
        <f>TRIM(Tabla2[[#This Row],[CONDUCTOR]])</f>
        <v>AGUDELO GARCIA DENIN ANGELO</v>
      </c>
    </row>
    <row r="43" spans="2:25" x14ac:dyDescent="0.2">
      <c r="B43" s="136" t="s">
        <v>122</v>
      </c>
      <c r="C43" s="166">
        <v>43</v>
      </c>
      <c r="D43" s="151" t="s">
        <v>180</v>
      </c>
      <c r="E43" s="150">
        <v>9</v>
      </c>
      <c r="F43" s="150">
        <v>0</v>
      </c>
      <c r="G43" s="146">
        <v>165</v>
      </c>
      <c r="H43" s="226">
        <f t="shared" si="7"/>
        <v>18.333333333333332</v>
      </c>
      <c r="I43" s="363">
        <f t="shared" si="8"/>
        <v>122.82515337423312</v>
      </c>
      <c r="J43" s="362">
        <f>+Tabla2[[#This Row],[PROM DE USUARIOS]]-Tabla2[[#This Row],[USUARIOS]]</f>
        <v>-42.174846625766875</v>
      </c>
      <c r="K43" s="151"/>
      <c r="L43" s="163">
        <f t="shared" si="9"/>
        <v>66587.714723926372</v>
      </c>
      <c r="M43" s="162">
        <f>+VLOOKUP(C43,Lista!B:D,3,0)</f>
        <v>0</v>
      </c>
      <c r="N43" s="164">
        <f t="shared" si="0"/>
        <v>6957.894736842105</v>
      </c>
      <c r="O43" s="50">
        <f t="shared" si="10"/>
        <v>9</v>
      </c>
      <c r="P43" s="47">
        <f t="shared" si="11"/>
        <v>113.82515337423312</v>
      </c>
      <c r="Q43" s="49">
        <f t="shared" si="12"/>
        <v>156</v>
      </c>
      <c r="R43" s="51">
        <f t="shared" si="13"/>
        <v>113.82515337423312</v>
      </c>
      <c r="S43" s="46">
        <f t="shared" si="14"/>
        <v>62603.834355828221</v>
      </c>
      <c r="T43" t="str">
        <f t="shared" si="15"/>
        <v/>
      </c>
      <c r="U43">
        <f t="shared" si="16"/>
        <v>38</v>
      </c>
      <c r="Y43" t="str">
        <f>TRIM(Tabla2[[#This Row],[CONDUCTOR]])</f>
        <v>ARAQUE ARROYAVE JOSE ALBEIRO</v>
      </c>
    </row>
    <row r="44" spans="2:25" x14ac:dyDescent="0.2">
      <c r="B44" s="136" t="s">
        <v>121</v>
      </c>
      <c r="C44" s="166">
        <v>44</v>
      </c>
      <c r="D44" s="151" t="s">
        <v>159</v>
      </c>
      <c r="E44" s="150">
        <v>8</v>
      </c>
      <c r="F44" s="150">
        <v>0</v>
      </c>
      <c r="G44" s="165">
        <v>120</v>
      </c>
      <c r="H44" s="226">
        <f t="shared" si="7"/>
        <v>15</v>
      </c>
      <c r="I44" s="363">
        <f t="shared" si="8"/>
        <v>109.17791411042944</v>
      </c>
      <c r="J44" s="362">
        <f>+Tabla2[[#This Row],[PROM DE USUARIOS]]-Tabla2[[#This Row],[USUARIOS]]</f>
        <v>-10.822085889570559</v>
      </c>
      <c r="K44" s="151" t="s">
        <v>129</v>
      </c>
      <c r="L44" s="163">
        <f t="shared" si="9"/>
        <v>59189.079754601225</v>
      </c>
      <c r="M44" s="162">
        <f>+VLOOKUP(C44,Lista!B:D,3,0)</f>
        <v>0</v>
      </c>
      <c r="N44" s="164">
        <f t="shared" si="0"/>
        <v>6957.894736842105</v>
      </c>
      <c r="O44" s="50">
        <f t="shared" si="10"/>
        <v>8</v>
      </c>
      <c r="P44" s="47">
        <f t="shared" si="11"/>
        <v>101.17791411042944</v>
      </c>
      <c r="Q44" s="49">
        <f t="shared" si="12"/>
        <v>112</v>
      </c>
      <c r="R44" s="51">
        <f t="shared" si="13"/>
        <v>101.17791411042944</v>
      </c>
      <c r="S44" s="46">
        <f t="shared" si="14"/>
        <v>55647.85276073619</v>
      </c>
      <c r="T44" t="str">
        <f t="shared" si="15"/>
        <v xml:space="preserve">1 Descuento (Conduct) </v>
      </c>
      <c r="U44">
        <f t="shared" si="16"/>
        <v>29</v>
      </c>
      <c r="Y44" t="str">
        <f>TRIM(Tabla2[[#This Row],[CONDUCTOR]])</f>
        <v>MARIN ALZATE KEVIN ANDRES</v>
      </c>
    </row>
    <row r="45" spans="2:25" x14ac:dyDescent="0.2">
      <c r="B45" s="231"/>
      <c r="C45" s="238">
        <f>SUBTOTAL(102,Tabla2[VEH])</f>
        <v>38</v>
      </c>
      <c r="D45" s="232" t="s">
        <v>127</v>
      </c>
      <c r="E45" s="233">
        <f>SUBTOTAL(109,Tabla2[VIAJES])</f>
        <v>326</v>
      </c>
      <c r="F45" s="233">
        <f>SUBTOTAL(109,Tabla2[VIAJES PERD.])</f>
        <v>1.5</v>
      </c>
      <c r="G45" s="239">
        <f>SUBTOTAL(109,Tabla2[USUARIOS])</f>
        <v>4449</v>
      </c>
      <c r="H45" s="372">
        <f>+Tabla2[[#Totals],[USUARIOS]]/Tabla2[[#Totals],[VIAJES]]</f>
        <v>13.64723926380368</v>
      </c>
      <c r="I45" s="239">
        <f>SUBTOTAL(109,Tabla2[PROM DE USUARIOS])</f>
        <v>4448.9999999999991</v>
      </c>
      <c r="J45" s="371">
        <f>SUBTOTAL(109,Tabla2[RECIBE / ENTREGA])</f>
        <v>-1.4210854715202004E-13</v>
      </c>
      <c r="K45" s="234" t="s">
        <v>194</v>
      </c>
      <c r="L45" s="235"/>
      <c r="M45" s="236"/>
      <c r="N45" s="237">
        <f>SUBTOTAL(109,Tabla2[DIFER. MICRO - BUS ])</f>
        <v>264400</v>
      </c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7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4"/>
      <c r="C46" s="245"/>
      <c r="D46" s="246"/>
      <c r="E46" s="247"/>
      <c r="F46" s="247"/>
      <c r="G46" s="248"/>
      <c r="H46" s="249"/>
      <c r="I46" s="250"/>
      <c r="J46" s="340"/>
      <c r="K46" s="246"/>
      <c r="L46" s="251"/>
      <c r="M46" s="252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8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4"/>
      <c r="C47" s="245"/>
      <c r="D47" s="246"/>
      <c r="E47" s="247"/>
      <c r="F47" s="247"/>
      <c r="G47" s="248"/>
      <c r="H47" s="249"/>
      <c r="I47" s="250"/>
      <c r="J47" s="340"/>
      <c r="K47" s="246"/>
      <c r="L47" s="251"/>
      <c r="M47" s="252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4"/>
      <c r="C48" s="245"/>
      <c r="D48" s="246"/>
      <c r="E48" s="247"/>
      <c r="F48" s="247"/>
      <c r="G48" s="248"/>
      <c r="H48" s="249"/>
      <c r="I48" s="250"/>
      <c r="J48" s="340"/>
      <c r="K48" s="246"/>
      <c r="L48" s="251"/>
      <c r="M48" s="252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4"/>
      <c r="C49" s="245"/>
      <c r="D49" s="246"/>
      <c r="E49" s="247"/>
      <c r="F49" s="247"/>
      <c r="G49" s="253"/>
      <c r="H49" s="249"/>
      <c r="I49" s="250"/>
      <c r="J49" s="340"/>
      <c r="K49" s="246"/>
      <c r="L49" s="251"/>
      <c r="M49" s="252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53"/>
      <c r="H50" s="249"/>
      <c r="I50" s="250"/>
      <c r="J50" s="340"/>
      <c r="K50" s="246"/>
      <c r="L50" s="251"/>
      <c r="M50" s="252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22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4"/>
      <c r="C51" s="254"/>
      <c r="D51" s="246"/>
      <c r="E51" s="247"/>
      <c r="F51" s="247"/>
      <c r="G51" s="199"/>
      <c r="H51" s="249"/>
      <c r="I51" s="250"/>
      <c r="J51" s="340"/>
      <c r="K51" s="246"/>
      <c r="L51" s="251"/>
      <c r="M51" s="252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22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4"/>
      <c r="C52" s="254"/>
      <c r="D52" s="246"/>
      <c r="E52" s="247"/>
      <c r="F52" s="247"/>
      <c r="G52" s="199"/>
      <c r="H52" s="249"/>
      <c r="I52" s="250"/>
      <c r="J52" s="340"/>
      <c r="K52" s="246"/>
      <c r="L52" s="251"/>
      <c r="M52" s="252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22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4"/>
      <c r="C53" s="245"/>
      <c r="D53" s="246"/>
      <c r="E53" s="247"/>
      <c r="F53" s="247"/>
      <c r="G53" s="253"/>
      <c r="H53" s="249"/>
      <c r="I53" s="250"/>
      <c r="J53" s="340"/>
      <c r="K53" s="246"/>
      <c r="L53" s="251"/>
      <c r="M53" s="252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22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4"/>
      <c r="C54" s="254"/>
      <c r="D54" s="246"/>
      <c r="E54" s="247"/>
      <c r="F54" s="247"/>
      <c r="G54" s="199"/>
      <c r="H54" s="249"/>
      <c r="I54" s="250"/>
      <c r="J54" s="340"/>
      <c r="K54" s="246"/>
      <c r="L54" s="251"/>
      <c r="M54" s="252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22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4"/>
      <c r="C55" s="245"/>
      <c r="D55" s="246"/>
      <c r="E55" s="247"/>
      <c r="F55" s="247"/>
      <c r="G55" s="253"/>
      <c r="H55" s="249"/>
      <c r="I55" s="250"/>
      <c r="J55" s="340"/>
      <c r="K55" s="246"/>
      <c r="L55" s="251"/>
      <c r="M55" s="252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22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4"/>
      <c r="C56" s="245"/>
      <c r="D56" s="246"/>
      <c r="E56" s="247"/>
      <c r="F56" s="247"/>
      <c r="G56" s="253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45"/>
      <c r="D58" s="246"/>
      <c r="E58" s="247"/>
      <c r="F58" s="247"/>
      <c r="G58" s="253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23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23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23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23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23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4"/>
      <c r="C70" s="254"/>
      <c r="D70" s="246"/>
      <c r="E70" s="247"/>
      <c r="F70" s="247"/>
      <c r="G70" s="255"/>
      <c r="H70" s="249"/>
      <c r="I70" s="221"/>
      <c r="J70" s="341"/>
      <c r="K70" s="246"/>
      <c r="L70" s="251"/>
      <c r="M70" s="252"/>
      <c r="N70" s="203"/>
    </row>
    <row r="71" spans="2:21" x14ac:dyDescent="0.2">
      <c r="B71" s="244"/>
      <c r="C71" s="245"/>
      <c r="D71" s="246"/>
      <c r="E71" s="247"/>
      <c r="F71" s="247"/>
      <c r="G71" s="255"/>
      <c r="H71" s="249"/>
      <c r="I71" s="221"/>
      <c r="J71" s="341"/>
      <c r="K71" s="246"/>
      <c r="L71" s="251"/>
      <c r="M71" s="252"/>
      <c r="N71" s="203"/>
    </row>
    <row r="72" spans="2:21" x14ac:dyDescent="0.2">
      <c r="B72" s="244"/>
      <c r="C72" s="245"/>
      <c r="D72" s="246"/>
      <c r="E72" s="247"/>
      <c r="F72" s="247"/>
      <c r="G72" s="253"/>
      <c r="H72" s="249"/>
      <c r="I72" s="221"/>
      <c r="J72" s="341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3"/>
      <c r="H73" s="249"/>
      <c r="I73" s="221"/>
      <c r="J73" s="341"/>
      <c r="K73" s="246"/>
      <c r="L73" s="251"/>
      <c r="M73" s="252"/>
      <c r="N73" s="203"/>
    </row>
    <row r="74" spans="2:21" x14ac:dyDescent="0.2">
      <c r="B74" s="244"/>
      <c r="C74" s="245"/>
      <c r="D74" s="246"/>
      <c r="E74" s="247"/>
      <c r="F74" s="247"/>
      <c r="G74" s="253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54"/>
      <c r="D75" s="246"/>
      <c r="E75" s="247"/>
      <c r="F75" s="247"/>
      <c r="G75" s="199"/>
      <c r="H75" s="256"/>
      <c r="I75" s="222"/>
      <c r="J75" s="342"/>
      <c r="K75" s="246"/>
      <c r="L75" s="251"/>
      <c r="M75" s="252"/>
      <c r="N75" s="203"/>
    </row>
    <row r="76" spans="2:21" x14ac:dyDescent="0.2">
      <c r="B76" s="244"/>
      <c r="C76" s="245"/>
      <c r="D76" s="246"/>
      <c r="E76" s="247"/>
      <c r="F76" s="247"/>
      <c r="G76" s="253"/>
      <c r="H76" s="249"/>
      <c r="I76" s="221"/>
      <c r="J76" s="341"/>
      <c r="K76" s="246"/>
      <c r="L76" s="251"/>
      <c r="M76" s="252"/>
      <c r="N76" s="203"/>
    </row>
    <row r="77" spans="2:21" x14ac:dyDescent="0.2">
      <c r="B77" s="244"/>
      <c r="C77" s="254"/>
      <c r="D77" s="246"/>
      <c r="E77" s="247"/>
      <c r="F77" s="247"/>
      <c r="G77" s="199"/>
      <c r="H77" s="256"/>
      <c r="I77" s="222"/>
      <c r="J77" s="342"/>
      <c r="K77" s="246"/>
      <c r="L77" s="251"/>
      <c r="M77" s="252"/>
      <c r="N77" s="257"/>
    </row>
    <row r="78" spans="2:21" x14ac:dyDescent="0.2">
      <c r="B78" s="244"/>
      <c r="C78" s="254"/>
      <c r="D78" s="246"/>
      <c r="E78" s="247"/>
      <c r="F78" s="247"/>
      <c r="G78" s="253"/>
      <c r="H78" s="256"/>
      <c r="I78" s="222"/>
      <c r="J78" s="342"/>
      <c r="K78" s="246"/>
      <c r="L78" s="251"/>
      <c r="M78" s="252"/>
      <c r="N78" s="257"/>
    </row>
    <row r="79" spans="2:21" x14ac:dyDescent="0.2">
      <c r="B79" s="244"/>
      <c r="C79" s="245"/>
      <c r="D79" s="246"/>
      <c r="E79" s="247"/>
      <c r="F79" s="247"/>
      <c r="G79" s="253"/>
      <c r="H79" s="249"/>
      <c r="I79" s="221"/>
      <c r="J79" s="341"/>
      <c r="K79" s="246"/>
      <c r="L79" s="251"/>
      <c r="M79" s="252"/>
      <c r="N79" s="257"/>
    </row>
    <row r="80" spans="2:21" x14ac:dyDescent="0.2">
      <c r="B80" s="244"/>
      <c r="C80" s="245"/>
      <c r="D80" s="246"/>
      <c r="E80" s="247"/>
      <c r="F80" s="247"/>
      <c r="G80" s="253"/>
      <c r="H80" s="249"/>
      <c r="I80" s="221"/>
      <c r="J80" s="341"/>
      <c r="K80" s="246"/>
      <c r="L80" s="251"/>
      <c r="M80" s="252"/>
      <c r="N80" s="257"/>
    </row>
    <row r="81" spans="2:14" x14ac:dyDescent="0.2">
      <c r="B81" s="244"/>
      <c r="C81" s="245"/>
      <c r="D81" s="246"/>
      <c r="E81" s="247"/>
      <c r="F81" s="247"/>
      <c r="G81" s="253"/>
      <c r="H81" s="249"/>
      <c r="I81" s="221"/>
      <c r="J81" s="341"/>
      <c r="K81" s="246"/>
      <c r="L81" s="251"/>
      <c r="M81" s="252"/>
      <c r="N81" s="257"/>
    </row>
    <row r="82" spans="2:14" x14ac:dyDescent="0.2">
      <c r="B82" s="244"/>
      <c r="C82" s="254"/>
      <c r="D82" s="246"/>
      <c r="E82" s="247"/>
      <c r="F82" s="247"/>
      <c r="G82" s="199"/>
      <c r="H82" s="256"/>
      <c r="I82" s="222"/>
      <c r="J82" s="342"/>
      <c r="K82" s="246"/>
      <c r="L82" s="203"/>
      <c r="M82" s="252"/>
      <c r="N82" s="257"/>
    </row>
    <row r="83" spans="2:14" x14ac:dyDescent="0.2">
      <c r="B83" s="244"/>
      <c r="C83" s="245"/>
      <c r="D83" s="246"/>
      <c r="E83" s="247"/>
      <c r="F83" s="247"/>
      <c r="G83" s="253"/>
      <c r="H83" s="249"/>
      <c r="I83" s="221"/>
      <c r="J83" s="341"/>
      <c r="K83" s="246"/>
      <c r="L83" s="251"/>
      <c r="M83" s="252"/>
      <c r="N83" s="257"/>
    </row>
    <row r="84" spans="2:14" x14ac:dyDescent="0.2">
      <c r="B84" s="244"/>
      <c r="C84" s="245"/>
      <c r="D84" s="246"/>
      <c r="E84" s="247"/>
      <c r="F84" s="247"/>
      <c r="G84" s="255"/>
      <c r="H84" s="249"/>
      <c r="I84" s="221"/>
      <c r="J84" s="341"/>
      <c r="K84" s="246"/>
      <c r="L84" s="251"/>
      <c r="M84" s="252"/>
      <c r="N84" s="257"/>
    </row>
    <row r="85" spans="2:14" x14ac:dyDescent="0.2">
      <c r="B85" s="244"/>
      <c r="C85" s="245"/>
      <c r="D85" s="246"/>
      <c r="E85" s="247"/>
      <c r="F85" s="247"/>
      <c r="G85" s="253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45"/>
      <c r="D86" s="246"/>
      <c r="E86" s="247"/>
      <c r="F86" s="247"/>
      <c r="G86" s="253"/>
      <c r="H86" s="249"/>
      <c r="I86" s="221"/>
      <c r="J86" s="341"/>
      <c r="K86" s="246"/>
      <c r="L86" s="251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5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3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3"/>
      <c r="H90" s="249"/>
      <c r="I90" s="221"/>
      <c r="J90" s="341"/>
      <c r="K90" s="246"/>
      <c r="L90" s="203"/>
      <c r="M90" s="252"/>
      <c r="N90" s="257"/>
    </row>
    <row r="91" spans="2:14" x14ac:dyDescent="0.2">
      <c r="B91" s="244"/>
      <c r="C91" s="254"/>
      <c r="D91" s="246"/>
      <c r="E91" s="247"/>
      <c r="F91" s="247"/>
      <c r="G91" s="199"/>
      <c r="H91" s="256"/>
      <c r="I91" s="222"/>
      <c r="J91" s="342"/>
      <c r="K91" s="246"/>
      <c r="L91" s="203"/>
      <c r="M91" s="252"/>
      <c r="N91" s="257"/>
    </row>
    <row r="92" spans="2:14" x14ac:dyDescent="0.2">
      <c r="B92" s="244"/>
      <c r="C92" s="245"/>
      <c r="D92" s="246"/>
      <c r="E92" s="247"/>
      <c r="F92" s="247"/>
      <c r="G92" s="253"/>
      <c r="H92" s="249"/>
      <c r="I92" s="221"/>
      <c r="J92" s="341"/>
      <c r="K92" s="246"/>
      <c r="L92" s="251"/>
      <c r="M92" s="252"/>
      <c r="N92" s="257"/>
    </row>
    <row r="93" spans="2:14" x14ac:dyDescent="0.2">
      <c r="B93" s="244"/>
      <c r="C93" s="245"/>
      <c r="D93" s="246"/>
      <c r="E93" s="247"/>
      <c r="F93" s="247"/>
      <c r="G93" s="253"/>
      <c r="H93" s="249"/>
      <c r="I93" s="221"/>
      <c r="J93" s="341"/>
      <c r="K93" s="246"/>
      <c r="L93" s="251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03"/>
      <c r="M94" s="252"/>
      <c r="N94" s="257"/>
    </row>
    <row r="95" spans="2:14" x14ac:dyDescent="0.2">
      <c r="B95" s="244"/>
      <c r="C95" s="245"/>
      <c r="D95" s="246"/>
      <c r="E95" s="247"/>
      <c r="F95" s="247"/>
      <c r="G95" s="253"/>
      <c r="H95" s="249"/>
      <c r="I95" s="221"/>
      <c r="J95" s="341"/>
      <c r="K95" s="246"/>
      <c r="L95" s="203"/>
      <c r="M95" s="252"/>
      <c r="N95" s="257"/>
    </row>
    <row r="96" spans="2:14" x14ac:dyDescent="0.2">
      <c r="B96" s="244"/>
      <c r="C96" s="254"/>
      <c r="D96" s="246"/>
      <c r="E96" s="247"/>
      <c r="F96" s="247"/>
      <c r="G96" s="253"/>
      <c r="H96" s="258"/>
      <c r="I96" s="259"/>
      <c r="J96" s="343"/>
      <c r="K96" s="246"/>
      <c r="L96" s="203"/>
      <c r="M96" s="252"/>
      <c r="N96" s="257"/>
    </row>
    <row r="97" spans="2:14" x14ac:dyDescent="0.2">
      <c r="B97" s="244"/>
      <c r="C97" s="245"/>
      <c r="D97" s="246"/>
      <c r="E97" s="247"/>
      <c r="F97" s="247"/>
      <c r="G97" s="253"/>
      <c r="H97" s="249"/>
      <c r="I97" s="221"/>
      <c r="J97" s="341"/>
      <c r="K97" s="246"/>
      <c r="L97" s="203"/>
      <c r="M97" s="252"/>
      <c r="N97" s="257"/>
    </row>
    <row r="98" spans="2:14" x14ac:dyDescent="0.2">
      <c r="B98" s="244"/>
      <c r="C98" s="245"/>
      <c r="D98" s="246"/>
      <c r="E98" s="247"/>
      <c r="F98" s="247"/>
      <c r="G98" s="253"/>
      <c r="H98" s="249"/>
      <c r="I98" s="221"/>
      <c r="J98" s="341"/>
      <c r="K98" s="246"/>
      <c r="L98" s="251"/>
      <c r="M98" s="252"/>
      <c r="N98" s="257"/>
    </row>
    <row r="99" spans="2:14" x14ac:dyDescent="0.2">
      <c r="B99" s="244"/>
      <c r="C99" s="245"/>
      <c r="D99" s="246"/>
      <c r="E99" s="247"/>
      <c r="F99" s="247"/>
      <c r="G99" s="255"/>
      <c r="H99" s="249"/>
      <c r="I99" s="221"/>
      <c r="J99" s="341"/>
      <c r="K99" s="246"/>
      <c r="L99" s="251"/>
      <c r="M99" s="252"/>
      <c r="N99" s="257"/>
    </row>
    <row r="100" spans="2:14" x14ac:dyDescent="0.2">
      <c r="B100" s="244"/>
      <c r="C100" s="245"/>
      <c r="D100" s="246"/>
      <c r="E100" s="247"/>
      <c r="F100" s="247"/>
      <c r="G100" s="253"/>
      <c r="H100" s="249"/>
      <c r="I100" s="221"/>
      <c r="J100" s="341"/>
      <c r="K100" s="246"/>
      <c r="L100" s="251"/>
      <c r="M100" s="252"/>
      <c r="N100" s="257"/>
    </row>
    <row r="101" spans="2:14" x14ac:dyDescent="0.2">
      <c r="B101" s="244"/>
      <c r="C101" s="254"/>
      <c r="D101" s="246"/>
      <c r="E101" s="247"/>
      <c r="F101" s="247"/>
      <c r="G101" s="199"/>
      <c r="H101" s="256"/>
      <c r="I101" s="222"/>
      <c r="J101" s="342"/>
      <c r="K101" s="246"/>
      <c r="L101" s="251"/>
      <c r="M101" s="252"/>
      <c r="N101" s="257"/>
    </row>
    <row r="102" spans="2:14" x14ac:dyDescent="0.2">
      <c r="B102" s="244"/>
      <c r="C102" s="245"/>
      <c r="D102" s="246"/>
      <c r="E102" s="247"/>
      <c r="F102" s="247"/>
      <c r="G102" s="253"/>
      <c r="H102" s="249"/>
      <c r="I102" s="221"/>
      <c r="J102" s="341"/>
      <c r="K102" s="246"/>
      <c r="L102" s="251"/>
      <c r="M102" s="252"/>
      <c r="N102" s="257"/>
    </row>
    <row r="103" spans="2:14" x14ac:dyDescent="0.2">
      <c r="B103" s="244"/>
      <c r="C103" s="245"/>
      <c r="D103" s="246"/>
      <c r="E103" s="247"/>
      <c r="F103" s="247"/>
      <c r="G103" s="255"/>
      <c r="H103" s="249"/>
      <c r="I103" s="221"/>
      <c r="J103" s="341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3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45"/>
      <c r="D105" s="246"/>
      <c r="E105" s="247"/>
      <c r="F105" s="247"/>
      <c r="G105" s="253"/>
      <c r="H105" s="249"/>
      <c r="I105" s="221"/>
      <c r="J105" s="341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3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5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3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5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3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3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54"/>
      <c r="D115" s="246"/>
      <c r="E115" s="247"/>
      <c r="F115" s="247"/>
      <c r="G115" s="199"/>
      <c r="H115" s="256"/>
      <c r="I115" s="222"/>
      <c r="J115" s="342"/>
      <c r="K115" s="246"/>
      <c r="L115" s="251"/>
      <c r="M115" s="252"/>
      <c r="N115" s="257"/>
    </row>
    <row r="116" spans="2:14" x14ac:dyDescent="0.2">
      <c r="B116" s="244"/>
      <c r="C116" s="245"/>
      <c r="D116" s="246"/>
      <c r="E116" s="247"/>
      <c r="F116" s="247"/>
      <c r="G116" s="253"/>
      <c r="H116" s="249"/>
      <c r="I116" s="221"/>
      <c r="J116" s="341"/>
      <c r="K116" s="246"/>
      <c r="L116" s="203"/>
      <c r="M116" s="252"/>
      <c r="N116" s="257"/>
    </row>
    <row r="117" spans="2:14" x14ac:dyDescent="0.2">
      <c r="B117" s="244"/>
      <c r="C117" s="245"/>
      <c r="D117" s="246"/>
      <c r="E117" s="247"/>
      <c r="F117" s="247"/>
      <c r="G117" s="255"/>
      <c r="H117" s="249"/>
      <c r="I117" s="221"/>
      <c r="J117" s="341"/>
      <c r="K117" s="246"/>
      <c r="L117" s="251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3"/>
      <c r="H118" s="249"/>
      <c r="I118" s="221"/>
      <c r="J118" s="341"/>
      <c r="K118" s="246"/>
      <c r="L118" s="203"/>
      <c r="M118" s="252"/>
      <c r="N118" s="257"/>
    </row>
    <row r="119" spans="2:14" x14ac:dyDescent="0.2">
      <c r="B119" s="244"/>
      <c r="C119" s="245"/>
      <c r="D119" s="246"/>
      <c r="E119" s="247"/>
      <c r="F119" s="247"/>
      <c r="G119" s="253"/>
      <c r="H119" s="249"/>
      <c r="I119" s="221"/>
      <c r="J119" s="341"/>
      <c r="K119" s="246"/>
      <c r="L119" s="251"/>
      <c r="M119" s="252"/>
      <c r="N119" s="203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51"/>
      <c r="M120" s="252"/>
      <c r="N120" s="203"/>
    </row>
    <row r="121" spans="2:14" x14ac:dyDescent="0.2">
      <c r="B121" s="244"/>
      <c r="C121" s="245"/>
      <c r="D121" s="244"/>
      <c r="E121" s="247"/>
      <c r="F121" s="247"/>
      <c r="G121" s="260"/>
      <c r="H121" s="249"/>
      <c r="I121" s="221"/>
      <c r="J121" s="341"/>
      <c r="K121" s="246"/>
      <c r="L121" s="251"/>
      <c r="M121" s="252"/>
      <c r="N121" s="203"/>
    </row>
    <row r="122" spans="2:14" x14ac:dyDescent="0.2">
      <c r="B122" s="244"/>
      <c r="C122" s="245"/>
      <c r="D122" s="246"/>
      <c r="E122" s="247"/>
      <c r="F122" s="247"/>
      <c r="G122" s="253"/>
      <c r="H122" s="249"/>
      <c r="I122" s="221"/>
      <c r="J122" s="341"/>
      <c r="K122" s="246"/>
      <c r="L122" s="251"/>
      <c r="M122" s="252"/>
      <c r="N122" s="203"/>
    </row>
    <row r="123" spans="2:14" x14ac:dyDescent="0.2">
      <c r="B123" s="244"/>
      <c r="C123" s="245"/>
      <c r="D123" s="246"/>
      <c r="E123" s="247"/>
      <c r="F123" s="247"/>
      <c r="G123" s="253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6"/>
      <c r="E125" s="247"/>
      <c r="F125" s="247"/>
      <c r="G125" s="253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54"/>
      <c r="D126" s="246"/>
      <c r="E126" s="247"/>
      <c r="F126" s="247"/>
      <c r="G126" s="199"/>
      <c r="H126" s="256"/>
      <c r="I126" s="222"/>
      <c r="J126" s="342"/>
      <c r="K126" s="261"/>
      <c r="L126" s="251"/>
      <c r="M126" s="252"/>
      <c r="N126" s="203"/>
    </row>
    <row r="127" spans="2:14" x14ac:dyDescent="0.2">
      <c r="B127" s="244"/>
      <c r="C127" s="245"/>
      <c r="D127" s="246"/>
      <c r="E127" s="247"/>
      <c r="F127" s="247"/>
      <c r="G127" s="253"/>
      <c r="H127" s="249"/>
      <c r="I127" s="221"/>
      <c r="J127" s="341"/>
      <c r="K127" s="246"/>
      <c r="L127" s="251"/>
      <c r="M127" s="252"/>
      <c r="N127" s="203"/>
    </row>
    <row r="128" spans="2:14" x14ac:dyDescent="0.2">
      <c r="B128" s="244"/>
      <c r="C128" s="254"/>
      <c r="D128" s="246"/>
      <c r="E128" s="247"/>
      <c r="F128" s="247"/>
      <c r="G128" s="199"/>
      <c r="H128" s="249"/>
      <c r="I128" s="221"/>
      <c r="J128" s="341"/>
      <c r="K128" s="246"/>
      <c r="L128" s="251"/>
      <c r="M128" s="252"/>
      <c r="N128" s="203"/>
    </row>
    <row r="129" spans="2:14" x14ac:dyDescent="0.2">
      <c r="B129" s="244"/>
      <c r="C129" s="245"/>
      <c r="D129" s="246"/>
      <c r="E129" s="247"/>
      <c r="F129" s="247"/>
      <c r="G129" s="253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45"/>
      <c r="D130" s="246"/>
      <c r="E130" s="247"/>
      <c r="F130" s="247"/>
      <c r="G130" s="253"/>
      <c r="H130" s="200"/>
      <c r="I130" s="221"/>
      <c r="J130" s="341"/>
      <c r="K130" s="246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49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45"/>
      <c r="D132" s="246"/>
      <c r="E132" s="247"/>
      <c r="F132" s="247"/>
      <c r="G132" s="253"/>
      <c r="H132" s="249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00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49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54"/>
      <c r="D135" s="246"/>
      <c r="E135" s="247"/>
      <c r="F135" s="247"/>
      <c r="G135" s="199"/>
      <c r="H135" s="200"/>
      <c r="I135" s="221"/>
      <c r="J135" s="341"/>
      <c r="K135" s="246"/>
      <c r="L135" s="203"/>
      <c r="M135" s="252"/>
      <c r="N135" s="257"/>
    </row>
    <row r="136" spans="2:14" x14ac:dyDescent="0.2">
      <c r="B136" s="244"/>
      <c r="C136" s="245"/>
      <c r="D136" s="246"/>
      <c r="E136" s="247"/>
      <c r="F136" s="247"/>
      <c r="G136" s="253"/>
      <c r="H136" s="200"/>
      <c r="I136" s="221"/>
      <c r="J136" s="341"/>
      <c r="K136" s="246"/>
      <c r="L136" s="251"/>
      <c r="M136" s="252"/>
      <c r="N136" s="257"/>
    </row>
    <row r="137" spans="2:14" x14ac:dyDescent="0.2">
      <c r="B137" s="244"/>
      <c r="C137" s="254"/>
      <c r="D137" s="246"/>
      <c r="E137" s="247"/>
      <c r="F137" s="247"/>
      <c r="G137" s="199"/>
      <c r="H137" s="200"/>
      <c r="I137" s="221"/>
      <c r="J137" s="341"/>
      <c r="K137" s="246"/>
      <c r="L137" s="203"/>
      <c r="M137" s="252"/>
      <c r="N137" s="257"/>
    </row>
    <row r="138" spans="2:14" x14ac:dyDescent="0.2">
      <c r="B138" s="244"/>
      <c r="C138" s="245"/>
      <c r="D138" s="246"/>
      <c r="E138" s="247"/>
      <c r="F138" s="247"/>
      <c r="G138" s="253"/>
      <c r="H138" s="200"/>
      <c r="I138" s="221"/>
      <c r="J138" s="341"/>
      <c r="K138" s="246"/>
      <c r="L138" s="251"/>
      <c r="M138" s="252"/>
      <c r="N138" s="203"/>
    </row>
    <row r="139" spans="2:14" x14ac:dyDescent="0.2">
      <c r="B139" s="244"/>
      <c r="C139" s="254"/>
      <c r="D139" s="246"/>
      <c r="E139" s="247"/>
      <c r="F139" s="247"/>
      <c r="G139" s="199"/>
      <c r="H139" s="249"/>
      <c r="I139" s="221"/>
      <c r="J139" s="341"/>
      <c r="K139" s="246"/>
      <c r="L139" s="251"/>
      <c r="M139" s="252"/>
      <c r="N139" s="203"/>
    </row>
    <row r="140" spans="2:14" x14ac:dyDescent="0.2">
      <c r="B140" s="244"/>
      <c r="C140" s="254"/>
      <c r="D140" s="246"/>
      <c r="E140" s="247"/>
      <c r="F140" s="247"/>
      <c r="G140" s="199"/>
      <c r="H140" s="200"/>
      <c r="I140" s="221"/>
      <c r="J140" s="341"/>
      <c r="K140" s="246"/>
      <c r="L140" s="251"/>
      <c r="M140" s="252"/>
      <c r="N140" s="203"/>
    </row>
    <row r="141" spans="2:14" x14ac:dyDescent="0.2">
      <c r="B141" s="244"/>
      <c r="C141" s="254"/>
      <c r="D141" s="244"/>
      <c r="E141" s="247"/>
      <c r="F141" s="247"/>
      <c r="G141" s="201"/>
      <c r="H141" s="200"/>
      <c r="I141" s="221"/>
      <c r="J141" s="341"/>
      <c r="K141" s="246"/>
      <c r="L141" s="251"/>
      <c r="M141" s="252"/>
      <c r="N141" s="203"/>
    </row>
    <row r="142" spans="2:14" x14ac:dyDescent="0.2">
      <c r="B142" s="244"/>
      <c r="C142" s="245"/>
      <c r="D142" s="246"/>
      <c r="E142" s="247"/>
      <c r="F142" s="247"/>
      <c r="G142" s="253"/>
      <c r="H142" s="249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45"/>
      <c r="D143" s="246"/>
      <c r="E143" s="247"/>
      <c r="F143" s="247"/>
      <c r="G143" s="253"/>
      <c r="H143" s="249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45"/>
      <c r="D144" s="246"/>
      <c r="E144" s="247"/>
      <c r="F144" s="247"/>
      <c r="G144" s="253"/>
      <c r="H144" s="249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45"/>
      <c r="D145" s="246"/>
      <c r="E145" s="247"/>
      <c r="F145" s="247"/>
      <c r="G145" s="253"/>
      <c r="H145" s="249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00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49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00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54"/>
      <c r="D149" s="246"/>
      <c r="E149" s="247"/>
      <c r="F149" s="247"/>
      <c r="G149" s="199"/>
      <c r="H149" s="249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45"/>
      <c r="D150" s="246"/>
      <c r="E150" s="247"/>
      <c r="F150" s="247"/>
      <c r="G150" s="253"/>
      <c r="H150" s="249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54"/>
      <c r="D151" s="246"/>
      <c r="E151" s="247"/>
      <c r="F151" s="247"/>
      <c r="G151" s="199"/>
      <c r="H151" s="200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45"/>
      <c r="D152" s="246"/>
      <c r="E152" s="247"/>
      <c r="F152" s="247"/>
      <c r="G152" s="253"/>
      <c r="H152" s="200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54"/>
      <c r="D153" s="246"/>
      <c r="E153" s="247"/>
      <c r="F153" s="247"/>
      <c r="G153" s="199"/>
      <c r="H153" s="249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45"/>
      <c r="D154" s="246"/>
      <c r="E154" s="247"/>
      <c r="F154" s="247"/>
      <c r="G154" s="253"/>
      <c r="H154" s="200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54"/>
      <c r="D155" s="246"/>
      <c r="E155" s="247"/>
      <c r="F155" s="247"/>
      <c r="G155" s="199"/>
      <c r="H155" s="249"/>
      <c r="I155" s="250"/>
      <c r="J155" s="340"/>
      <c r="K155" s="246"/>
      <c r="L155" s="251"/>
      <c r="M155" s="252"/>
      <c r="N155" s="203"/>
    </row>
    <row r="156" spans="2:14" x14ac:dyDescent="0.2">
      <c r="B156" s="244"/>
      <c r="C156" s="245"/>
      <c r="D156" s="246"/>
      <c r="E156" s="247"/>
      <c r="F156" s="247"/>
      <c r="G156" s="253"/>
      <c r="H156" s="249"/>
      <c r="I156" s="221"/>
      <c r="J156" s="341"/>
      <c r="K156" s="246"/>
      <c r="L156" s="251"/>
      <c r="M156" s="252"/>
      <c r="N156" s="203"/>
    </row>
    <row r="157" spans="2:14" x14ac:dyDescent="0.2">
      <c r="B157" s="244"/>
      <c r="C157" s="254"/>
      <c r="D157" s="246"/>
      <c r="E157" s="247"/>
      <c r="F157" s="247"/>
      <c r="G157" s="199"/>
      <c r="H157" s="249"/>
      <c r="I157" s="221"/>
      <c r="J157" s="341"/>
      <c r="K157" s="246"/>
      <c r="L157" s="251"/>
      <c r="M157" s="252"/>
      <c r="N157" s="203"/>
    </row>
    <row r="158" spans="2:14" x14ac:dyDescent="0.2">
      <c r="B158" s="244"/>
      <c r="C158" s="245"/>
      <c r="D158" s="246"/>
      <c r="E158" s="247"/>
      <c r="F158" s="247"/>
      <c r="G158" s="253"/>
      <c r="H158" s="249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45"/>
      <c r="D159" s="246"/>
      <c r="E159" s="247"/>
      <c r="F159" s="247"/>
      <c r="G159" s="253"/>
      <c r="H159" s="249"/>
      <c r="I159" s="221"/>
      <c r="J159" s="341"/>
      <c r="K159" s="246"/>
      <c r="L159" s="251"/>
      <c r="M159" s="252"/>
      <c r="N159" s="203"/>
    </row>
    <row r="160" spans="2:14" x14ac:dyDescent="0.2">
      <c r="B160" s="244"/>
      <c r="C160" s="254"/>
      <c r="D160" s="244"/>
      <c r="E160" s="247"/>
      <c r="F160" s="247"/>
      <c r="G160" s="201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54"/>
      <c r="D161" s="246"/>
      <c r="E161" s="247"/>
      <c r="F161" s="247"/>
      <c r="G161" s="199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45"/>
      <c r="D162" s="246"/>
      <c r="E162" s="247"/>
      <c r="F162" s="247"/>
      <c r="G162" s="253"/>
      <c r="H162" s="249"/>
      <c r="I162" s="221"/>
      <c r="J162" s="341"/>
      <c r="K162" s="246"/>
      <c r="L162" s="251"/>
      <c r="M162" s="252"/>
      <c r="N162" s="257"/>
    </row>
    <row r="163" spans="2:14" x14ac:dyDescent="0.2">
      <c r="B163" s="244"/>
      <c r="C163" s="245"/>
      <c r="D163" s="246"/>
      <c r="E163" s="247"/>
      <c r="F163" s="247"/>
      <c r="G163" s="253"/>
      <c r="H163" s="200"/>
      <c r="I163" s="221"/>
      <c r="J163" s="341"/>
      <c r="K163" s="246"/>
      <c r="L163" s="251"/>
      <c r="M163" s="252"/>
      <c r="N163" s="203"/>
    </row>
    <row r="164" spans="2:14" x14ac:dyDescent="0.2">
      <c r="B164" s="244"/>
      <c r="C164" s="245"/>
      <c r="D164" s="246"/>
      <c r="E164" s="247"/>
      <c r="F164" s="247"/>
      <c r="G164" s="253"/>
      <c r="H164" s="200"/>
      <c r="I164" s="221"/>
      <c r="J164" s="341"/>
      <c r="K164" s="246"/>
      <c r="L164" s="251"/>
      <c r="M164" s="252"/>
      <c r="N164" s="203"/>
    </row>
    <row r="165" spans="2:14" x14ac:dyDescent="0.2">
      <c r="B165" s="244"/>
      <c r="C165" s="245"/>
      <c r="D165" s="246"/>
      <c r="E165" s="247"/>
      <c r="F165" s="247"/>
      <c r="G165" s="253"/>
      <c r="H165" s="200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00"/>
      <c r="I166" s="221"/>
      <c r="J166" s="341"/>
      <c r="K166" s="246"/>
      <c r="L166" s="251"/>
      <c r="M166" s="252"/>
      <c r="N166" s="203"/>
    </row>
    <row r="167" spans="2:14" x14ac:dyDescent="0.2">
      <c r="B167" s="244"/>
      <c r="C167" s="254"/>
      <c r="D167" s="246"/>
      <c r="E167" s="247"/>
      <c r="F167" s="247"/>
      <c r="G167" s="199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45"/>
      <c r="D168" s="246"/>
      <c r="E168" s="247"/>
      <c r="F168" s="247"/>
      <c r="G168" s="253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54"/>
      <c r="D169" s="246"/>
      <c r="E169" s="247"/>
      <c r="F169" s="247"/>
      <c r="G169" s="199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45"/>
      <c r="D170" s="246"/>
      <c r="E170" s="247"/>
      <c r="F170" s="247"/>
      <c r="G170" s="253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45"/>
      <c r="D171" s="246"/>
      <c r="E171" s="247"/>
      <c r="F171" s="247"/>
      <c r="G171" s="253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54"/>
      <c r="D172" s="246"/>
      <c r="E172" s="247"/>
      <c r="F172" s="247"/>
      <c r="G172" s="199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45"/>
      <c r="D173" s="246"/>
      <c r="E173" s="247"/>
      <c r="F173" s="247"/>
      <c r="G173" s="253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45"/>
      <c r="D174" s="246"/>
      <c r="E174" s="247"/>
      <c r="F174" s="247"/>
      <c r="G174" s="253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54"/>
      <c r="D176" s="246"/>
      <c r="E176" s="247"/>
      <c r="F176" s="247"/>
      <c r="G176" s="199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45"/>
      <c r="D177" s="246"/>
      <c r="E177" s="247"/>
      <c r="F177" s="247"/>
      <c r="G177" s="253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45"/>
      <c r="D178" s="246"/>
      <c r="E178" s="247"/>
      <c r="F178" s="247"/>
      <c r="G178" s="253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45"/>
      <c r="D180" s="246"/>
      <c r="E180" s="247"/>
      <c r="F180" s="247"/>
      <c r="G180" s="253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54"/>
      <c r="D181" s="246"/>
      <c r="E181" s="247"/>
      <c r="F181" s="247"/>
      <c r="G181" s="199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45"/>
      <c r="D182" s="246"/>
      <c r="E182" s="247"/>
      <c r="F182" s="247"/>
      <c r="G182" s="253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45"/>
      <c r="D183" s="246"/>
      <c r="E183" s="247"/>
      <c r="F183" s="247"/>
      <c r="G183" s="253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45"/>
      <c r="D185" s="246"/>
      <c r="E185" s="247"/>
      <c r="F185" s="247"/>
      <c r="G185" s="253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54"/>
      <c r="D189" s="246"/>
      <c r="E189" s="247"/>
      <c r="F189" s="247"/>
      <c r="G189" s="199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45"/>
      <c r="D190" s="246"/>
      <c r="E190" s="247"/>
      <c r="F190" s="247"/>
      <c r="G190" s="253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54"/>
      <c r="D191" s="246"/>
      <c r="E191" s="247"/>
      <c r="F191" s="247"/>
      <c r="G191" s="199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45"/>
      <c r="D192" s="246"/>
      <c r="E192" s="247"/>
      <c r="F192" s="247"/>
      <c r="G192" s="253"/>
      <c r="H192" s="200"/>
      <c r="I192" s="221"/>
      <c r="J192" s="341"/>
      <c r="K192" s="246"/>
      <c r="L192" s="203"/>
      <c r="M192" s="252"/>
      <c r="N192" s="257"/>
    </row>
    <row r="193" spans="2:14" x14ac:dyDescent="0.2">
      <c r="B193" s="244"/>
      <c r="C193" s="245"/>
      <c r="D193" s="246"/>
      <c r="E193" s="247"/>
      <c r="F193" s="247"/>
      <c r="G193" s="253"/>
      <c r="H193" s="249"/>
      <c r="I193" s="221"/>
      <c r="J193" s="341"/>
      <c r="K193" s="246"/>
      <c r="L193" s="251"/>
      <c r="M193" s="252"/>
      <c r="N193" s="257"/>
    </row>
    <row r="194" spans="2:14" x14ac:dyDescent="0.2">
      <c r="B194" s="244"/>
      <c r="C194" s="245"/>
      <c r="D194" s="246"/>
      <c r="E194" s="247"/>
      <c r="F194" s="247"/>
      <c r="G194" s="253"/>
      <c r="H194" s="200"/>
      <c r="I194" s="221"/>
      <c r="J194" s="341"/>
      <c r="K194" s="246"/>
      <c r="L194" s="251"/>
      <c r="M194" s="252"/>
      <c r="N194" s="203"/>
    </row>
    <row r="195" spans="2:14" x14ac:dyDescent="0.2">
      <c r="B195" s="244"/>
      <c r="C195" s="254"/>
      <c r="D195" s="246"/>
      <c r="E195" s="247"/>
      <c r="F195" s="247"/>
      <c r="G195" s="199"/>
      <c r="H195" s="243"/>
      <c r="I195" s="222"/>
      <c r="J195" s="342"/>
      <c r="K195" s="246"/>
      <c r="L195" s="251"/>
      <c r="M195" s="252"/>
      <c r="N195" s="203"/>
    </row>
    <row r="196" spans="2:14" x14ac:dyDescent="0.2">
      <c r="B196" s="244"/>
      <c r="C196" s="245"/>
      <c r="D196" s="246"/>
      <c r="E196" s="247"/>
      <c r="F196" s="247"/>
      <c r="G196" s="253"/>
      <c r="H196" s="200"/>
      <c r="I196" s="221"/>
      <c r="J196" s="341"/>
      <c r="K196" s="246"/>
      <c r="L196" s="251"/>
      <c r="M196" s="252"/>
      <c r="N196" s="203"/>
    </row>
    <row r="197" spans="2:14" x14ac:dyDescent="0.2">
      <c r="B197" s="244"/>
      <c r="C197" s="254"/>
      <c r="D197" s="246"/>
      <c r="E197" s="247"/>
      <c r="F197" s="247"/>
      <c r="G197" s="199"/>
      <c r="H197" s="243"/>
      <c r="I197" s="222"/>
      <c r="J197" s="342"/>
      <c r="K197" s="246"/>
      <c r="L197" s="251"/>
      <c r="M197" s="252"/>
      <c r="N197" s="203"/>
    </row>
    <row r="198" spans="2:14" x14ac:dyDescent="0.2">
      <c r="B198" s="244"/>
      <c r="C198" s="245"/>
      <c r="D198" s="246"/>
      <c r="E198" s="247"/>
      <c r="F198" s="247"/>
      <c r="G198" s="253"/>
      <c r="H198" s="200"/>
      <c r="I198" s="221"/>
      <c r="J198" s="341"/>
      <c r="K198" s="246"/>
      <c r="L198" s="251"/>
      <c r="M198" s="252"/>
      <c r="N198" s="203"/>
    </row>
    <row r="199" spans="2:14" x14ac:dyDescent="0.2">
      <c r="B199" s="244"/>
      <c r="C199" s="254"/>
      <c r="D199" s="246"/>
      <c r="E199" s="247"/>
      <c r="F199" s="247"/>
      <c r="G199" s="199"/>
      <c r="H199" s="243"/>
      <c r="I199" s="222"/>
      <c r="J199" s="342"/>
      <c r="K199" s="246"/>
      <c r="L199" s="203"/>
      <c r="M199" s="252"/>
      <c r="N199" s="203"/>
    </row>
    <row r="200" spans="2:14" x14ac:dyDescent="0.2">
      <c r="B200" s="244"/>
      <c r="C200" s="245"/>
      <c r="D200" s="246"/>
      <c r="E200" s="247"/>
      <c r="F200" s="247"/>
      <c r="G200" s="253"/>
      <c r="H200" s="200"/>
      <c r="I200" s="221"/>
      <c r="J200" s="341"/>
      <c r="K200" s="246"/>
      <c r="L200" s="203"/>
      <c r="M200" s="252"/>
      <c r="N200" s="203"/>
    </row>
    <row r="201" spans="2:14" x14ac:dyDescent="0.2">
      <c r="B201" s="244"/>
      <c r="C201" s="254"/>
      <c r="D201" s="246"/>
      <c r="E201" s="247"/>
      <c r="F201" s="247"/>
      <c r="G201" s="199"/>
      <c r="H201" s="243"/>
      <c r="I201" s="222"/>
      <c r="J201" s="342"/>
      <c r="K201" s="246"/>
      <c r="L201" s="203"/>
      <c r="M201" s="252"/>
      <c r="N201" s="203"/>
    </row>
    <row r="202" spans="2:14" x14ac:dyDescent="0.2">
      <c r="B202" s="244"/>
      <c r="C202" s="245"/>
      <c r="D202" s="246"/>
      <c r="E202" s="247"/>
      <c r="F202" s="247"/>
      <c r="G202" s="253"/>
      <c r="H202" s="200"/>
      <c r="I202" s="221"/>
      <c r="J202" s="341"/>
      <c r="K202" s="246"/>
      <c r="L202" s="203"/>
      <c r="M202" s="252"/>
      <c r="N202" s="203"/>
    </row>
    <row r="203" spans="2:14" x14ac:dyDescent="0.2">
      <c r="B203" s="244"/>
      <c r="C203" s="245"/>
      <c r="D203" s="246"/>
      <c r="E203" s="247"/>
      <c r="F203" s="247"/>
      <c r="G203" s="253"/>
      <c r="H203" s="200"/>
      <c r="I203" s="221"/>
      <c r="J203" s="341"/>
      <c r="K203" s="246"/>
      <c r="L203" s="251"/>
      <c r="M203" s="252"/>
      <c r="N203" s="203"/>
    </row>
    <row r="204" spans="2:14" x14ac:dyDescent="0.2">
      <c r="B204" s="244"/>
      <c r="C204" s="254"/>
      <c r="D204" s="246"/>
      <c r="E204" s="247"/>
      <c r="F204" s="247"/>
      <c r="G204" s="199"/>
      <c r="H204" s="243"/>
      <c r="I204" s="222"/>
      <c r="J204" s="342"/>
      <c r="K204" s="246"/>
      <c r="L204" s="251"/>
      <c r="M204" s="252"/>
      <c r="N204" s="203"/>
    </row>
    <row r="205" spans="2:14" x14ac:dyDescent="0.2">
      <c r="B205" s="244"/>
      <c r="C205" s="245"/>
      <c r="D205" s="246"/>
      <c r="E205" s="247"/>
      <c r="F205" s="247"/>
      <c r="G205" s="253"/>
      <c r="H205" s="200"/>
      <c r="I205" s="221"/>
      <c r="J205" s="341"/>
      <c r="K205" s="246"/>
      <c r="L205" s="203"/>
      <c r="M205" s="252"/>
      <c r="N205" s="203"/>
    </row>
    <row r="206" spans="2:14" x14ac:dyDescent="0.2">
      <c r="B206" s="244"/>
      <c r="C206" s="245"/>
      <c r="D206" s="246"/>
      <c r="E206" s="247"/>
      <c r="F206" s="247"/>
      <c r="G206" s="253"/>
      <c r="H206" s="200"/>
      <c r="I206" s="221"/>
      <c r="J206" s="341"/>
      <c r="K206" s="246"/>
      <c r="L206" s="251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51"/>
      <c r="M207" s="252"/>
      <c r="N207" s="203"/>
    </row>
    <row r="208" spans="2:14" x14ac:dyDescent="0.2">
      <c r="B208" s="244"/>
      <c r="C208" s="245"/>
      <c r="D208" s="246"/>
      <c r="E208" s="247"/>
      <c r="F208" s="247"/>
      <c r="G208" s="253"/>
      <c r="H208" s="200"/>
      <c r="I208" s="221"/>
      <c r="J208" s="341"/>
      <c r="K208" s="246"/>
      <c r="L208" s="203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51"/>
      <c r="M209" s="252"/>
      <c r="N209" s="203"/>
    </row>
    <row r="210" spans="2:14" x14ac:dyDescent="0.2">
      <c r="B210" s="244"/>
      <c r="C210" s="254"/>
      <c r="D210" s="246"/>
      <c r="E210" s="247"/>
      <c r="F210" s="247"/>
      <c r="G210" s="199"/>
      <c r="H210" s="243"/>
      <c r="I210" s="222"/>
      <c r="J210" s="342"/>
      <c r="K210" s="246"/>
      <c r="L210" s="203"/>
      <c r="M210" s="252"/>
      <c r="N210" s="203"/>
    </row>
    <row r="211" spans="2:14" x14ac:dyDescent="0.2">
      <c r="B211" s="244"/>
      <c r="C211" s="245"/>
      <c r="D211" s="246"/>
      <c r="E211" s="247"/>
      <c r="F211" s="247"/>
      <c r="G211" s="253"/>
      <c r="H211" s="200"/>
      <c r="I211" s="221"/>
      <c r="J211" s="341"/>
      <c r="K211" s="246"/>
      <c r="L211" s="251"/>
      <c r="M211" s="252"/>
      <c r="N211" s="203"/>
    </row>
    <row r="212" spans="2:14" x14ac:dyDescent="0.2">
      <c r="B212" s="244"/>
      <c r="C212" s="245"/>
      <c r="D212" s="246"/>
      <c r="E212" s="247"/>
      <c r="F212" s="247"/>
      <c r="G212" s="253"/>
      <c r="H212" s="200"/>
      <c r="I212" s="221"/>
      <c r="J212" s="341"/>
      <c r="K212" s="246"/>
      <c r="L212" s="203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03"/>
      <c r="M213" s="252"/>
      <c r="N213" s="203"/>
    </row>
    <row r="214" spans="2:14" x14ac:dyDescent="0.2">
      <c r="B214" s="244"/>
      <c r="C214" s="245"/>
      <c r="D214" s="246"/>
      <c r="E214" s="247"/>
      <c r="F214" s="247"/>
      <c r="G214" s="253"/>
      <c r="H214" s="200"/>
      <c r="I214" s="221"/>
      <c r="J214" s="341"/>
      <c r="K214" s="246"/>
      <c r="L214" s="251"/>
      <c r="M214" s="252"/>
      <c r="N214" s="203"/>
    </row>
    <row r="215" spans="2:14" x14ac:dyDescent="0.2">
      <c r="B215" s="244"/>
      <c r="C215" s="254"/>
      <c r="D215" s="246"/>
      <c r="E215" s="247"/>
      <c r="F215" s="247"/>
      <c r="G215" s="199"/>
      <c r="H215" s="243"/>
      <c r="I215" s="222"/>
      <c r="J215" s="342"/>
      <c r="K215" s="246"/>
      <c r="L215" s="251"/>
      <c r="M215" s="252"/>
      <c r="N215" s="203"/>
    </row>
    <row r="216" spans="2:14" x14ac:dyDescent="0.2">
      <c r="B216" s="244"/>
      <c r="C216" s="245"/>
      <c r="D216" s="246"/>
      <c r="E216" s="247"/>
      <c r="F216" s="247"/>
      <c r="G216" s="253"/>
      <c r="H216" s="200"/>
      <c r="I216" s="221"/>
      <c r="J216" s="341"/>
      <c r="K216" s="246"/>
      <c r="L216" s="203"/>
      <c r="M216" s="252"/>
      <c r="N216" s="203"/>
    </row>
    <row r="217" spans="2:14" x14ac:dyDescent="0.2">
      <c r="B217" s="244"/>
      <c r="C217" s="245"/>
      <c r="D217" s="244"/>
      <c r="E217" s="247"/>
      <c r="F217" s="247"/>
      <c r="G217" s="260"/>
      <c r="H217" s="200"/>
      <c r="I217" s="221"/>
      <c r="J217" s="341"/>
      <c r="K217" s="246"/>
      <c r="L217" s="251"/>
      <c r="M217" s="252"/>
      <c r="N217" s="203"/>
    </row>
    <row r="218" spans="2:14" x14ac:dyDescent="0.2">
      <c r="B218" s="244"/>
      <c r="C218" s="245"/>
      <c r="D218" s="246"/>
      <c r="E218" s="247"/>
      <c r="F218" s="247"/>
      <c r="G218" s="253"/>
      <c r="H218" s="200"/>
      <c r="I218" s="221"/>
      <c r="J218" s="341"/>
      <c r="K218" s="246"/>
      <c r="L218" s="251"/>
      <c r="M218" s="252"/>
      <c r="N218" s="203"/>
    </row>
    <row r="219" spans="2:14" x14ac:dyDescent="0.2">
      <c r="B219" s="244"/>
      <c r="C219" s="245"/>
      <c r="D219" s="246"/>
      <c r="E219" s="247"/>
      <c r="F219" s="247"/>
      <c r="G219" s="253"/>
      <c r="H219" s="200"/>
      <c r="I219" s="221"/>
      <c r="J219" s="341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51"/>
      <c r="M220" s="252"/>
      <c r="N220" s="203"/>
    </row>
    <row r="221" spans="2:14" x14ac:dyDescent="0.2">
      <c r="B221" s="244"/>
      <c r="C221" s="245"/>
      <c r="D221" s="244"/>
      <c r="E221" s="247"/>
      <c r="F221" s="247"/>
      <c r="G221" s="260"/>
      <c r="H221" s="200"/>
      <c r="I221" s="221"/>
      <c r="J221" s="341"/>
      <c r="K221" s="246"/>
      <c r="L221" s="203"/>
      <c r="M221" s="252"/>
      <c r="N221" s="203"/>
    </row>
    <row r="222" spans="2:14" x14ac:dyDescent="0.2">
      <c r="B222" s="244"/>
      <c r="C222" s="245"/>
      <c r="D222" s="246"/>
      <c r="E222" s="247"/>
      <c r="F222" s="247"/>
      <c r="G222" s="253"/>
      <c r="H222" s="200"/>
      <c r="I222" s="221"/>
      <c r="J222" s="341"/>
      <c r="K222" s="246"/>
      <c r="L222" s="251"/>
      <c r="M222" s="252"/>
      <c r="N222" s="203"/>
    </row>
    <row r="223" spans="2:14" x14ac:dyDescent="0.2">
      <c r="B223" s="244"/>
      <c r="C223" s="245"/>
      <c r="D223" s="244"/>
      <c r="E223" s="247"/>
      <c r="F223" s="247"/>
      <c r="G223" s="260"/>
      <c r="H223" s="200"/>
      <c r="I223" s="221"/>
      <c r="J223" s="341"/>
      <c r="K223" s="246"/>
      <c r="L223" s="251"/>
      <c r="M223" s="252"/>
      <c r="N223" s="203"/>
    </row>
    <row r="224" spans="2:14" x14ac:dyDescent="0.2">
      <c r="B224" s="244"/>
      <c r="C224" s="245"/>
      <c r="D224" s="246"/>
      <c r="E224" s="247"/>
      <c r="F224" s="247"/>
      <c r="G224" s="253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6"/>
      <c r="E225" s="247"/>
      <c r="F225" s="247"/>
      <c r="G225" s="253"/>
      <c r="H225" s="200"/>
      <c r="I225" s="221"/>
      <c r="J225" s="341"/>
      <c r="K225" s="246"/>
      <c r="L225" s="251"/>
      <c r="M225" s="252"/>
      <c r="N225" s="203"/>
    </row>
    <row r="226" spans="2:14" x14ac:dyDescent="0.2">
      <c r="B226" s="244"/>
      <c r="C226" s="254"/>
      <c r="D226" s="246"/>
      <c r="E226" s="247"/>
      <c r="F226" s="247"/>
      <c r="G226" s="260"/>
      <c r="H226" s="262"/>
      <c r="I226" s="259"/>
      <c r="J226" s="343"/>
      <c r="K226" s="246"/>
      <c r="L226" s="251"/>
      <c r="M226" s="252"/>
      <c r="N226" s="203"/>
    </row>
    <row r="227" spans="2:14" x14ac:dyDescent="0.2">
      <c r="B227" s="244"/>
      <c r="C227" s="245"/>
      <c r="D227" s="244"/>
      <c r="E227" s="247"/>
      <c r="F227" s="247"/>
      <c r="G227" s="260"/>
      <c r="H227" s="200"/>
      <c r="I227" s="221"/>
      <c r="J227" s="341"/>
      <c r="K227" s="244"/>
      <c r="L227" s="251"/>
      <c r="M227" s="252"/>
      <c r="N227" s="203"/>
    </row>
    <row r="228" spans="2:14" x14ac:dyDescent="0.2">
      <c r="B228" s="244"/>
      <c r="C228" s="245"/>
      <c r="D228" s="246"/>
      <c r="E228" s="247"/>
      <c r="F228" s="247"/>
      <c r="G228" s="253"/>
      <c r="H228" s="200"/>
      <c r="I228" s="221"/>
      <c r="J228" s="341"/>
      <c r="K228" s="246"/>
      <c r="L228" s="251"/>
      <c r="M228" s="252"/>
      <c r="N228" s="203"/>
    </row>
    <row r="229" spans="2:14" x14ac:dyDescent="0.2">
      <c r="B229" s="244"/>
      <c r="C229" s="245"/>
      <c r="D229" s="246"/>
      <c r="E229" s="247"/>
      <c r="F229" s="247"/>
      <c r="G229" s="253"/>
      <c r="H229" s="200"/>
      <c r="I229" s="221"/>
      <c r="J229" s="341"/>
      <c r="K229" s="246"/>
      <c r="L229" s="251"/>
      <c r="M229" s="252"/>
      <c r="N229" s="203"/>
    </row>
    <row r="230" spans="2:14" x14ac:dyDescent="0.2">
      <c r="B230" s="244"/>
      <c r="C230" s="245"/>
      <c r="D230" s="246"/>
      <c r="E230" s="247"/>
      <c r="F230" s="247"/>
      <c r="G230" s="253"/>
      <c r="H230" s="200"/>
      <c r="I230" s="221"/>
      <c r="J230" s="341"/>
      <c r="K230" s="246"/>
      <c r="L230" s="251"/>
      <c r="M230" s="252"/>
      <c r="N230" s="203"/>
    </row>
    <row r="231" spans="2:14" x14ac:dyDescent="0.2">
      <c r="B231" s="244"/>
      <c r="C231" s="245"/>
      <c r="D231" s="246"/>
      <c r="E231" s="247"/>
      <c r="F231" s="247"/>
      <c r="G231" s="253"/>
      <c r="H231" s="200"/>
      <c r="I231" s="221"/>
      <c r="J231" s="341"/>
      <c r="K231" s="246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54"/>
      <c r="D236" s="246"/>
      <c r="E236" s="247"/>
      <c r="F236" s="247"/>
      <c r="G236" s="199"/>
      <c r="H236" s="243"/>
      <c r="I236" s="222"/>
      <c r="J236" s="342"/>
      <c r="K236" s="246"/>
      <c r="L236" s="251"/>
      <c r="M236" s="252"/>
      <c r="N236" s="203"/>
    </row>
    <row r="237" spans="2:14" x14ac:dyDescent="0.2">
      <c r="B237" s="244"/>
      <c r="C237" s="254"/>
      <c r="D237" s="246"/>
      <c r="E237" s="247"/>
      <c r="F237" s="247"/>
      <c r="G237" s="199"/>
      <c r="H237" s="200"/>
      <c r="I237" s="221"/>
      <c r="J237" s="341"/>
      <c r="K237" s="246"/>
      <c r="L237" s="251"/>
      <c r="M237" s="252"/>
      <c r="N237" s="203"/>
    </row>
    <row r="238" spans="2:14" x14ac:dyDescent="0.2">
      <c r="B238" s="244"/>
      <c r="C238" s="245"/>
      <c r="D238" s="246"/>
      <c r="E238" s="247"/>
      <c r="F238" s="247"/>
      <c r="G238" s="253"/>
      <c r="H238" s="200"/>
      <c r="I238" s="221"/>
      <c r="J238" s="341"/>
      <c r="K238" s="246"/>
      <c r="L238" s="203"/>
      <c r="M238" s="252"/>
      <c r="N238" s="203"/>
    </row>
    <row r="239" spans="2:14" x14ac:dyDescent="0.2">
      <c r="B239" s="244"/>
      <c r="C239" s="245"/>
      <c r="D239" s="246"/>
      <c r="E239" s="247"/>
      <c r="F239" s="247"/>
      <c r="G239" s="253"/>
      <c r="H239" s="200"/>
      <c r="I239" s="221"/>
      <c r="J239" s="341"/>
      <c r="K239" s="246"/>
      <c r="L239" s="251"/>
      <c r="M239" s="252"/>
      <c r="N239" s="203"/>
    </row>
    <row r="240" spans="2:14" x14ac:dyDescent="0.2">
      <c r="B240" s="244"/>
      <c r="C240" s="245"/>
      <c r="D240" s="246"/>
      <c r="E240" s="247"/>
      <c r="F240" s="247"/>
      <c r="G240" s="253"/>
      <c r="H240" s="200"/>
      <c r="I240" s="221"/>
      <c r="J240" s="341"/>
      <c r="K240" s="246"/>
      <c r="L240" s="251"/>
      <c r="M240" s="252"/>
      <c r="N240" s="203"/>
    </row>
    <row r="241" spans="2:14" x14ac:dyDescent="0.2">
      <c r="B241" s="244"/>
      <c r="C241" s="245"/>
      <c r="D241" s="246"/>
      <c r="E241" s="247"/>
      <c r="F241" s="247"/>
      <c r="G241" s="253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51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54"/>
      <c r="D260" s="246"/>
      <c r="E260" s="247"/>
      <c r="F260" s="247"/>
      <c r="G260" s="260"/>
      <c r="H260" s="200"/>
      <c r="I260" s="221"/>
      <c r="J260" s="341"/>
      <c r="K260" s="244"/>
      <c r="L260" s="251"/>
      <c r="M260" s="252"/>
      <c r="N260" s="203"/>
    </row>
    <row r="261" spans="2:14" x14ac:dyDescent="0.2">
      <c r="B261" s="244"/>
      <c r="C261" s="245"/>
      <c r="D261" s="246"/>
      <c r="E261" s="247"/>
      <c r="F261" s="247"/>
      <c r="G261" s="253"/>
      <c r="H261" s="200"/>
      <c r="I261" s="221"/>
      <c r="J261" s="341"/>
      <c r="K261" s="261"/>
      <c r="L261" s="251"/>
      <c r="M261" s="252"/>
      <c r="N261" s="203"/>
    </row>
    <row r="262" spans="2:14" x14ac:dyDescent="0.2">
      <c r="B262" s="244"/>
      <c r="C262" s="254"/>
      <c r="D262" s="244"/>
      <c r="E262" s="247"/>
      <c r="F262" s="247"/>
      <c r="G262" s="201"/>
      <c r="H262" s="200"/>
      <c r="I262" s="221"/>
      <c r="J262" s="341"/>
      <c r="K262" s="261"/>
      <c r="L262" s="251"/>
      <c r="M262" s="252"/>
      <c r="N262" s="203"/>
    </row>
    <row r="263" spans="2:14" x14ac:dyDescent="0.2">
      <c r="B263" s="244"/>
      <c r="C263" s="245"/>
      <c r="D263" s="246"/>
      <c r="E263" s="247"/>
      <c r="F263" s="247"/>
      <c r="G263" s="253"/>
      <c r="H263" s="200"/>
      <c r="I263" s="221"/>
      <c r="J263" s="341"/>
      <c r="K263" s="244"/>
      <c r="L263" s="251"/>
      <c r="M263" s="252"/>
      <c r="N263" s="203"/>
    </row>
    <row r="264" spans="2:14" x14ac:dyDescent="0.2">
      <c r="B264" s="244"/>
      <c r="C264" s="245"/>
      <c r="D264" s="246"/>
      <c r="E264" s="247"/>
      <c r="F264" s="247"/>
      <c r="G264" s="253"/>
      <c r="H264" s="200"/>
      <c r="I264" s="221"/>
      <c r="J264" s="341"/>
      <c r="K264" s="246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46"/>
      <c r="L265" s="251"/>
      <c r="M265" s="252"/>
      <c r="N265" s="203"/>
    </row>
    <row r="266" spans="2:14" x14ac:dyDescent="0.2">
      <c r="B266" s="244"/>
      <c r="C266" s="245"/>
      <c r="D266" s="244"/>
      <c r="E266" s="247"/>
      <c r="F266" s="247"/>
      <c r="G266" s="260"/>
      <c r="H266" s="200"/>
      <c r="I266" s="221"/>
      <c r="J266" s="341"/>
      <c r="K266" s="246"/>
      <c r="L266" s="251"/>
      <c r="M266" s="252"/>
      <c r="N266" s="203"/>
    </row>
    <row r="267" spans="2:14" x14ac:dyDescent="0.2">
      <c r="B267" s="244"/>
      <c r="C267" s="254"/>
      <c r="D267" s="246"/>
      <c r="E267" s="247"/>
      <c r="F267" s="247"/>
      <c r="G267" s="199"/>
      <c r="H267" s="200"/>
      <c r="I267" s="221"/>
      <c r="J267" s="341"/>
      <c r="K267" s="246"/>
      <c r="L267" s="251"/>
      <c r="M267" s="252"/>
      <c r="N267" s="203"/>
    </row>
    <row r="268" spans="2:14" x14ac:dyDescent="0.2">
      <c r="B268" s="244"/>
      <c r="C268" s="245"/>
      <c r="D268" s="246"/>
      <c r="E268" s="247"/>
      <c r="F268" s="247"/>
      <c r="G268" s="253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45"/>
      <c r="D269" s="246"/>
      <c r="E269" s="247"/>
      <c r="F269" s="247"/>
      <c r="G269" s="253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6"/>
      <c r="E270" s="247"/>
      <c r="F270" s="247"/>
      <c r="G270" s="253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45"/>
      <c r="D271" s="246"/>
      <c r="E271" s="247"/>
      <c r="F271" s="247"/>
      <c r="G271" s="253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54"/>
      <c r="D272" s="244"/>
      <c r="E272" s="247"/>
      <c r="F272" s="247"/>
      <c r="G272" s="201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54"/>
      <c r="D273" s="244"/>
      <c r="E273" s="247"/>
      <c r="F273" s="247"/>
      <c r="G273" s="260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45"/>
      <c r="D274" s="246"/>
      <c r="E274" s="247"/>
      <c r="F274" s="247"/>
      <c r="G274" s="253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45"/>
      <c r="D275" s="246"/>
      <c r="E275" s="247"/>
      <c r="F275" s="247"/>
      <c r="G275" s="253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45"/>
      <c r="D276" s="246"/>
      <c r="E276" s="247"/>
      <c r="F276" s="247"/>
      <c r="G276" s="253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54"/>
      <c r="D277" s="246"/>
      <c r="E277" s="247"/>
      <c r="F277" s="247"/>
      <c r="G277" s="199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45"/>
      <c r="D278" s="244"/>
      <c r="E278" s="247"/>
      <c r="F278" s="247"/>
      <c r="G278" s="260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45"/>
      <c r="D279" s="246"/>
      <c r="E279" s="247"/>
      <c r="F279" s="247"/>
      <c r="G279" s="253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54"/>
      <c r="D280" s="244"/>
      <c r="E280" s="247"/>
      <c r="F280" s="247"/>
      <c r="G280" s="201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54"/>
      <c r="D281" s="246"/>
      <c r="E281" s="247"/>
      <c r="F281" s="247"/>
      <c r="G281" s="199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45"/>
      <c r="D282" s="246"/>
      <c r="E282" s="247"/>
      <c r="F282" s="247"/>
      <c r="G282" s="253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45"/>
      <c r="D283" s="244"/>
      <c r="E283" s="247"/>
      <c r="F283" s="247"/>
      <c r="G283" s="260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54"/>
      <c r="D284" s="246"/>
      <c r="E284" s="247"/>
      <c r="F284" s="247"/>
      <c r="G284" s="199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45"/>
      <c r="D285" s="246"/>
      <c r="E285" s="247"/>
      <c r="F285" s="247"/>
      <c r="G285" s="253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45"/>
      <c r="D286" s="246"/>
      <c r="E286" s="247"/>
      <c r="F286" s="247"/>
      <c r="G286" s="253"/>
      <c r="H286" s="202"/>
      <c r="I286" s="223"/>
      <c r="J286" s="344"/>
      <c r="K286" s="263"/>
      <c r="L286" s="251"/>
      <c r="M286" s="252"/>
      <c r="N286" s="264"/>
    </row>
    <row r="287" spans="2:14" x14ac:dyDescent="0.2">
      <c r="B287" s="244"/>
      <c r="C287" s="245"/>
      <c r="D287" s="246"/>
      <c r="E287" s="247"/>
      <c r="F287" s="247"/>
      <c r="G287" s="253"/>
      <c r="H287" s="202"/>
      <c r="I287" s="223"/>
      <c r="J287" s="344"/>
      <c r="K287" s="263"/>
      <c r="L287" s="251"/>
      <c r="M287" s="252"/>
      <c r="N287" s="264"/>
    </row>
    <row r="288" spans="2:14" x14ac:dyDescent="0.2">
      <c r="B288" s="244"/>
      <c r="C288" s="245"/>
      <c r="D288" s="246"/>
      <c r="E288" s="247"/>
      <c r="F288" s="247"/>
      <c r="G288" s="253"/>
      <c r="H288" s="202"/>
      <c r="I288" s="223"/>
      <c r="J288" s="344"/>
      <c r="K288" s="263"/>
      <c r="L288" s="251"/>
      <c r="M288" s="252"/>
      <c r="N288" s="264"/>
    </row>
    <row r="289" spans="2:14" x14ac:dyDescent="0.2">
      <c r="B289" s="244"/>
      <c r="C289" s="245"/>
      <c r="D289" s="246"/>
      <c r="E289" s="247"/>
      <c r="F289" s="247"/>
      <c r="G289" s="253"/>
      <c r="H289" s="202"/>
      <c r="I289" s="223"/>
      <c r="J289" s="344"/>
      <c r="K289" s="265"/>
      <c r="L289" s="251"/>
      <c r="M289" s="252"/>
      <c r="N289" s="264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3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5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4"/>
      <c r="E301" s="247"/>
      <c r="F301" s="247"/>
      <c r="G301" s="260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6"/>
      <c r="E302" s="247"/>
      <c r="F302" s="247"/>
      <c r="G302" s="253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6"/>
      <c r="E303" s="247"/>
      <c r="F303" s="247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6"/>
      <c r="E305" s="247"/>
      <c r="F305" s="247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3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3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3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3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5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6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6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6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6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5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54"/>
      <c r="D374" s="246"/>
      <c r="E374" s="247"/>
      <c r="F374" s="247"/>
      <c r="G374" s="199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45"/>
      <c r="D375" s="246"/>
      <c r="E375" s="247"/>
      <c r="F375" s="247"/>
      <c r="G375" s="253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45"/>
      <c r="D376" s="246"/>
      <c r="E376" s="247"/>
      <c r="F376" s="247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54"/>
      <c r="D378" s="246"/>
      <c r="E378" s="247"/>
      <c r="F378" s="247"/>
      <c r="G378" s="199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54"/>
      <c r="D379" s="246"/>
      <c r="E379" s="247"/>
      <c r="F379" s="247"/>
      <c r="G379" s="199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54"/>
      <c r="D380" s="246"/>
      <c r="E380" s="247"/>
      <c r="F380" s="247"/>
      <c r="G380" s="199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45"/>
      <c r="D381" s="246"/>
      <c r="E381" s="247"/>
      <c r="F381" s="247"/>
      <c r="G381" s="253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45"/>
      <c r="D382" s="246"/>
      <c r="E382" s="247"/>
      <c r="F382" s="247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45"/>
      <c r="D383" s="246"/>
      <c r="E383" s="247"/>
      <c r="F383" s="247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45"/>
      <c r="D384" s="246"/>
      <c r="E384" s="247"/>
      <c r="F384" s="247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54"/>
      <c r="D385" s="246"/>
      <c r="E385" s="247"/>
      <c r="F385" s="247"/>
      <c r="G385" s="199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45"/>
      <c r="D386" s="246"/>
      <c r="E386" s="247"/>
      <c r="F386" s="247"/>
      <c r="G386" s="253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45"/>
      <c r="D387" s="246"/>
      <c r="E387" s="247"/>
      <c r="F387" s="247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45"/>
      <c r="D389" s="246"/>
      <c r="E389" s="247"/>
      <c r="F389" s="247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54"/>
      <c r="D390" s="246"/>
      <c r="E390" s="247"/>
      <c r="F390" s="247"/>
      <c r="G390" s="199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54"/>
      <c r="D391" s="246"/>
      <c r="E391" s="247"/>
      <c r="F391" s="247"/>
      <c r="G391" s="199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54"/>
      <c r="D392" s="246"/>
      <c r="E392" s="247"/>
      <c r="F392" s="247"/>
      <c r="G392" s="199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45"/>
      <c r="D393" s="246"/>
      <c r="E393" s="247"/>
      <c r="F393" s="247"/>
      <c r="G393" s="253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45"/>
      <c r="D394" s="246"/>
      <c r="E394" s="247"/>
      <c r="F394" s="247"/>
      <c r="G394" s="253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45"/>
      <c r="D395" s="246"/>
      <c r="E395" s="247"/>
      <c r="F395" s="247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45"/>
      <c r="D396" s="246"/>
      <c r="E396" s="247"/>
      <c r="F396" s="247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4"/>
      <c r="E401" s="247"/>
      <c r="F401" s="247"/>
      <c r="G401" s="260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4"/>
      <c r="E402" s="247"/>
      <c r="F402" s="247"/>
      <c r="G402" s="260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6"/>
      <c r="E403" s="247"/>
      <c r="F403" s="247"/>
      <c r="G403" s="253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6"/>
      <c r="E404" s="247"/>
      <c r="F404" s="247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4"/>
      <c r="E405" s="247"/>
      <c r="F405" s="247"/>
      <c r="G405" s="260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4"/>
      <c r="E406" s="247"/>
      <c r="F406" s="247"/>
      <c r="G406" s="260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54"/>
      <c r="D407" s="246"/>
      <c r="E407" s="247"/>
      <c r="F407" s="247"/>
      <c r="G407" s="199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54"/>
      <c r="D408" s="246"/>
      <c r="E408" s="247"/>
      <c r="F408" s="247"/>
      <c r="G408" s="199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54"/>
      <c r="D409" s="246"/>
      <c r="E409" s="247"/>
      <c r="F409" s="247"/>
      <c r="G409" s="199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45"/>
      <c r="D410" s="246"/>
      <c r="E410" s="247"/>
      <c r="F410" s="247"/>
      <c r="G410" s="253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45"/>
      <c r="D411" s="246"/>
      <c r="E411" s="247"/>
      <c r="F411" s="247"/>
      <c r="G411" s="253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45"/>
      <c r="D412" s="246"/>
      <c r="E412" s="247"/>
      <c r="F412" s="247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45"/>
      <c r="D413" s="246"/>
      <c r="E413" s="247"/>
      <c r="F413" s="247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54"/>
      <c r="D414" s="246"/>
      <c r="E414" s="247"/>
      <c r="F414" s="247"/>
      <c r="G414" s="199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45"/>
      <c r="D415" s="246"/>
      <c r="E415" s="247"/>
      <c r="F415" s="247"/>
      <c r="G415" s="253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54"/>
      <c r="D416" s="246"/>
      <c r="E416" s="247"/>
      <c r="F416" s="247"/>
      <c r="G416" s="199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45"/>
      <c r="D417" s="246"/>
      <c r="E417" s="247"/>
      <c r="F417" s="247"/>
      <c r="G417" s="253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45"/>
      <c r="D418" s="246"/>
      <c r="E418" s="247"/>
      <c r="F418" s="247"/>
      <c r="G418" s="253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45"/>
      <c r="D420" s="246"/>
      <c r="E420" s="247"/>
      <c r="F420" s="247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4"/>
      <c r="E421" s="247"/>
      <c r="F421" s="247"/>
      <c r="G421" s="260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6"/>
      <c r="E422" s="247"/>
      <c r="F422" s="247"/>
      <c r="G422" s="253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6"/>
      <c r="E423" s="247"/>
      <c r="F423" s="247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6"/>
      <c r="E425" s="247"/>
      <c r="F425" s="247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3"/>
      <c r="L427" s="251"/>
      <c r="M427" s="252"/>
      <c r="N427" s="264"/>
    </row>
    <row r="428" spans="2:14" x14ac:dyDescent="0.2">
      <c r="B428" s="244"/>
      <c r="C428" s="245"/>
      <c r="D428" s="244"/>
      <c r="E428" s="247"/>
      <c r="F428" s="247"/>
      <c r="G428" s="260"/>
      <c r="H428" s="202"/>
      <c r="I428" s="223"/>
      <c r="J428" s="344"/>
      <c r="K428" s="265"/>
      <c r="L428" s="251"/>
      <c r="M428" s="252"/>
      <c r="N428" s="264"/>
    </row>
    <row r="429" spans="2:14" x14ac:dyDescent="0.2">
      <c r="B429" s="244"/>
      <c r="C429" s="245"/>
      <c r="D429" s="246"/>
      <c r="E429" s="247"/>
      <c r="F429" s="247"/>
      <c r="G429" s="253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4"/>
      <c r="C430" s="245"/>
      <c r="D430" s="246"/>
      <c r="E430" s="247"/>
      <c r="F430" s="247"/>
      <c r="G430" s="253"/>
      <c r="H430" s="202"/>
      <c r="I430" s="223"/>
      <c r="J430" s="344"/>
      <c r="K430" s="263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5"/>
      <c r="L431" s="251"/>
      <c r="M431" s="252"/>
      <c r="N431" s="264"/>
    </row>
    <row r="432" spans="2:14" x14ac:dyDescent="0.2">
      <c r="B432" s="244"/>
      <c r="C432" s="245"/>
      <c r="D432" s="246"/>
      <c r="E432" s="247"/>
      <c r="F432" s="247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4"/>
      <c r="E436" s="247"/>
      <c r="F436" s="247"/>
      <c r="G436" s="260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6"/>
      <c r="E437" s="247"/>
      <c r="F437" s="247"/>
      <c r="G437" s="253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6"/>
      <c r="E438" s="247"/>
      <c r="F438" s="247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6"/>
      <c r="E440" s="247"/>
      <c r="F440" s="247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54"/>
      <c r="D442" s="246"/>
      <c r="E442" s="247"/>
      <c r="F442" s="247"/>
      <c r="G442" s="199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45"/>
      <c r="D443" s="246"/>
      <c r="E443" s="247"/>
      <c r="F443" s="247"/>
      <c r="G443" s="253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45"/>
      <c r="D444" s="246"/>
      <c r="E444" s="247"/>
      <c r="F444" s="247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54"/>
      <c r="D445" s="246"/>
      <c r="E445" s="247"/>
      <c r="F445" s="247"/>
      <c r="G445" s="199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45"/>
      <c r="D446" s="246"/>
      <c r="E446" s="247"/>
      <c r="F446" s="247"/>
      <c r="G446" s="253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45"/>
      <c r="D447" s="246"/>
      <c r="E447" s="247"/>
      <c r="F447" s="247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45"/>
      <c r="D449" s="246"/>
      <c r="E449" s="267"/>
      <c r="F449" s="267"/>
      <c r="G449" s="268"/>
      <c r="H449" s="269"/>
      <c r="I449" s="270"/>
      <c r="J449" s="345"/>
      <c r="K449" s="265"/>
      <c r="L449" s="251"/>
      <c r="M449" s="252"/>
      <c r="N449" s="264"/>
    </row>
    <row r="450" spans="2:14" x14ac:dyDescent="0.2">
      <c r="B450" s="244"/>
      <c r="C450" s="254"/>
      <c r="D450" s="246"/>
      <c r="E450" s="247"/>
      <c r="F450" s="247"/>
      <c r="G450" s="260"/>
      <c r="H450" s="202"/>
      <c r="I450" s="223"/>
      <c r="J450" s="344"/>
      <c r="K450" s="265"/>
      <c r="L450" s="251"/>
      <c r="M450" s="252"/>
      <c r="N450" s="264"/>
    </row>
    <row r="451" spans="2:14" x14ac:dyDescent="0.2">
      <c r="B451" s="244"/>
      <c r="C451" s="245"/>
      <c r="D451" s="246"/>
      <c r="E451" s="247"/>
      <c r="F451" s="247"/>
      <c r="G451" s="253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4"/>
      <c r="C452" s="254"/>
      <c r="D452" s="246"/>
      <c r="E452" s="247"/>
      <c r="F452" s="247"/>
      <c r="G452" s="199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45"/>
      <c r="D453" s="244"/>
      <c r="E453" s="247"/>
      <c r="F453" s="247"/>
      <c r="G453" s="260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4"/>
      <c r="C454" s="245"/>
      <c r="D454" s="246"/>
      <c r="E454" s="247"/>
      <c r="F454" s="247"/>
      <c r="G454" s="253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6"/>
      <c r="E455" s="247"/>
      <c r="F455" s="247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45"/>
      <c r="D456" s="246"/>
      <c r="E456" s="247"/>
      <c r="F456" s="247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6"/>
      <c r="E457" s="247"/>
      <c r="F457" s="247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3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5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54"/>
      <c r="D465" s="246"/>
      <c r="E465" s="247"/>
      <c r="F465" s="247"/>
      <c r="G465" s="199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45"/>
      <c r="D466" s="246"/>
      <c r="E466" s="247"/>
      <c r="F466" s="247"/>
      <c r="G466" s="253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45"/>
      <c r="D467" s="246"/>
      <c r="E467" s="247"/>
      <c r="F467" s="247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45"/>
      <c r="D469" s="246"/>
      <c r="E469" s="247"/>
      <c r="F469" s="247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4"/>
      <c r="E488" s="247"/>
      <c r="F488" s="247"/>
      <c r="G488" s="260"/>
      <c r="H488" s="202"/>
      <c r="I488" s="223"/>
      <c r="J488" s="344"/>
      <c r="K488" s="263"/>
      <c r="L488" s="251"/>
      <c r="M488" s="252"/>
      <c r="N488" s="264"/>
    </row>
    <row r="489" spans="2:14" x14ac:dyDescent="0.2">
      <c r="B489" s="244"/>
      <c r="C489" s="245"/>
      <c r="D489" s="246"/>
      <c r="E489" s="247"/>
      <c r="F489" s="247"/>
      <c r="G489" s="253"/>
      <c r="H489" s="202"/>
      <c r="I489" s="223"/>
      <c r="J489" s="344"/>
      <c r="K489" s="263"/>
      <c r="L489" s="251"/>
      <c r="M489" s="252"/>
      <c r="N489" s="264"/>
    </row>
    <row r="490" spans="2:14" x14ac:dyDescent="0.2">
      <c r="B490" s="244"/>
      <c r="C490" s="245"/>
      <c r="D490" s="246"/>
      <c r="E490" s="247"/>
      <c r="F490" s="247"/>
      <c r="G490" s="253"/>
      <c r="H490" s="202"/>
      <c r="I490" s="223"/>
      <c r="J490" s="344"/>
      <c r="K490" s="265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4"/>
      <c r="C492" s="245"/>
      <c r="D492" s="246"/>
      <c r="E492" s="247"/>
      <c r="F492" s="247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3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3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3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3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5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4"/>
      <c r="C501" s="254"/>
      <c r="D501" s="246"/>
      <c r="E501" s="247"/>
      <c r="F501" s="247"/>
      <c r="G501" s="199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4"/>
      <c r="C502" s="245"/>
      <c r="D502" s="246"/>
      <c r="E502" s="247"/>
      <c r="F502" s="247"/>
      <c r="G502" s="253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4"/>
      <c r="C503" s="245"/>
      <c r="D503" s="246"/>
      <c r="E503" s="247"/>
      <c r="F503" s="247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3"/>
      <c r="L504" s="251"/>
      <c r="M504" s="252"/>
      <c r="N504" s="264"/>
    </row>
    <row r="505" spans="2:14" x14ac:dyDescent="0.2">
      <c r="B505" s="244"/>
      <c r="C505" s="245"/>
      <c r="D505" s="246"/>
      <c r="E505" s="247"/>
      <c r="F505" s="247"/>
      <c r="G505" s="253"/>
      <c r="H505" s="202"/>
      <c r="I505" s="223"/>
      <c r="J505" s="344"/>
      <c r="K505" s="265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6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5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4"/>
      <c r="E521" s="247"/>
      <c r="F521" s="271"/>
      <c r="G521" s="260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6"/>
      <c r="E522" s="247"/>
      <c r="F522" s="247"/>
      <c r="G522" s="253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6"/>
      <c r="E523" s="247"/>
      <c r="F523" s="247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54"/>
      <c r="D525" s="246"/>
      <c r="E525" s="247"/>
      <c r="F525" s="247"/>
      <c r="G525" s="199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45"/>
      <c r="D526" s="246"/>
      <c r="E526" s="247"/>
      <c r="F526" s="247"/>
      <c r="G526" s="253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54"/>
      <c r="D527" s="246"/>
      <c r="E527" s="247"/>
      <c r="F527" s="247"/>
      <c r="G527" s="199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54"/>
      <c r="D528" s="246"/>
      <c r="E528" s="247"/>
      <c r="F528" s="247"/>
      <c r="G528" s="199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45"/>
      <c r="D529" s="246"/>
      <c r="E529" s="247"/>
      <c r="F529" s="247"/>
      <c r="G529" s="253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45"/>
      <c r="D530" s="246"/>
      <c r="E530" s="247"/>
      <c r="F530" s="247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45"/>
      <c r="D531" s="246"/>
      <c r="E531" s="247"/>
      <c r="F531" s="247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45"/>
      <c r="D532" s="246"/>
      <c r="E532" s="247"/>
      <c r="F532" s="247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4"/>
      <c r="E538" s="247"/>
      <c r="F538" s="247"/>
      <c r="G538" s="260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6"/>
      <c r="E539" s="247"/>
      <c r="F539" s="247"/>
      <c r="G539" s="253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6"/>
      <c r="E540" s="247"/>
      <c r="F540" s="247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54"/>
      <c r="D541" s="246"/>
      <c r="E541" s="247"/>
      <c r="F541" s="247"/>
      <c r="G541" s="199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45"/>
      <c r="D542" s="246"/>
      <c r="E542" s="247"/>
      <c r="F542" s="247"/>
      <c r="G542" s="253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45"/>
      <c r="D543" s="246"/>
      <c r="E543" s="247"/>
      <c r="F543" s="247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4"/>
      <c r="E544" s="247"/>
      <c r="F544" s="247"/>
      <c r="G544" s="260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45"/>
      <c r="D545" s="246"/>
      <c r="E545" s="247"/>
      <c r="F545" s="247"/>
      <c r="G545" s="253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6"/>
      <c r="E546" s="247"/>
      <c r="F546" s="247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54"/>
      <c r="D547" s="246"/>
      <c r="E547" s="247"/>
      <c r="F547" s="247"/>
      <c r="G547" s="199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45"/>
      <c r="D548" s="246"/>
      <c r="E548" s="247"/>
      <c r="F548" s="247"/>
      <c r="G548" s="253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45"/>
      <c r="D549" s="246"/>
      <c r="E549" s="247"/>
      <c r="F549" s="247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45"/>
      <c r="D551" s="246"/>
      <c r="E551" s="247"/>
      <c r="F551" s="247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4"/>
      <c r="E556" s="247"/>
      <c r="F556" s="247"/>
      <c r="G556" s="260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6"/>
      <c r="E557" s="247"/>
      <c r="F557" s="247"/>
      <c r="G557" s="253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6"/>
      <c r="E558" s="247"/>
      <c r="F558" s="247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6"/>
      <c r="E560" s="247"/>
      <c r="F560" s="247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54"/>
      <c r="D564" s="244"/>
      <c r="E564" s="247"/>
      <c r="F564" s="247"/>
      <c r="G564" s="201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45"/>
      <c r="D565" s="246"/>
      <c r="E565" s="247"/>
      <c r="F565" s="247"/>
      <c r="G565" s="253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45"/>
      <c r="D566" s="246"/>
      <c r="E566" s="247"/>
      <c r="F566" s="247"/>
      <c r="G566" s="253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45"/>
      <c r="D568" s="246"/>
      <c r="E568" s="247"/>
      <c r="F568" s="247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54"/>
      <c r="D570" s="244"/>
      <c r="E570" s="247"/>
      <c r="F570" s="247"/>
      <c r="G570" s="201"/>
      <c r="H570" s="202"/>
      <c r="I570" s="223"/>
      <c r="J570" s="344"/>
      <c r="K570" s="263"/>
      <c r="L570" s="251"/>
      <c r="M570" s="252"/>
      <c r="N570" s="264"/>
    </row>
    <row r="571" spans="2:14" x14ac:dyDescent="0.2">
      <c r="B571" s="244"/>
      <c r="C571" s="245"/>
      <c r="D571" s="246"/>
      <c r="E571" s="247"/>
      <c r="F571" s="247"/>
      <c r="G571" s="253"/>
      <c r="H571" s="202"/>
      <c r="I571" s="223"/>
      <c r="J571" s="344"/>
      <c r="K571" s="265"/>
      <c r="L571" s="251"/>
      <c r="M571" s="252"/>
      <c r="N571" s="264"/>
    </row>
    <row r="572" spans="2:14" x14ac:dyDescent="0.2">
      <c r="B572" s="244"/>
      <c r="C572" s="254"/>
      <c r="D572" s="246"/>
      <c r="E572" s="247"/>
      <c r="F572" s="247"/>
      <c r="G572" s="199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4"/>
      <c r="C573" s="245"/>
      <c r="D573" s="246"/>
      <c r="E573" s="247"/>
      <c r="F573" s="247"/>
      <c r="G573" s="253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45"/>
      <c r="D574" s="246"/>
      <c r="E574" s="247"/>
      <c r="F574" s="247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4"/>
      <c r="C575" s="254"/>
      <c r="D575" s="246"/>
      <c r="E575" s="247"/>
      <c r="F575" s="247"/>
      <c r="G575" s="199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54"/>
      <c r="D576" s="246"/>
      <c r="E576" s="247"/>
      <c r="F576" s="247"/>
      <c r="G576" s="199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54"/>
      <c r="D577" s="246"/>
      <c r="E577" s="247"/>
      <c r="F577" s="247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45"/>
      <c r="D578" s="246"/>
      <c r="E578" s="247"/>
      <c r="F578" s="247"/>
      <c r="G578" s="253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45"/>
      <c r="D579" s="246"/>
      <c r="E579" s="247"/>
      <c r="F579" s="247"/>
      <c r="G579" s="253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54"/>
      <c r="D580" s="246"/>
      <c r="E580" s="247"/>
      <c r="F580" s="247"/>
      <c r="G580" s="199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45"/>
      <c r="D581" s="246"/>
      <c r="E581" s="247"/>
      <c r="F581" s="247"/>
      <c r="G581" s="253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45"/>
      <c r="D582" s="246"/>
      <c r="E582" s="247"/>
      <c r="F582" s="247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54"/>
      <c r="D583" s="246"/>
      <c r="E583" s="247"/>
      <c r="F583" s="247"/>
      <c r="G583" s="199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45"/>
      <c r="D584" s="246"/>
      <c r="E584" s="247"/>
      <c r="F584" s="247"/>
      <c r="G584" s="253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45"/>
      <c r="D585" s="246"/>
      <c r="E585" s="247"/>
      <c r="F585" s="247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45"/>
      <c r="D587" s="246"/>
      <c r="E587" s="247"/>
      <c r="F587" s="247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4"/>
      <c r="E592" s="247"/>
      <c r="F592" s="247"/>
      <c r="G592" s="260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6"/>
      <c r="E593" s="247"/>
      <c r="F593" s="247"/>
      <c r="G593" s="253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6"/>
      <c r="E594" s="247"/>
      <c r="F594" s="247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6"/>
      <c r="E596" s="247"/>
      <c r="F596" s="247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54"/>
      <c r="D597" s="246"/>
      <c r="E597" s="247"/>
      <c r="F597" s="247"/>
      <c r="G597" s="199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45"/>
      <c r="D598" s="246"/>
      <c r="E598" s="247"/>
      <c r="F598" s="247"/>
      <c r="G598" s="253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45"/>
      <c r="D599" s="246"/>
      <c r="E599" s="247"/>
      <c r="F599" s="247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45"/>
      <c r="D601" s="246"/>
      <c r="E601" s="247"/>
      <c r="F601" s="247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54"/>
      <c r="D602" s="244"/>
      <c r="E602" s="247"/>
      <c r="F602" s="247"/>
      <c r="G602" s="201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45"/>
      <c r="D603" s="246"/>
      <c r="E603" s="247"/>
      <c r="F603" s="247"/>
      <c r="G603" s="253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45"/>
      <c r="D604" s="246"/>
      <c r="E604" s="247"/>
      <c r="F604" s="247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45"/>
      <c r="D606" s="246"/>
      <c r="E606" s="247"/>
      <c r="F606" s="247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54"/>
      <c r="D608" s="246"/>
      <c r="E608" s="247"/>
      <c r="F608" s="247"/>
      <c r="G608" s="199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54"/>
      <c r="D609" s="246"/>
      <c r="E609" s="247"/>
      <c r="F609" s="247"/>
      <c r="G609" s="199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54"/>
      <c r="D610" s="246"/>
      <c r="E610" s="247"/>
      <c r="F610" s="247"/>
      <c r="G610" s="199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45"/>
      <c r="D611" s="246"/>
      <c r="E611" s="247"/>
      <c r="F611" s="247"/>
      <c r="G611" s="253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45"/>
      <c r="D612" s="246"/>
      <c r="E612" s="247"/>
      <c r="F612" s="247"/>
      <c r="G612" s="253"/>
      <c r="H612" s="202"/>
      <c r="I612" s="223"/>
      <c r="J612" s="344"/>
      <c r="K612" s="263"/>
      <c r="L612" s="251"/>
      <c r="M612" s="252"/>
      <c r="N612" s="264"/>
    </row>
    <row r="613" spans="2:14" x14ac:dyDescent="0.2">
      <c r="B613" s="244"/>
      <c r="C613" s="254"/>
      <c r="D613" s="246"/>
      <c r="E613" s="247"/>
      <c r="F613" s="247"/>
      <c r="G613" s="199"/>
      <c r="H613" s="202"/>
      <c r="I613" s="223"/>
      <c r="J613" s="344"/>
      <c r="K613" s="265"/>
      <c r="L613" s="251"/>
      <c r="M613" s="252"/>
      <c r="N613" s="264"/>
    </row>
    <row r="614" spans="2:14" x14ac:dyDescent="0.2">
      <c r="B614" s="244"/>
      <c r="C614" s="245"/>
      <c r="D614" s="244"/>
      <c r="E614" s="247"/>
      <c r="F614" s="247"/>
      <c r="G614" s="260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4"/>
      <c r="C615" s="245"/>
      <c r="D615" s="246"/>
      <c r="E615" s="247"/>
      <c r="F615" s="247"/>
      <c r="G615" s="253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6"/>
      <c r="E616" s="247"/>
      <c r="F616" s="247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4"/>
      <c r="C617" s="245"/>
      <c r="D617" s="246"/>
      <c r="E617" s="247"/>
      <c r="F617" s="247"/>
      <c r="G617" s="253"/>
      <c r="H617" s="202"/>
      <c r="I617" s="223"/>
      <c r="J617" s="344"/>
      <c r="K617" s="263"/>
      <c r="L617" s="251"/>
      <c r="M617" s="252"/>
      <c r="N617" s="264"/>
    </row>
    <row r="618" spans="2:14" x14ac:dyDescent="0.2">
      <c r="B618" s="244"/>
      <c r="C618" s="245"/>
      <c r="D618" s="246"/>
      <c r="E618" s="247"/>
      <c r="F618" s="247"/>
      <c r="G618" s="253"/>
      <c r="H618" s="202"/>
      <c r="I618" s="223"/>
      <c r="J618" s="344"/>
      <c r="K618" s="265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54"/>
      <c r="D621" s="244"/>
      <c r="E621" s="247"/>
      <c r="F621" s="247"/>
      <c r="G621" s="201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4"/>
      <c r="C622" s="245"/>
      <c r="D622" s="246"/>
      <c r="E622" s="247"/>
      <c r="F622" s="247"/>
      <c r="G622" s="253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45"/>
      <c r="D623" s="246"/>
      <c r="E623" s="247"/>
      <c r="F623" s="247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45"/>
      <c r="D625" s="246"/>
      <c r="E625" s="247"/>
      <c r="F625" s="247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54"/>
      <c r="D632" s="246"/>
      <c r="E632" s="247"/>
      <c r="F632" s="247"/>
      <c r="G632" s="199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45"/>
      <c r="D633" s="246"/>
      <c r="E633" s="247"/>
      <c r="F633" s="247"/>
      <c r="G633" s="253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45"/>
      <c r="D634" s="246"/>
      <c r="E634" s="247"/>
      <c r="F634" s="247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3"/>
      <c r="L635" s="251"/>
      <c r="M635" s="252"/>
      <c r="N635" s="264"/>
    </row>
    <row r="636" spans="2:14" x14ac:dyDescent="0.2">
      <c r="B636" s="244"/>
      <c r="C636" s="245"/>
      <c r="D636" s="246"/>
      <c r="E636" s="247"/>
      <c r="F636" s="247"/>
      <c r="G636" s="253"/>
      <c r="H636" s="202"/>
      <c r="I636" s="223"/>
      <c r="J636" s="344"/>
      <c r="K636" s="265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54"/>
      <c r="D639" s="246"/>
      <c r="E639" s="247"/>
      <c r="F639" s="247"/>
      <c r="G639" s="199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4"/>
      <c r="C640" s="254"/>
      <c r="D640" s="246"/>
      <c r="E640" s="247"/>
      <c r="F640" s="247"/>
      <c r="G640" s="199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45"/>
      <c r="D641" s="246"/>
      <c r="E641" s="247"/>
      <c r="F641" s="247"/>
      <c r="G641" s="253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45"/>
      <c r="D642" s="246"/>
      <c r="E642" s="247"/>
      <c r="F642" s="247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45"/>
      <c r="D643" s="246"/>
      <c r="E643" s="247"/>
      <c r="F643" s="247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45"/>
      <c r="D644" s="246"/>
      <c r="E644" s="247"/>
      <c r="F644" s="247"/>
      <c r="G644" s="253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54"/>
      <c r="D655" s="246"/>
      <c r="E655" s="247"/>
      <c r="F655" s="247"/>
      <c r="G655" s="199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45"/>
      <c r="D656" s="246"/>
      <c r="E656" s="247"/>
      <c r="F656" s="247"/>
      <c r="G656" s="253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45"/>
      <c r="D657" s="246"/>
      <c r="E657" s="247"/>
      <c r="F657" s="247"/>
      <c r="G657" s="253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45"/>
      <c r="D659" s="246"/>
      <c r="E659" s="247"/>
      <c r="F659" s="247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54"/>
      <c r="D671" s="246"/>
      <c r="E671" s="247"/>
      <c r="F671" s="247"/>
      <c r="G671" s="199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45"/>
      <c r="D672" s="246"/>
      <c r="E672" s="247"/>
      <c r="F672" s="247"/>
      <c r="G672" s="253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45"/>
      <c r="D673" s="246"/>
      <c r="E673" s="247"/>
      <c r="F673" s="247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45"/>
      <c r="D675" s="244"/>
      <c r="E675" s="247"/>
      <c r="F675" s="247"/>
      <c r="G675" s="260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6"/>
      <c r="E676" s="247"/>
      <c r="F676" s="247"/>
      <c r="G676" s="253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6"/>
      <c r="E677" s="247"/>
      <c r="F677" s="247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6"/>
      <c r="E679" s="247"/>
      <c r="F679" s="247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54"/>
      <c r="D680" s="246"/>
      <c r="E680" s="247"/>
      <c r="F680" s="247"/>
      <c r="G680" s="199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45"/>
      <c r="D681" s="246"/>
      <c r="E681" s="247"/>
      <c r="F681" s="247"/>
      <c r="G681" s="253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45"/>
      <c r="D682" s="246"/>
      <c r="E682" s="247"/>
      <c r="F682" s="247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4"/>
      <c r="E683" s="247"/>
      <c r="F683" s="247"/>
      <c r="G683" s="260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45"/>
      <c r="D684" s="246"/>
      <c r="E684" s="247"/>
      <c r="F684" s="247"/>
      <c r="G684" s="253"/>
      <c r="H684" s="202"/>
      <c r="I684" s="223"/>
      <c r="J684" s="344"/>
      <c r="K684" s="263"/>
      <c r="L684" s="251"/>
      <c r="M684" s="252"/>
      <c r="N684" s="264"/>
    </row>
    <row r="685" spans="2:14" x14ac:dyDescent="0.2">
      <c r="B685" s="244"/>
      <c r="C685" s="245"/>
      <c r="D685" s="246"/>
      <c r="E685" s="247"/>
      <c r="F685" s="247"/>
      <c r="G685" s="253"/>
      <c r="H685" s="202"/>
      <c r="I685" s="223"/>
      <c r="J685" s="344"/>
      <c r="K685" s="263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3"/>
      <c r="L686" s="251"/>
      <c r="M686" s="252"/>
      <c r="N686" s="264"/>
    </row>
    <row r="687" spans="2:14" x14ac:dyDescent="0.2">
      <c r="B687" s="244"/>
      <c r="C687" s="245"/>
      <c r="D687" s="246"/>
      <c r="E687" s="247"/>
      <c r="F687" s="247"/>
      <c r="G687" s="253"/>
      <c r="H687" s="202"/>
      <c r="I687" s="223"/>
      <c r="J687" s="344"/>
      <c r="K687" s="263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5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54"/>
      <c r="D699" s="244"/>
      <c r="E699" s="247"/>
      <c r="F699" s="247"/>
      <c r="G699" s="201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45"/>
      <c r="D700" s="246"/>
      <c r="E700" s="247"/>
      <c r="F700" s="247"/>
      <c r="G700" s="253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45"/>
      <c r="D701" s="246"/>
      <c r="E701" s="247"/>
      <c r="F701" s="247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54"/>
      <c r="D703" s="246"/>
      <c r="E703" s="247"/>
      <c r="F703" s="247"/>
      <c r="G703" s="199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54"/>
      <c r="D704" s="246"/>
      <c r="E704" s="247"/>
      <c r="F704" s="247"/>
      <c r="G704" s="199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45"/>
      <c r="D705" s="246"/>
      <c r="E705" s="247"/>
      <c r="F705" s="247"/>
      <c r="G705" s="253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54"/>
      <c r="D706" s="246"/>
      <c r="E706" s="247"/>
      <c r="F706" s="247"/>
      <c r="G706" s="199"/>
      <c r="H706" s="202"/>
      <c r="I706" s="223"/>
      <c r="J706" s="344"/>
      <c r="K706" s="263"/>
      <c r="L706" s="251"/>
      <c r="M706" s="252"/>
      <c r="N706" s="264"/>
    </row>
    <row r="707" spans="2:14" x14ac:dyDescent="0.2">
      <c r="B707" s="244"/>
      <c r="C707" s="245"/>
      <c r="D707" s="246"/>
      <c r="E707" s="247"/>
      <c r="F707" s="247"/>
      <c r="G707" s="253"/>
      <c r="H707" s="202"/>
      <c r="I707" s="223"/>
      <c r="J707" s="344"/>
      <c r="K707" s="265"/>
      <c r="L707" s="251"/>
      <c r="M707" s="252"/>
      <c r="N707" s="264"/>
    </row>
    <row r="708" spans="2:14" x14ac:dyDescent="0.2">
      <c r="B708" s="244"/>
      <c r="C708" s="245"/>
      <c r="D708" s="246"/>
      <c r="E708" s="247"/>
      <c r="F708" s="247"/>
      <c r="G708" s="253"/>
      <c r="H708" s="202"/>
      <c r="I708" s="223"/>
      <c r="J708" s="344"/>
      <c r="K708" s="265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45"/>
      <c r="D710" s="246"/>
      <c r="E710" s="247"/>
      <c r="F710" s="247"/>
      <c r="G710" s="253"/>
      <c r="H710" s="202"/>
      <c r="I710" s="223"/>
      <c r="J710" s="344"/>
      <c r="K710" s="265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3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5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5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54"/>
      <c r="D724" s="246"/>
      <c r="E724" s="247"/>
      <c r="F724" s="247"/>
      <c r="G724" s="199"/>
      <c r="H724" s="202"/>
      <c r="I724" s="223"/>
      <c r="J724" s="344"/>
      <c r="K724" s="265"/>
      <c r="L724" s="251"/>
      <c r="M724" s="252"/>
      <c r="N724" s="264"/>
    </row>
    <row r="725" spans="2:14" x14ac:dyDescent="0.2">
      <c r="B725" s="244"/>
      <c r="C725" s="245"/>
      <c r="D725" s="246"/>
      <c r="E725" s="247"/>
      <c r="F725" s="247"/>
      <c r="G725" s="253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54"/>
      <c r="D726" s="246"/>
      <c r="E726" s="247"/>
      <c r="F726" s="247"/>
      <c r="G726" s="199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45"/>
      <c r="D727" s="246"/>
      <c r="E727" s="247"/>
      <c r="F727" s="247"/>
      <c r="G727" s="253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45"/>
      <c r="D728" s="246"/>
      <c r="E728" s="247"/>
      <c r="F728" s="247"/>
      <c r="G728" s="253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45"/>
      <c r="D730" s="246"/>
      <c r="E730" s="247"/>
      <c r="F730" s="247"/>
      <c r="G730" s="253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54"/>
      <c r="D738" s="246"/>
      <c r="E738" s="247"/>
      <c r="F738" s="247"/>
      <c r="G738" s="199"/>
      <c r="H738" s="202"/>
      <c r="I738" s="223"/>
      <c r="J738" s="344"/>
      <c r="K738" s="265"/>
      <c r="L738" s="251"/>
      <c r="M738" s="252"/>
      <c r="N738" s="272"/>
    </row>
    <row r="739" spans="2:14" x14ac:dyDescent="0.2">
      <c r="B739" s="244"/>
      <c r="C739" s="254"/>
      <c r="D739" s="244"/>
      <c r="E739" s="247"/>
      <c r="F739" s="247"/>
      <c r="G739" s="201"/>
      <c r="H739" s="202"/>
      <c r="I739" s="223"/>
      <c r="J739" s="344"/>
      <c r="K739" s="265"/>
      <c r="L739" s="251"/>
      <c r="M739" s="252"/>
      <c r="N739" s="203"/>
    </row>
    <row r="740" spans="2:14" x14ac:dyDescent="0.2">
      <c r="B740" s="244"/>
      <c r="C740" s="245"/>
      <c r="D740" s="246"/>
      <c r="E740" s="247"/>
      <c r="F740" s="247"/>
      <c r="G740" s="253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4"/>
      <c r="C741" s="245"/>
      <c r="D741" s="246"/>
      <c r="E741" s="247"/>
      <c r="F741" s="247"/>
      <c r="G741" s="253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4"/>
      <c r="C742" s="245"/>
      <c r="D742" s="246"/>
      <c r="E742" s="247"/>
      <c r="F742" s="247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4"/>
      <c r="C743" s="254"/>
      <c r="D743" s="246"/>
      <c r="E743" s="247"/>
      <c r="F743" s="247"/>
      <c r="G743" s="199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45"/>
      <c r="D744" s="246"/>
      <c r="E744" s="247"/>
      <c r="F744" s="247"/>
      <c r="G744" s="253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45"/>
      <c r="D745" s="246"/>
      <c r="E745" s="247"/>
      <c r="F745" s="247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45"/>
      <c r="D747" s="246"/>
      <c r="E747" s="247"/>
      <c r="F747" s="247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3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5"/>
      <c r="L752" s="251"/>
      <c r="M752" s="252"/>
      <c r="N752" s="203"/>
    </row>
    <row r="753" spans="2:14" x14ac:dyDescent="0.2">
      <c r="B753" s="244"/>
      <c r="C753" s="254"/>
      <c r="D753" s="246"/>
      <c r="E753" s="247"/>
      <c r="F753" s="247"/>
      <c r="G753" s="199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4"/>
      <c r="C754" s="254"/>
      <c r="D754" s="246"/>
      <c r="E754" s="247"/>
      <c r="F754" s="247"/>
      <c r="G754" s="199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54"/>
      <c r="D755" s="246"/>
      <c r="E755" s="247"/>
      <c r="F755" s="247"/>
      <c r="G755" s="199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4"/>
      <c r="C756" s="245"/>
      <c r="D756" s="246"/>
      <c r="E756" s="247"/>
      <c r="F756" s="247"/>
      <c r="G756" s="253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45"/>
      <c r="D757" s="246"/>
      <c r="E757" s="247"/>
      <c r="F757" s="247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45"/>
      <c r="D758" s="244"/>
      <c r="E758" s="247"/>
      <c r="F758" s="247"/>
      <c r="G758" s="260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45"/>
      <c r="D759" s="246"/>
      <c r="E759" s="247"/>
      <c r="F759" s="247"/>
      <c r="G759" s="253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6"/>
      <c r="E760" s="247"/>
      <c r="F760" s="247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6"/>
      <c r="E762" s="247"/>
      <c r="F762" s="247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4"/>
      <c r="E763" s="247"/>
      <c r="F763" s="247"/>
      <c r="G763" s="260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54"/>
      <c r="D764" s="244"/>
      <c r="E764" s="247"/>
      <c r="F764" s="247"/>
      <c r="G764" s="201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45"/>
      <c r="D765" s="246"/>
      <c r="E765" s="247"/>
      <c r="F765" s="247"/>
      <c r="G765" s="253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45"/>
      <c r="D766" s="246"/>
      <c r="E766" s="247"/>
      <c r="F766" s="247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6"/>
      <c r="E767" s="247"/>
      <c r="F767" s="247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45"/>
      <c r="D768" s="246"/>
      <c r="E768" s="247"/>
      <c r="F768" s="247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54"/>
      <c r="D776" s="246"/>
      <c r="E776" s="247"/>
      <c r="F776" s="247"/>
      <c r="G776" s="253"/>
      <c r="H776" s="202"/>
      <c r="I776" s="223"/>
      <c r="J776" s="344"/>
      <c r="K776" s="263"/>
      <c r="L776" s="251"/>
      <c r="M776" s="252"/>
      <c r="N776" s="203"/>
    </row>
    <row r="777" spans="2:14" x14ac:dyDescent="0.2">
      <c r="B777" s="244"/>
      <c r="C777" s="245"/>
      <c r="D777" s="246"/>
      <c r="E777" s="247"/>
      <c r="F777" s="247"/>
      <c r="G777" s="253"/>
      <c r="H777" s="202"/>
      <c r="I777" s="223"/>
      <c r="J777" s="344"/>
      <c r="K777" s="265"/>
      <c r="L777" s="251"/>
      <c r="M777" s="252"/>
      <c r="N777" s="203"/>
    </row>
    <row r="778" spans="2:14" x14ac:dyDescent="0.2">
      <c r="B778" s="244"/>
      <c r="C778" s="245"/>
      <c r="D778" s="246"/>
      <c r="E778" s="247"/>
      <c r="F778" s="247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54"/>
      <c r="D780" s="244"/>
      <c r="E780" s="247"/>
      <c r="F780" s="247"/>
      <c r="G780" s="260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4"/>
      <c r="C781" s="254"/>
      <c r="D781" s="244"/>
      <c r="E781" s="247"/>
      <c r="F781" s="247"/>
      <c r="G781" s="260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45"/>
      <c r="D782" s="246"/>
      <c r="E782" s="247"/>
      <c r="F782" s="247"/>
      <c r="G782" s="253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54"/>
      <c r="D783" s="246"/>
      <c r="E783" s="247"/>
      <c r="F783" s="247"/>
      <c r="G783" s="199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54"/>
      <c r="D784" s="246"/>
      <c r="E784" s="247"/>
      <c r="F784" s="247"/>
      <c r="G784" s="199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45"/>
      <c r="D785" s="246"/>
      <c r="E785" s="247"/>
      <c r="F785" s="247"/>
      <c r="G785" s="253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45"/>
      <c r="D786" s="246"/>
      <c r="E786" s="247"/>
      <c r="F786" s="247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45"/>
      <c r="D787" s="246"/>
      <c r="E787" s="247"/>
      <c r="F787" s="247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45"/>
      <c r="D788" s="246"/>
      <c r="E788" s="247"/>
      <c r="F788" s="247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54"/>
      <c r="D789" s="246"/>
      <c r="E789" s="247"/>
      <c r="F789" s="247"/>
      <c r="G789" s="199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54"/>
      <c r="D790" s="246"/>
      <c r="E790" s="247"/>
      <c r="F790" s="247"/>
      <c r="G790" s="199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45"/>
      <c r="D791" s="246"/>
      <c r="E791" s="247"/>
      <c r="F791" s="247"/>
      <c r="G791" s="253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45"/>
      <c r="D792" s="246"/>
      <c r="E792" s="247"/>
      <c r="F792" s="247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45"/>
      <c r="D793" s="246"/>
      <c r="E793" s="247"/>
      <c r="F793" s="247"/>
      <c r="G793" s="253"/>
      <c r="H793" s="202"/>
      <c r="I793" s="223"/>
      <c r="J793" s="344"/>
      <c r="K793" s="263"/>
      <c r="L793" s="251"/>
      <c r="M793" s="252"/>
      <c r="N793" s="203"/>
    </row>
    <row r="794" spans="2:14" x14ac:dyDescent="0.2">
      <c r="B794" s="244"/>
      <c r="C794" s="245"/>
      <c r="D794" s="246"/>
      <c r="E794" s="247"/>
      <c r="F794" s="247"/>
      <c r="G794" s="253"/>
      <c r="H794" s="202"/>
      <c r="I794" s="223"/>
      <c r="J794" s="344"/>
      <c r="K794" s="265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4"/>
      <c r="E800" s="247"/>
      <c r="F800" s="247"/>
      <c r="G800" s="260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6"/>
      <c r="E801" s="247"/>
      <c r="F801" s="247"/>
      <c r="G801" s="253"/>
      <c r="H801" s="202"/>
      <c r="I801" s="223"/>
      <c r="J801" s="344"/>
      <c r="K801" s="263"/>
      <c r="L801" s="251"/>
      <c r="M801" s="252"/>
      <c r="N801" s="203"/>
    </row>
    <row r="802" spans="2:14" x14ac:dyDescent="0.2">
      <c r="B802" s="244"/>
      <c r="C802" s="245"/>
      <c r="D802" s="246"/>
      <c r="E802" s="247"/>
      <c r="F802" s="247"/>
      <c r="G802" s="253"/>
      <c r="H802" s="202"/>
      <c r="I802" s="223"/>
      <c r="J802" s="344"/>
      <c r="K802" s="265"/>
      <c r="L802" s="251"/>
      <c r="M802" s="252"/>
      <c r="N802" s="203"/>
    </row>
    <row r="803" spans="2:14" x14ac:dyDescent="0.2">
      <c r="B803" s="244"/>
      <c r="C803" s="245"/>
      <c r="D803" s="244"/>
      <c r="E803" s="247"/>
      <c r="F803" s="247"/>
      <c r="G803" s="260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4"/>
      <c r="C804" s="254"/>
      <c r="D804" s="246"/>
      <c r="E804" s="247"/>
      <c r="F804" s="247"/>
      <c r="G804" s="253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45"/>
      <c r="D805" s="246"/>
      <c r="E805" s="247"/>
      <c r="F805" s="247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4"/>
      <c r="C806" s="245"/>
      <c r="D806" s="244"/>
      <c r="E806" s="247"/>
      <c r="F806" s="247"/>
      <c r="G806" s="260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6"/>
      <c r="E807" s="247"/>
      <c r="F807" s="247"/>
      <c r="G807" s="253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45"/>
      <c r="D808" s="246"/>
      <c r="E808" s="247"/>
      <c r="F808" s="247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6"/>
      <c r="E810" s="247"/>
      <c r="F810" s="247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54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45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45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45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54"/>
      <c r="D824" s="246"/>
      <c r="E824" s="247"/>
      <c r="F824" s="247"/>
      <c r="G824" s="199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45"/>
      <c r="D825" s="246"/>
      <c r="E825" s="247"/>
      <c r="F825" s="247"/>
      <c r="G825" s="253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45"/>
      <c r="D826" s="246"/>
      <c r="E826" s="247"/>
      <c r="F826" s="247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45"/>
      <c r="D828" s="246"/>
      <c r="E828" s="247"/>
      <c r="F828" s="247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4"/>
      <c r="E835" s="247"/>
      <c r="F835" s="247"/>
      <c r="G835" s="260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6"/>
      <c r="E836" s="247"/>
      <c r="F836" s="247"/>
      <c r="G836" s="253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6"/>
      <c r="E837" s="247"/>
      <c r="F837" s="247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3"/>
      <c r="L838" s="251"/>
      <c r="M838" s="252"/>
      <c r="N838" s="203"/>
    </row>
    <row r="839" spans="2:14" x14ac:dyDescent="0.2">
      <c r="B839" s="244"/>
      <c r="C839" s="245"/>
      <c r="D839" s="246"/>
      <c r="E839" s="247"/>
      <c r="F839" s="247"/>
      <c r="G839" s="253"/>
      <c r="H839" s="202"/>
      <c r="I839" s="223"/>
      <c r="J839" s="344"/>
      <c r="K839" s="265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4"/>
      <c r="E844" s="247"/>
      <c r="F844" s="247"/>
      <c r="G844" s="260"/>
      <c r="H844" s="202"/>
      <c r="I844" s="223"/>
      <c r="J844" s="344"/>
      <c r="K844" s="263"/>
      <c r="L844" s="251"/>
      <c r="M844" s="252"/>
      <c r="N844" s="203"/>
    </row>
    <row r="845" spans="2:14" x14ac:dyDescent="0.2">
      <c r="B845" s="244"/>
      <c r="C845" s="245"/>
      <c r="D845" s="246"/>
      <c r="E845" s="247"/>
      <c r="F845" s="247"/>
      <c r="G845" s="253"/>
      <c r="H845" s="202"/>
      <c r="I845" s="223"/>
      <c r="J845" s="344"/>
      <c r="K845" s="265"/>
      <c r="L845" s="251"/>
      <c r="M845" s="252"/>
      <c r="N845" s="203"/>
    </row>
    <row r="846" spans="2:14" x14ac:dyDescent="0.2">
      <c r="B846" s="244"/>
      <c r="C846" s="245"/>
      <c r="D846" s="246"/>
      <c r="E846" s="247"/>
      <c r="F846" s="247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6"/>
      <c r="E848" s="247"/>
      <c r="F848" s="247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6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6"/>
      <c r="L853" s="251"/>
      <c r="M853" s="252"/>
      <c r="N853" s="203"/>
    </row>
    <row r="854" spans="2:14" x14ac:dyDescent="0.2">
      <c r="B854" s="244"/>
      <c r="C854" s="254"/>
      <c r="D854" s="246"/>
      <c r="E854" s="247"/>
      <c r="F854" s="247"/>
      <c r="G854" s="253"/>
      <c r="H854" s="202"/>
      <c r="I854" s="223"/>
      <c r="J854" s="344"/>
      <c r="K854" s="266"/>
      <c r="L854" s="251"/>
      <c r="M854" s="252"/>
      <c r="N854" s="203"/>
    </row>
    <row r="855" spans="2:14" x14ac:dyDescent="0.2">
      <c r="B855" s="244"/>
      <c r="C855" s="245"/>
      <c r="D855" s="246"/>
      <c r="E855" s="247"/>
      <c r="F855" s="247"/>
      <c r="G855" s="253"/>
      <c r="H855" s="202"/>
      <c r="I855" s="223"/>
      <c r="J855" s="344"/>
      <c r="K855" s="265"/>
      <c r="L855" s="251"/>
      <c r="M855" s="252"/>
      <c r="N855" s="203"/>
    </row>
    <row r="856" spans="2:14" x14ac:dyDescent="0.2">
      <c r="B856" s="244"/>
      <c r="C856" s="254"/>
      <c r="D856" s="246"/>
      <c r="E856" s="247"/>
      <c r="F856" s="247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4"/>
      <c r="C857" s="245"/>
      <c r="D857" s="246"/>
      <c r="E857" s="247"/>
      <c r="F857" s="247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4"/>
      <c r="C858" s="245"/>
      <c r="D858" s="246"/>
      <c r="E858" s="247"/>
      <c r="F858" s="247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45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54"/>
      <c r="D866" s="246"/>
      <c r="E866" s="247"/>
      <c r="F866" s="247"/>
      <c r="G866" s="199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54"/>
      <c r="D867" s="246"/>
      <c r="E867" s="247"/>
      <c r="F867" s="247"/>
      <c r="G867" s="199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45"/>
      <c r="D868" s="246"/>
      <c r="E868" s="247"/>
      <c r="F868" s="247"/>
      <c r="G868" s="253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45"/>
      <c r="D869" s="246"/>
      <c r="E869" s="247"/>
      <c r="F869" s="247"/>
      <c r="G869" s="253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45"/>
      <c r="D870" s="246"/>
      <c r="E870" s="247"/>
      <c r="F870" s="247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45"/>
      <c r="D871" s="246"/>
      <c r="E871" s="247"/>
      <c r="F871" s="247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54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45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45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54"/>
      <c r="D876" s="246"/>
      <c r="E876" s="247"/>
      <c r="F876" s="247"/>
      <c r="G876" s="199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45"/>
      <c r="D877" s="246"/>
      <c r="E877" s="247"/>
      <c r="F877" s="247"/>
      <c r="G877" s="253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54"/>
      <c r="D878" s="246"/>
      <c r="E878" s="247"/>
      <c r="F878" s="247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45"/>
      <c r="D879" s="246"/>
      <c r="E879" s="247"/>
      <c r="F879" s="247"/>
      <c r="G879" s="253"/>
      <c r="H879" s="202"/>
      <c r="I879" s="223"/>
      <c r="J879" s="344"/>
      <c r="K879" s="273"/>
      <c r="L879" s="251"/>
      <c r="M879" s="252"/>
      <c r="N879" s="203"/>
    </row>
    <row r="880" spans="2:14" x14ac:dyDescent="0.2">
      <c r="B880" s="244"/>
      <c r="C880" s="245"/>
      <c r="D880" s="246"/>
      <c r="E880" s="247"/>
      <c r="F880" s="247"/>
      <c r="G880" s="253"/>
      <c r="H880" s="202"/>
      <c r="I880" s="223"/>
      <c r="J880" s="344"/>
      <c r="K880" s="265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4"/>
      <c r="C882" s="245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4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6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54"/>
      <c r="D892" s="246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54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45"/>
      <c r="D894" s="246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45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54"/>
      <c r="D896" s="246"/>
      <c r="E896" s="247"/>
      <c r="F896" s="247"/>
      <c r="G896" s="199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45"/>
      <c r="D897" s="246"/>
      <c r="E897" s="247"/>
      <c r="F897" s="247"/>
      <c r="G897" s="253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54"/>
      <c r="D898" s="246"/>
      <c r="E898" s="247"/>
      <c r="F898" s="247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45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54"/>
      <c r="D900" s="246"/>
      <c r="E900" s="247"/>
      <c r="F900" s="247"/>
      <c r="G900" s="253"/>
      <c r="H900" s="202"/>
      <c r="I900" s="223"/>
      <c r="J900" s="344"/>
      <c r="K900" s="266"/>
      <c r="L900" s="251"/>
      <c r="M900" s="252"/>
      <c r="N900" s="203"/>
    </row>
    <row r="901" spans="2:14" x14ac:dyDescent="0.2">
      <c r="B901" s="244"/>
      <c r="C901" s="254"/>
      <c r="D901" s="246"/>
      <c r="E901" s="247"/>
      <c r="F901" s="247"/>
      <c r="G901" s="253"/>
      <c r="H901" s="202"/>
      <c r="I901" s="223"/>
      <c r="J901" s="344"/>
      <c r="K901" s="265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199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4"/>
      <c r="C903" s="254"/>
      <c r="D903" s="246"/>
      <c r="E903" s="247"/>
      <c r="F903" s="247"/>
      <c r="G903" s="199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4"/>
      <c r="C905" s="245"/>
      <c r="D905" s="246"/>
      <c r="E905" s="247"/>
      <c r="F905" s="247"/>
      <c r="G905" s="253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45"/>
      <c r="D906" s="246"/>
      <c r="E906" s="247"/>
      <c r="F906" s="247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54"/>
      <c r="D907" s="246"/>
      <c r="E907" s="247"/>
      <c r="F907" s="247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54"/>
      <c r="D908" s="246"/>
      <c r="E908" s="247"/>
      <c r="F908" s="247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45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54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54"/>
      <c r="D911" s="246"/>
      <c r="E911" s="247"/>
      <c r="F911" s="247"/>
      <c r="G911" s="199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45"/>
      <c r="D912" s="246"/>
      <c r="E912" s="247"/>
      <c r="F912" s="247"/>
      <c r="G912" s="253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54"/>
      <c r="D913" s="246"/>
      <c r="E913" s="247"/>
      <c r="F913" s="247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54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54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199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253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45"/>
      <c r="D919" s="246"/>
      <c r="E919" s="247"/>
      <c r="F919" s="247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54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54"/>
      <c r="D921" s="246"/>
      <c r="E921" s="247"/>
      <c r="F921" s="247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45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45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45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45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54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45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54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54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45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54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54"/>
      <c r="D935" s="246"/>
      <c r="E935" s="247"/>
      <c r="F935" s="247"/>
      <c r="G935" s="199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45"/>
      <c r="D936" s="246"/>
      <c r="E936" s="247"/>
      <c r="F936" s="247"/>
      <c r="G936" s="253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45"/>
      <c r="D937" s="246"/>
      <c r="E937" s="247"/>
      <c r="F937" s="247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45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45"/>
      <c r="D939" s="246"/>
      <c r="E939" s="247"/>
      <c r="F939" s="247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54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45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54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54"/>
      <c r="D946" s="246"/>
      <c r="E946" s="247"/>
      <c r="F946" s="247"/>
      <c r="G946" s="199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253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54"/>
      <c r="D948" s="246"/>
      <c r="E948" s="247"/>
      <c r="F948" s="247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199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199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253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253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199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253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199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253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199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199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253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199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253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199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253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253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199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253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199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253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199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253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199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253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199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253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4"/>
      <c r="E1012" s="247"/>
      <c r="F1012" s="247"/>
      <c r="G1012" s="260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4"/>
      <c r="E1013" s="247"/>
      <c r="F1013" s="247"/>
      <c r="G1013" s="260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6"/>
      <c r="E1014" s="247"/>
      <c r="F1014" s="247"/>
      <c r="G1014" s="253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6"/>
      <c r="E1015" s="247"/>
      <c r="F1015" s="247"/>
      <c r="G1015" s="201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6"/>
      <c r="E1016" s="247"/>
      <c r="F1016" s="247"/>
      <c r="G1016" s="253"/>
      <c r="H1016" s="202"/>
      <c r="I1016" s="223"/>
      <c r="J1016" s="344"/>
      <c r="K1016" s="263"/>
      <c r="L1016" s="251"/>
      <c r="M1016" s="252"/>
      <c r="N1016" s="203"/>
    </row>
    <row r="1017" spans="2:14" x14ac:dyDescent="0.2">
      <c r="B1017" s="244"/>
      <c r="C1017" s="254"/>
      <c r="D1017" s="246"/>
      <c r="E1017" s="247"/>
      <c r="F1017" s="247"/>
      <c r="G1017" s="253"/>
      <c r="H1017" s="202"/>
      <c r="I1017" s="223"/>
      <c r="J1017" s="344"/>
      <c r="K1017" s="265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01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53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01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53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4"/>
      <c r="E1046" s="247"/>
      <c r="F1046" s="247"/>
      <c r="G1046" s="260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6"/>
      <c r="E1047" s="247"/>
      <c r="F1047" s="247"/>
      <c r="G1047" s="253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6"/>
      <c r="E1048" s="247"/>
      <c r="F1048" s="247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6"/>
      <c r="E1050" s="247"/>
      <c r="F1050" s="247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4"/>
      <c r="E1059" s="247"/>
      <c r="F1059" s="247"/>
      <c r="G1059" s="260"/>
      <c r="H1059" s="202"/>
      <c r="I1059" s="223"/>
      <c r="J1059" s="344"/>
      <c r="K1059" s="263"/>
      <c r="L1059" s="251"/>
      <c r="M1059" s="252"/>
      <c r="N1059" s="203"/>
    </row>
    <row r="1060" spans="2:14" x14ac:dyDescent="0.2">
      <c r="B1060" s="244"/>
      <c r="C1060" s="254"/>
      <c r="D1060" s="246"/>
      <c r="E1060" s="247"/>
      <c r="F1060" s="247"/>
      <c r="G1060" s="253"/>
      <c r="H1060" s="202"/>
      <c r="I1060" s="223"/>
      <c r="J1060" s="344"/>
      <c r="K1060" s="265"/>
      <c r="L1060" s="251"/>
      <c r="M1060" s="252"/>
      <c r="N1060" s="203"/>
    </row>
    <row r="1061" spans="2:14" x14ac:dyDescent="0.2">
      <c r="B1061" s="244"/>
      <c r="C1061" s="254"/>
      <c r="D1061" s="246"/>
      <c r="E1061" s="247"/>
      <c r="F1061" s="247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6"/>
      <c r="E1063" s="247"/>
      <c r="F1063" s="247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03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199"/>
      <c r="H1086" s="202"/>
      <c r="I1086" s="223"/>
      <c r="J1086" s="344"/>
      <c r="K1086" s="265"/>
      <c r="L1086" s="251"/>
      <c r="M1086" s="252"/>
      <c r="N1086" s="203"/>
    </row>
    <row r="1087" spans="2:14" x14ac:dyDescent="0.2">
      <c r="B1087" s="244"/>
      <c r="C1087" s="254"/>
      <c r="D1087" s="244"/>
      <c r="E1087" s="274"/>
      <c r="F1087" s="274"/>
      <c r="G1087" s="205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4"/>
      <c r="C1088" s="254"/>
      <c r="D1088" s="246"/>
      <c r="E1088" s="247"/>
      <c r="F1088" s="247"/>
      <c r="G1088" s="199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6"/>
      <c r="E1089" s="247"/>
      <c r="F1089" s="247"/>
      <c r="G1089" s="253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6"/>
      <c r="E1091" s="247"/>
      <c r="F1091" s="247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4"/>
      <c r="E1095" s="247"/>
      <c r="F1095" s="247"/>
      <c r="G1095" s="205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6"/>
      <c r="E1096" s="247"/>
      <c r="F1096" s="247"/>
      <c r="G1096" s="253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6"/>
      <c r="E1097" s="247"/>
      <c r="F1097" s="247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199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6"/>
      <c r="E1099" s="247"/>
      <c r="F1099" s="247"/>
      <c r="G1099" s="253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199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253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199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253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199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253"/>
      <c r="H1116" s="202"/>
      <c r="I1116" s="223"/>
      <c r="J1116" s="344"/>
      <c r="K1116" s="265"/>
      <c r="L1116" s="203"/>
      <c r="M1116" s="252"/>
      <c r="N1116" s="203"/>
    </row>
    <row r="1117" spans="2:14" x14ac:dyDescent="0.2">
      <c r="B1117" s="244"/>
      <c r="C1117" s="254"/>
      <c r="D1117" s="244"/>
      <c r="E1117" s="247"/>
      <c r="F1117" s="247"/>
      <c r="G1117" s="205"/>
      <c r="H1117" s="202"/>
      <c r="I1117" s="223"/>
      <c r="J1117" s="344"/>
      <c r="K1117" s="265"/>
      <c r="L1117" s="251"/>
      <c r="M1117" s="252"/>
      <c r="N1117" s="203"/>
    </row>
    <row r="1118" spans="2:14" x14ac:dyDescent="0.2">
      <c r="B1118" s="244"/>
      <c r="C1118" s="254"/>
      <c r="D1118" s="246"/>
      <c r="E1118" s="247"/>
      <c r="F1118" s="247"/>
      <c r="G1118" s="199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4"/>
      <c r="C1119" s="254"/>
      <c r="D1119" s="246"/>
      <c r="E1119" s="247"/>
      <c r="F1119" s="247"/>
      <c r="G1119" s="253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199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4"/>
      <c r="C1121" s="254"/>
      <c r="D1121" s="246"/>
      <c r="E1121" s="247"/>
      <c r="F1121" s="247"/>
      <c r="G1121" s="253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253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253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4"/>
      <c r="E1126" s="247"/>
      <c r="F1126" s="247"/>
      <c r="G1126" s="206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6"/>
      <c r="E1127" s="247"/>
      <c r="F1127" s="247"/>
      <c r="G1127" s="253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6"/>
      <c r="E1128" s="247"/>
      <c r="F1128" s="247"/>
      <c r="G1128" s="253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6"/>
      <c r="E1130" s="247"/>
      <c r="F1130" s="247"/>
      <c r="G1130" s="253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75"/>
      <c r="D1137" s="275"/>
      <c r="E1137" s="247"/>
      <c r="F1137" s="276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54"/>
      <c r="D1138" s="246"/>
      <c r="E1138" s="247"/>
      <c r="F1138" s="247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54"/>
      <c r="D1139" s="244"/>
      <c r="E1139" s="247"/>
      <c r="F1139" s="247"/>
      <c r="G1139" s="201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6"/>
      <c r="E1140" s="247"/>
      <c r="F1140" s="247"/>
      <c r="G1140" s="253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54"/>
      <c r="D1141" s="246"/>
      <c r="E1141" s="247"/>
      <c r="F1141" s="247"/>
      <c r="G1141" s="253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6"/>
      <c r="E1143" s="247"/>
      <c r="F1143" s="247"/>
      <c r="G1143" s="253"/>
      <c r="H1143" s="202"/>
      <c r="I1143" s="223"/>
      <c r="J1143" s="344"/>
      <c r="K1143" s="263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5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73"/>
      <c r="L1145" s="251"/>
      <c r="M1145" s="252"/>
      <c r="N1145" s="203"/>
    </row>
    <row r="1146" spans="2:14" x14ac:dyDescent="0.2">
      <c r="B1146" s="244"/>
      <c r="C1146" s="254"/>
      <c r="D1146" s="244"/>
      <c r="E1146" s="247"/>
      <c r="F1146" s="247"/>
      <c r="G1146" s="260"/>
      <c r="H1146" s="202"/>
      <c r="I1146" s="223"/>
      <c r="J1146" s="344"/>
      <c r="K1146" s="265"/>
      <c r="L1146" s="251"/>
      <c r="M1146" s="252"/>
      <c r="N1146" s="203"/>
    </row>
    <row r="1147" spans="2:14" x14ac:dyDescent="0.2">
      <c r="B1147" s="244"/>
      <c r="C1147" s="254"/>
      <c r="D1147" s="246"/>
      <c r="E1147" s="247"/>
      <c r="F1147" s="247"/>
      <c r="G1147" s="253"/>
      <c r="H1147" s="202"/>
      <c r="I1147" s="223"/>
      <c r="J1147" s="344"/>
      <c r="K1147" s="273"/>
      <c r="L1147" s="251"/>
      <c r="M1147" s="252"/>
      <c r="N1147" s="203"/>
    </row>
    <row r="1148" spans="2:14" x14ac:dyDescent="0.2">
      <c r="B1148" s="244"/>
      <c r="C1148" s="254"/>
      <c r="D1148" s="246"/>
      <c r="E1148" s="247"/>
      <c r="F1148" s="247"/>
      <c r="G1148" s="253"/>
      <c r="H1148" s="202"/>
      <c r="I1148" s="223"/>
      <c r="J1148" s="344"/>
      <c r="K1148" s="265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65"/>
      <c r="L1149" s="251"/>
      <c r="M1149" s="252"/>
      <c r="N1149" s="203"/>
    </row>
    <row r="1150" spans="2:14" x14ac:dyDescent="0.2">
      <c r="B1150" s="244"/>
      <c r="C1150" s="254"/>
      <c r="D1150" s="246"/>
      <c r="E1150" s="247"/>
      <c r="F1150" s="247"/>
      <c r="G1150" s="199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253"/>
      <c r="H1151" s="202"/>
      <c r="I1151" s="223"/>
      <c r="J1151" s="344"/>
      <c r="K1151" s="265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253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60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253"/>
      <c r="H1154" s="202"/>
      <c r="I1154" s="223"/>
      <c r="J1154" s="344"/>
      <c r="K1154" s="265"/>
      <c r="L1154" s="251"/>
      <c r="M1154" s="252"/>
      <c r="N1154" s="204"/>
    </row>
    <row r="1155" spans="2:14" x14ac:dyDescent="0.2">
      <c r="B1155" s="244"/>
      <c r="C1155" s="254"/>
      <c r="D1155" s="246"/>
      <c r="E1155" s="247"/>
      <c r="F1155" s="247"/>
      <c r="G1155" s="253"/>
      <c r="H1155" s="202"/>
      <c r="I1155" s="223"/>
      <c r="J1155" s="344"/>
      <c r="K1155" s="265"/>
      <c r="L1155" s="251"/>
      <c r="M1155" s="252"/>
      <c r="N1155" s="204"/>
    </row>
    <row r="1156" spans="2:14" x14ac:dyDescent="0.2">
      <c r="B1156" s="244"/>
      <c r="C1156" s="254"/>
      <c r="D1156" s="246"/>
      <c r="E1156" s="247"/>
      <c r="F1156" s="247"/>
      <c r="G1156" s="199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4"/>
      <c r="C1157" s="254"/>
      <c r="D1157" s="246"/>
      <c r="E1157" s="247"/>
      <c r="F1157" s="247"/>
      <c r="G1157" s="253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4"/>
      <c r="C1158" s="254"/>
      <c r="D1158" s="246"/>
      <c r="E1158" s="247"/>
      <c r="F1158" s="247"/>
      <c r="G1158" s="253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4"/>
      <c r="E1161" s="274"/>
      <c r="F1161" s="274"/>
      <c r="G1161" s="205"/>
      <c r="H1161" s="202"/>
      <c r="I1161" s="223"/>
      <c r="J1161" s="344"/>
      <c r="K1161" s="273"/>
      <c r="L1161" s="251"/>
      <c r="M1161" s="252"/>
      <c r="N1161" s="204"/>
    </row>
    <row r="1162" spans="2:14" x14ac:dyDescent="0.2">
      <c r="B1162" s="244"/>
      <c r="C1162" s="254"/>
      <c r="D1162" s="246"/>
      <c r="E1162" s="247"/>
      <c r="F1162" s="247"/>
      <c r="G1162" s="253"/>
      <c r="H1162" s="202"/>
      <c r="I1162" s="223"/>
      <c r="J1162" s="344"/>
      <c r="K1162" s="265"/>
      <c r="L1162" s="251"/>
      <c r="M1162" s="252"/>
      <c r="N1162" s="204"/>
    </row>
    <row r="1163" spans="2:14" x14ac:dyDescent="0.2">
      <c r="B1163" s="244"/>
      <c r="C1163" s="254"/>
      <c r="D1163" s="246"/>
      <c r="E1163" s="247"/>
      <c r="F1163" s="247"/>
      <c r="G1163" s="199"/>
      <c r="H1163" s="202"/>
      <c r="I1163" s="223"/>
      <c r="J1163" s="344"/>
      <c r="K1163" s="265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199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6"/>
      <c r="E1165" s="247"/>
      <c r="F1165" s="247"/>
      <c r="G1165" s="253"/>
      <c r="H1165" s="202"/>
      <c r="I1165" s="223"/>
      <c r="J1165" s="344"/>
      <c r="K1165" s="265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253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253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253"/>
      <c r="H1168" s="202"/>
      <c r="I1168" s="223"/>
      <c r="J1168" s="344"/>
      <c r="K1168" s="273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199"/>
      <c r="H1169" s="202"/>
      <c r="I1169" s="223"/>
      <c r="J1169" s="344"/>
      <c r="K1169" s="265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253"/>
      <c r="H1170" s="202"/>
      <c r="I1170" s="223"/>
      <c r="J1170" s="344"/>
      <c r="K1170" s="265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253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65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199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199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253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199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253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199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199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253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253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253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253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4"/>
      <c r="E1188" s="247"/>
      <c r="F1188" s="247"/>
      <c r="G1188" s="260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6"/>
      <c r="E1189" s="247"/>
      <c r="F1189" s="247"/>
      <c r="G1189" s="199"/>
      <c r="H1189" s="202"/>
      <c r="I1189" s="223"/>
      <c r="J1189" s="344"/>
      <c r="K1189" s="273"/>
      <c r="L1189" s="251"/>
      <c r="M1189" s="252"/>
      <c r="N1189" s="204"/>
    </row>
    <row r="1190" spans="2:14" x14ac:dyDescent="0.2">
      <c r="B1190" s="244"/>
      <c r="C1190" s="254"/>
      <c r="D1190" s="246"/>
      <c r="E1190" s="247"/>
      <c r="F1190" s="247"/>
      <c r="G1190" s="253"/>
      <c r="H1190" s="202"/>
      <c r="I1190" s="223"/>
      <c r="J1190" s="344"/>
      <c r="K1190" s="265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253"/>
      <c r="H1191" s="202"/>
      <c r="I1191" s="223"/>
      <c r="J1191" s="344"/>
      <c r="K1191" s="265"/>
      <c r="L1191" s="251"/>
      <c r="M1191" s="252"/>
      <c r="N1191" s="204"/>
    </row>
    <row r="1192" spans="2:14" x14ac:dyDescent="0.2">
      <c r="B1192" s="244"/>
      <c r="C1192" s="254"/>
      <c r="D1192" s="246"/>
      <c r="E1192" s="247"/>
      <c r="F1192" s="247"/>
      <c r="G1192" s="253"/>
      <c r="H1192" s="202"/>
      <c r="I1192" s="223"/>
      <c r="J1192" s="344"/>
      <c r="K1192" s="277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253"/>
      <c r="H1193" s="202"/>
      <c r="I1193" s="223"/>
      <c r="J1193" s="344"/>
      <c r="K1193" s="277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199"/>
      <c r="H1194" s="202"/>
      <c r="I1194" s="223"/>
      <c r="J1194" s="344"/>
      <c r="K1194" s="277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199"/>
      <c r="H1195" s="202"/>
      <c r="I1195" s="223"/>
      <c r="J1195" s="344"/>
      <c r="K1195" s="277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253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253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253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199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4"/>
      <c r="E1200" s="274"/>
      <c r="F1200" s="274"/>
      <c r="G1200" s="205"/>
      <c r="H1200" s="202"/>
      <c r="I1200" s="223"/>
      <c r="J1200" s="344"/>
      <c r="K1200" s="278"/>
      <c r="L1200" s="251"/>
      <c r="M1200" s="252"/>
      <c r="N1200" s="204"/>
    </row>
    <row r="1201" spans="2:14" x14ac:dyDescent="0.2">
      <c r="B1201" s="244"/>
      <c r="C1201" s="254"/>
      <c r="D1201" s="246"/>
      <c r="E1201" s="247"/>
      <c r="F1201" s="247"/>
      <c r="G1201" s="253"/>
      <c r="H1201" s="202"/>
      <c r="I1201" s="223"/>
      <c r="J1201" s="344"/>
      <c r="K1201" s="278"/>
      <c r="L1201" s="251"/>
      <c r="M1201" s="252"/>
      <c r="N1201" s="204"/>
    </row>
    <row r="1202" spans="2:14" x14ac:dyDescent="0.2">
      <c r="B1202" s="244"/>
      <c r="C1202" s="254"/>
      <c r="D1202" s="246"/>
      <c r="E1202" s="247"/>
      <c r="F1202" s="247"/>
      <c r="G1202" s="253"/>
      <c r="H1202" s="202"/>
      <c r="I1202" s="223"/>
      <c r="J1202" s="344"/>
      <c r="K1202" s="278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4"/>
      <c r="C1204" s="254"/>
      <c r="D1204" s="246"/>
      <c r="E1204" s="247"/>
      <c r="F1204" s="247"/>
      <c r="G1204" s="253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199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199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253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4"/>
      <c r="E1208" s="247"/>
      <c r="F1208" s="247"/>
      <c r="G1208" s="205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6"/>
      <c r="E1209" s="247"/>
      <c r="F1209" s="247"/>
      <c r="G1209" s="253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6"/>
      <c r="E1210" s="247"/>
      <c r="F1210" s="247"/>
      <c r="G1210" s="201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53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6"/>
      <c r="E1212" s="247"/>
      <c r="F1212" s="247"/>
      <c r="G1212" s="253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4"/>
      <c r="E1214" s="247"/>
      <c r="F1214" s="247"/>
      <c r="G1214" s="206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6"/>
      <c r="E1215" s="247"/>
      <c r="F1215" s="247"/>
      <c r="G1215" s="253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4"/>
      <c r="E1216" s="274"/>
      <c r="F1216" s="274"/>
      <c r="G1216" s="205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6"/>
      <c r="E1217" s="247"/>
      <c r="F1217" s="247"/>
      <c r="G1217" s="253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6"/>
      <c r="E1218" s="247"/>
      <c r="F1218" s="247"/>
      <c r="G1218" s="199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199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6"/>
      <c r="E1220" s="247"/>
      <c r="F1220" s="247"/>
      <c r="G1220" s="253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253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253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253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199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199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253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253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253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253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03"/>
      <c r="M1230" s="252"/>
      <c r="N1230" s="204"/>
    </row>
    <row r="1231" spans="2:14" x14ac:dyDescent="0.2">
      <c r="B1231" s="244"/>
      <c r="C1231" s="279"/>
      <c r="D1231" s="280"/>
      <c r="E1231" s="274"/>
      <c r="F1231" s="274"/>
      <c r="G1231" s="253"/>
      <c r="H1231" s="202"/>
      <c r="I1231" s="223"/>
      <c r="J1231" s="344"/>
      <c r="K1231" s="278"/>
      <c r="L1231" s="251"/>
      <c r="M1231" s="252"/>
      <c r="N1231" s="204"/>
    </row>
    <row r="1232" spans="2:14" x14ac:dyDescent="0.2">
      <c r="B1232" s="244"/>
      <c r="C1232" s="254"/>
      <c r="D1232" s="246"/>
      <c r="E1232" s="247"/>
      <c r="F1232" s="247"/>
      <c r="G1232" s="253"/>
      <c r="H1232" s="202"/>
      <c r="I1232" s="223"/>
      <c r="J1232" s="344"/>
      <c r="K1232" s="278"/>
      <c r="L1232" s="251"/>
      <c r="M1232" s="252"/>
      <c r="N1232" s="204"/>
    </row>
    <row r="1233" spans="2:14" x14ac:dyDescent="0.2">
      <c r="B1233" s="244"/>
      <c r="C1233" s="254"/>
      <c r="D1233" s="246"/>
      <c r="E1233" s="247"/>
      <c r="F1233" s="247"/>
      <c r="G1233" s="199"/>
      <c r="H1233" s="202"/>
      <c r="I1233" s="223"/>
      <c r="J1233" s="344"/>
      <c r="K1233" s="278"/>
      <c r="L1233" s="203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253"/>
      <c r="H1234" s="202"/>
      <c r="I1234" s="223"/>
      <c r="J1234" s="344"/>
      <c r="K1234" s="278"/>
      <c r="L1234" s="251"/>
      <c r="M1234" s="252"/>
      <c r="N1234" s="204"/>
    </row>
    <row r="1235" spans="2:14" x14ac:dyDescent="0.2">
      <c r="B1235" s="244"/>
      <c r="C1235" s="254"/>
      <c r="D1235" s="246"/>
      <c r="E1235" s="247"/>
      <c r="F1235" s="247"/>
      <c r="G1235" s="199"/>
      <c r="H1235" s="202"/>
      <c r="I1235" s="223"/>
      <c r="J1235" s="344"/>
      <c r="K1235" s="278"/>
      <c r="L1235" s="251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253"/>
      <c r="H1236" s="207"/>
      <c r="I1236" s="221"/>
      <c r="J1236" s="341"/>
      <c r="K1236" s="278"/>
      <c r="L1236" s="251"/>
      <c r="M1236" s="252"/>
      <c r="N1236" s="208"/>
    </row>
    <row r="1237" spans="2:14" x14ac:dyDescent="0.2">
      <c r="B1237" s="244"/>
      <c r="C1237" s="254"/>
      <c r="D1237" s="246"/>
      <c r="E1237" s="247"/>
      <c r="F1237" s="247"/>
      <c r="G1237" s="253"/>
      <c r="H1237" s="207"/>
      <c r="I1237" s="221"/>
      <c r="J1237" s="341"/>
      <c r="K1237" s="278"/>
      <c r="L1237" s="251"/>
      <c r="M1237" s="252"/>
      <c r="N1237" s="208"/>
    </row>
    <row r="1238" spans="2:14" x14ac:dyDescent="0.2">
      <c r="B1238" s="244"/>
      <c r="C1238" s="254"/>
      <c r="D1238" s="246"/>
      <c r="E1238" s="247"/>
      <c r="F1238" s="247"/>
      <c r="G1238" s="253"/>
      <c r="H1238" s="207"/>
      <c r="I1238" s="221"/>
      <c r="J1238" s="341"/>
      <c r="K1238" s="278"/>
      <c r="L1238" s="251"/>
      <c r="M1238" s="252"/>
      <c r="N1238" s="208"/>
    </row>
    <row r="1239" spans="2:14" x14ac:dyDescent="0.2">
      <c r="B1239" s="244"/>
      <c r="C1239" s="245"/>
      <c r="D1239" s="246"/>
      <c r="E1239" s="247"/>
      <c r="F1239" s="247"/>
      <c r="G1239" s="253"/>
      <c r="H1239" s="207"/>
      <c r="I1239" s="221"/>
      <c r="J1239" s="341"/>
      <c r="K1239" s="278"/>
      <c r="L1239" s="251"/>
      <c r="M1239" s="252"/>
      <c r="N1239" s="208"/>
    </row>
    <row r="1240" spans="2:14" x14ac:dyDescent="0.2">
      <c r="B1240" s="244"/>
      <c r="C1240" s="254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75"/>
      <c r="D1241" s="275"/>
      <c r="E1241" s="276"/>
      <c r="F1241" s="276"/>
      <c r="G1241" s="209"/>
      <c r="H1241" s="207"/>
      <c r="I1241" s="221"/>
      <c r="J1241" s="341"/>
      <c r="K1241" s="281"/>
      <c r="L1241" s="251"/>
      <c r="M1241" s="252"/>
      <c r="N1241" s="208"/>
    </row>
    <row r="1242" spans="2:14" x14ac:dyDescent="0.2">
      <c r="B1242" s="244"/>
      <c r="C1242" s="254"/>
      <c r="D1242" s="246"/>
      <c r="E1242" s="247"/>
      <c r="F1242" s="247"/>
      <c r="G1242" s="253"/>
      <c r="H1242" s="207"/>
      <c r="I1242" s="221"/>
      <c r="J1242" s="341"/>
      <c r="K1242" s="278"/>
      <c r="L1242" s="251"/>
      <c r="M1242" s="252"/>
      <c r="N1242" s="208"/>
    </row>
    <row r="1243" spans="2:14" x14ac:dyDescent="0.2">
      <c r="B1243" s="244"/>
      <c r="C1243" s="254"/>
      <c r="D1243" s="246"/>
      <c r="E1243" s="247"/>
      <c r="F1243" s="247"/>
      <c r="G1243" s="253"/>
      <c r="H1243" s="207"/>
      <c r="I1243" s="221"/>
      <c r="J1243" s="341"/>
      <c r="K1243" s="278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54"/>
      <c r="D1245" s="244"/>
      <c r="E1245" s="247"/>
      <c r="F1245" s="247"/>
      <c r="G1245" s="260"/>
      <c r="H1245" s="207"/>
      <c r="I1245" s="221"/>
      <c r="J1245" s="341"/>
      <c r="K1245" s="278"/>
      <c r="L1245" s="251"/>
      <c r="M1245" s="252"/>
      <c r="N1245" s="208"/>
    </row>
    <row r="1246" spans="2:14" x14ac:dyDescent="0.2">
      <c r="B1246" s="244"/>
      <c r="C1246" s="254"/>
      <c r="D1246" s="246"/>
      <c r="E1246" s="247"/>
      <c r="F1246" s="247"/>
      <c r="G1246" s="253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6"/>
      <c r="E1247" s="247"/>
      <c r="F1247" s="247"/>
      <c r="G1247" s="253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45"/>
      <c r="D1249" s="246"/>
      <c r="E1249" s="247"/>
      <c r="F1249" s="247"/>
      <c r="G1249" s="253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54"/>
      <c r="D1250" s="246"/>
      <c r="E1250" s="247"/>
      <c r="F1250" s="247"/>
      <c r="G1250" s="205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45"/>
      <c r="D1251" s="246"/>
      <c r="E1251" s="247"/>
      <c r="F1251" s="247"/>
      <c r="G1251" s="260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54"/>
      <c r="D1252" s="246"/>
      <c r="E1252" s="247"/>
      <c r="F1252" s="247"/>
      <c r="G1252" s="253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54"/>
      <c r="D1253" s="246"/>
      <c r="E1253" s="247"/>
      <c r="F1253" s="247"/>
      <c r="G1253" s="253"/>
      <c r="H1253" s="207"/>
      <c r="I1253" s="221"/>
      <c r="J1253" s="341"/>
      <c r="K1253" s="278"/>
      <c r="L1253" s="210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60"/>
      <c r="H1254" s="207"/>
      <c r="I1254" s="221"/>
      <c r="J1254" s="341"/>
      <c r="K1254" s="278"/>
      <c r="L1254" s="251"/>
      <c r="M1254" s="252"/>
      <c r="N1254" s="208"/>
    </row>
    <row r="1255" spans="2:14" x14ac:dyDescent="0.2">
      <c r="B1255" s="244"/>
      <c r="C1255" s="245"/>
      <c r="D1255" s="246"/>
      <c r="E1255" s="247"/>
      <c r="F1255" s="247"/>
      <c r="G1255" s="260"/>
      <c r="H1255" s="207"/>
      <c r="I1255" s="221"/>
      <c r="J1255" s="341"/>
      <c r="K1255" s="278"/>
      <c r="L1255" s="251"/>
      <c r="M1255" s="252"/>
      <c r="N1255" s="208"/>
    </row>
    <row r="1256" spans="2:14" x14ac:dyDescent="0.2">
      <c r="B1256" s="244"/>
      <c r="C1256" s="254"/>
      <c r="D1256" s="246"/>
      <c r="E1256" s="247"/>
      <c r="F1256" s="247"/>
      <c r="G1256" s="253"/>
      <c r="H1256" s="207"/>
      <c r="I1256" s="221"/>
      <c r="J1256" s="341"/>
      <c r="K1256" s="278"/>
      <c r="L1256" s="251"/>
      <c r="M1256" s="252"/>
      <c r="N1256" s="208"/>
    </row>
    <row r="1257" spans="2:14" ht="15" x14ac:dyDescent="0.25">
      <c r="B1257" s="30"/>
      <c r="C1257" s="282"/>
      <c r="D1257" s="109"/>
      <c r="E1257" s="68"/>
      <c r="F1257" s="68"/>
      <c r="G1257" s="283"/>
      <c r="H1257" s="211"/>
      <c r="I1257" s="224"/>
      <c r="J1257" s="346"/>
      <c r="K1257" s="69"/>
      <c r="L1257" s="284"/>
      <c r="M1257" s="116"/>
      <c r="N1257" s="212"/>
    </row>
    <row r="1258" spans="2:14" ht="15" x14ac:dyDescent="0.25">
      <c r="B1258" s="30"/>
      <c r="C1258" s="282"/>
      <c r="D1258" s="109"/>
      <c r="E1258" s="68"/>
      <c r="F1258" s="68"/>
      <c r="G1258" s="283"/>
      <c r="H1258" s="211"/>
      <c r="I1258" s="224"/>
      <c r="J1258" s="346"/>
      <c r="K1258" s="69"/>
      <c r="L1258" s="284"/>
      <c r="M1258" s="116"/>
      <c r="N1258" s="212"/>
    </row>
    <row r="1259" spans="2:14" ht="15" x14ac:dyDescent="0.25">
      <c r="B1259" s="30"/>
      <c r="C1259" s="282"/>
      <c r="D1259" s="109"/>
      <c r="E1259" s="68"/>
      <c r="F1259" s="68"/>
      <c r="G1259" s="283"/>
      <c r="H1259" s="211"/>
      <c r="I1259" s="224"/>
      <c r="J1259" s="346"/>
      <c r="K1259" s="69"/>
      <c r="L1259" s="284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3"/>
      <c r="H1260" s="211"/>
      <c r="I1260" s="224"/>
      <c r="J1260" s="346"/>
      <c r="K1260" s="69"/>
      <c r="L1260" s="284"/>
      <c r="M1260" s="116"/>
      <c r="N1260" s="212"/>
    </row>
    <row r="1261" spans="2:14" ht="15" x14ac:dyDescent="0.25">
      <c r="B1261" s="37"/>
      <c r="C1261" s="282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7"/>
      <c r="C1263" s="282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x14ac:dyDescent="0.2">
      <c r="B1264" s="37"/>
      <c r="C1264" s="285"/>
      <c r="D1264" s="37"/>
      <c r="E1264" s="60"/>
      <c r="F1264" s="60"/>
      <c r="G1264" s="213"/>
      <c r="H1264" s="211"/>
      <c r="I1264" s="224"/>
      <c r="J1264" s="346"/>
      <c r="K1264" s="69"/>
      <c r="L1264" s="284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6"/>
      <c r="K1265" s="69"/>
      <c r="L1265" s="284"/>
      <c r="M1265" s="116"/>
      <c r="N1265" s="212"/>
    </row>
    <row r="1266" spans="2:14" ht="15" x14ac:dyDescent="0.25">
      <c r="B1266" s="37"/>
      <c r="C1266" s="282"/>
      <c r="D1266" s="109"/>
      <c r="E1266" s="68"/>
      <c r="F1266" s="68"/>
      <c r="G1266" s="283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282"/>
      <c r="D1267" s="109"/>
      <c r="E1267" s="68"/>
      <c r="F1267" s="68"/>
      <c r="G1267" s="283"/>
      <c r="H1267" s="211"/>
      <c r="I1267" s="224"/>
      <c r="J1267" s="346"/>
      <c r="K1267" s="69"/>
      <c r="L1267" s="284"/>
      <c r="M1267" s="116"/>
      <c r="N1267" s="212"/>
    </row>
    <row r="1268" spans="2:14" ht="15" x14ac:dyDescent="0.25">
      <c r="B1268" s="37"/>
      <c r="C1268" s="66"/>
      <c r="D1268" s="286"/>
      <c r="E1268" s="68"/>
      <c r="F1268" s="68"/>
      <c r="G1268" s="214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0"/>
      <c r="C1269" s="282"/>
      <c r="D1269" s="109"/>
      <c r="E1269" s="68"/>
      <c r="F1269" s="68"/>
      <c r="G1269" s="287"/>
      <c r="H1269" s="215"/>
      <c r="I1269" s="224"/>
      <c r="J1269" s="346"/>
      <c r="K1269" s="69"/>
      <c r="L1269" s="284"/>
      <c r="M1269" s="116"/>
      <c r="N1269" s="212"/>
    </row>
    <row r="1270" spans="2:14" ht="15" x14ac:dyDescent="0.25">
      <c r="B1270" s="30"/>
      <c r="C1270" s="282"/>
      <c r="D1270" s="109"/>
      <c r="E1270" s="68"/>
      <c r="F1270" s="68"/>
      <c r="G1270" s="283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2"/>
      <c r="D1271" s="109"/>
      <c r="E1271" s="68"/>
      <c r="F1271" s="68"/>
      <c r="G1271" s="283"/>
      <c r="H1271" s="215"/>
      <c r="I1271" s="224"/>
      <c r="J1271" s="346"/>
      <c r="K1271" s="69"/>
      <c r="L1271" s="284"/>
      <c r="M1271" s="116"/>
      <c r="N1271" s="212"/>
    </row>
    <row r="1272" spans="2:14" ht="15" x14ac:dyDescent="0.25">
      <c r="B1272" s="65"/>
      <c r="C1272" s="282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65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65"/>
      <c r="C1275" s="282"/>
      <c r="D1275" s="109"/>
      <c r="E1275" s="68"/>
      <c r="F1275" s="68"/>
      <c r="G1275" s="283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282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282"/>
      <c r="D1282" s="109"/>
      <c r="E1282" s="68"/>
      <c r="F1282" s="68"/>
      <c r="G1282" s="283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282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282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30"/>
      <c r="C1285" s="282"/>
      <c r="D1285" s="109"/>
      <c r="E1285" s="68"/>
      <c r="F1285" s="68"/>
      <c r="G1285" s="283"/>
      <c r="H1285" s="215"/>
      <c r="I1285" s="224"/>
      <c r="J1285" s="346"/>
      <c r="K1285" s="69"/>
      <c r="L1285" s="216"/>
      <c r="M1285" s="116"/>
      <c r="N1285" s="212"/>
    </row>
    <row r="1286" spans="2:14" ht="15" x14ac:dyDescent="0.25">
      <c r="B1286" s="65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84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282"/>
      <c r="D1288" s="109"/>
      <c r="E1288" s="68"/>
      <c r="F1288" s="68"/>
      <c r="G1288" s="283"/>
      <c r="H1288" s="215"/>
      <c r="I1288" s="224"/>
      <c r="J1288" s="346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3"/>
      <c r="H1289" s="215"/>
      <c r="I1289" s="224"/>
      <c r="J1289" s="346"/>
      <c r="K1289" s="69"/>
      <c r="L1289" s="284"/>
      <c r="M1289" s="116"/>
      <c r="N1289" s="212"/>
    </row>
    <row r="1290" spans="2:14" ht="15" x14ac:dyDescent="0.25">
      <c r="B1290" s="65"/>
      <c r="C1290" s="282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282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282"/>
      <c r="D1293" s="109"/>
      <c r="E1293" s="68"/>
      <c r="F1293" s="68"/>
      <c r="G1293" s="283"/>
      <c r="H1293" s="215"/>
      <c r="I1293" s="224"/>
      <c r="J1293" s="346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6"/>
      <c r="K1294" s="69"/>
      <c r="L1294" s="284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3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84"/>
      <c r="M1298" s="116"/>
      <c r="N1298" s="212"/>
    </row>
    <row r="1299" spans="2:14" ht="15" x14ac:dyDescent="0.25">
      <c r="B1299" s="30"/>
      <c r="C1299" s="282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288"/>
      <c r="D1302" s="289"/>
      <c r="E1302" s="290"/>
      <c r="F1302" s="290"/>
      <c r="G1302" s="283"/>
      <c r="H1302" s="215"/>
      <c r="I1302" s="224"/>
      <c r="J1302" s="346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3"/>
      <c r="H1303" s="215"/>
      <c r="I1303" s="224"/>
      <c r="J1303" s="346"/>
      <c r="K1303" s="69"/>
      <c r="L1303" s="284"/>
      <c r="M1303" s="116"/>
      <c r="N1303" s="212"/>
    </row>
    <row r="1304" spans="2:14" ht="15" x14ac:dyDescent="0.25">
      <c r="B1304" s="30"/>
      <c r="C1304" s="282"/>
      <c r="D1304" s="109"/>
      <c r="E1304" s="68"/>
      <c r="F1304" s="68"/>
      <c r="G1304" s="283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7"/>
      <c r="H1306" s="211"/>
      <c r="I1306" s="224"/>
      <c r="J1306" s="346"/>
      <c r="K1306" s="80"/>
      <c r="L1306" s="284"/>
      <c r="M1306" s="116"/>
      <c r="N1306" s="212"/>
    </row>
    <row r="1307" spans="2:14" ht="15" x14ac:dyDescent="0.25">
      <c r="B1307" s="30"/>
      <c r="C1307" s="282"/>
      <c r="D1307" s="109"/>
      <c r="E1307" s="68"/>
      <c r="F1307" s="68"/>
      <c r="G1307" s="283"/>
      <c r="H1307" s="215"/>
      <c r="I1307" s="224"/>
      <c r="J1307" s="346"/>
      <c r="K1307" s="69"/>
      <c r="L1307" s="284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84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6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3"/>
      <c r="H1314" s="215"/>
      <c r="I1314" s="224"/>
      <c r="J1314" s="346"/>
      <c r="K1314" s="69"/>
      <c r="L1314" s="284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3"/>
      <c r="H1315" s="215"/>
      <c r="I1315" s="224"/>
      <c r="J1315" s="346"/>
      <c r="K1315" s="69"/>
      <c r="L1315" s="284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3"/>
      <c r="H1317" s="215"/>
      <c r="I1317" s="224"/>
      <c r="J1317" s="346"/>
      <c r="K1317" s="69"/>
      <c r="L1317" s="284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84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84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3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3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3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291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3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3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3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3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2"/>
      <c r="J1344" s="347"/>
      <c r="K1344" s="69"/>
      <c r="L1344" s="284"/>
      <c r="M1344" s="116"/>
      <c r="N1344" s="212"/>
    </row>
    <row r="1345" spans="2:14" ht="15" x14ac:dyDescent="0.25">
      <c r="B1345" s="291"/>
      <c r="C1345" s="78"/>
      <c r="D1345" s="109"/>
      <c r="E1345" s="68"/>
      <c r="F1345" s="68"/>
      <c r="G1345" s="214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291"/>
      <c r="C1346" s="78"/>
      <c r="D1346" s="109"/>
      <c r="E1346" s="68"/>
      <c r="F1346" s="68"/>
      <c r="G1346" s="283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68"/>
      <c r="G1347" s="214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291"/>
      <c r="C1348" s="78"/>
      <c r="D1348" s="109"/>
      <c r="E1348" s="68"/>
      <c r="F1348" s="68"/>
      <c r="G1348" s="287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83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3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13"/>
      <c r="H1351" s="215"/>
      <c r="I1351" s="292"/>
      <c r="J1351" s="347"/>
      <c r="K1351" s="69"/>
      <c r="L1351" s="284"/>
      <c r="M1351" s="116"/>
      <c r="N1351" s="212"/>
    </row>
    <row r="1352" spans="2:14" x14ac:dyDescent="0.2">
      <c r="B1352" s="291"/>
      <c r="C1352" s="78"/>
      <c r="D1352" s="109"/>
      <c r="E1352" s="68"/>
      <c r="F1352" s="68"/>
      <c r="G1352" s="287"/>
      <c r="H1352" s="211"/>
      <c r="I1352" s="224"/>
      <c r="J1352" s="346"/>
      <c r="K1352" s="80"/>
      <c r="L1352" s="216"/>
      <c r="M1352" s="116"/>
      <c r="N1352" s="212"/>
    </row>
    <row r="1353" spans="2:14" ht="15" x14ac:dyDescent="0.25">
      <c r="B1353" s="291"/>
      <c r="C1353" s="78"/>
      <c r="D1353" s="109"/>
      <c r="E1353" s="68"/>
      <c r="F1353" s="68"/>
      <c r="G1353" s="287"/>
      <c r="H1353" s="215"/>
      <c r="I1353" s="292"/>
      <c r="J1353" s="347"/>
      <c r="K1353" s="69"/>
      <c r="L1353" s="284"/>
      <c r="M1353" s="116"/>
      <c r="N1353" s="212"/>
    </row>
    <row r="1354" spans="2:14" ht="15" x14ac:dyDescent="0.25">
      <c r="B1354" s="65"/>
      <c r="C1354" s="288"/>
      <c r="D1354" s="289"/>
      <c r="E1354" s="293"/>
      <c r="F1354" s="294"/>
      <c r="G1354" s="295"/>
      <c r="H1354" s="215"/>
      <c r="I1354" s="292"/>
      <c r="J1354" s="347"/>
      <c r="K1354" s="69"/>
      <c r="L1354" s="284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3"/>
      <c r="H1355" s="215"/>
      <c r="I1355" s="292"/>
      <c r="J1355" s="347"/>
      <c r="K1355" s="69"/>
      <c r="L1355" s="284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3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291"/>
      <c r="C1357" s="78"/>
      <c r="D1357" s="109"/>
      <c r="E1357" s="296"/>
      <c r="F1357" s="297"/>
      <c r="G1357" s="298"/>
      <c r="H1357" s="299"/>
      <c r="I1357" s="300"/>
      <c r="J1357" s="348"/>
      <c r="K1357" s="69"/>
      <c r="L1357" s="284"/>
      <c r="M1357" s="116"/>
      <c r="N1357" s="212"/>
    </row>
    <row r="1358" spans="2:14" ht="15" x14ac:dyDescent="0.25">
      <c r="B1358" s="291"/>
      <c r="C1358" s="78"/>
      <c r="D1358" s="109"/>
      <c r="E1358" s="68"/>
      <c r="F1358" s="77"/>
      <c r="G1358" s="283"/>
      <c r="H1358" s="215"/>
      <c r="I1358" s="292"/>
      <c r="J1358" s="347"/>
      <c r="K1358" s="69"/>
      <c r="L1358" s="284"/>
      <c r="M1358" s="116"/>
      <c r="N1358" s="212"/>
    </row>
    <row r="1359" spans="2:14" ht="15" x14ac:dyDescent="0.25">
      <c r="B1359" s="291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291"/>
      <c r="C1360" s="78"/>
      <c r="D1360" s="109"/>
      <c r="E1360" s="68"/>
      <c r="F1360" s="77"/>
      <c r="G1360" s="214"/>
      <c r="H1360" s="215"/>
      <c r="I1360" s="292"/>
      <c r="J1360" s="347"/>
      <c r="K1360" s="69"/>
      <c r="L1360" s="216"/>
      <c r="M1360" s="116"/>
      <c r="N1360" s="212"/>
    </row>
    <row r="1361" spans="2:14" ht="15" x14ac:dyDescent="0.25">
      <c r="B1361" s="291"/>
      <c r="C1361" s="78"/>
      <c r="D1361" s="109"/>
      <c r="E1361" s="68"/>
      <c r="F1361" s="77"/>
      <c r="G1361" s="283"/>
      <c r="H1361" s="215"/>
      <c r="I1361" s="292"/>
      <c r="J1361" s="347"/>
      <c r="K1361" s="69"/>
      <c r="L1361" s="284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3"/>
      <c r="H1362" s="215"/>
      <c r="I1362" s="292"/>
      <c r="J1362" s="347"/>
      <c r="K1362" s="69"/>
      <c r="L1362" s="284"/>
      <c r="M1362" s="116"/>
      <c r="N1362" s="212"/>
    </row>
    <row r="1363" spans="2:14" ht="15" x14ac:dyDescent="0.25">
      <c r="B1363" s="65"/>
      <c r="C1363" s="288"/>
      <c r="D1363" s="289"/>
      <c r="E1363" s="290"/>
      <c r="F1363" s="283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5"/>
      <c r="H1364" s="215"/>
      <c r="I1364" s="292"/>
      <c r="J1364" s="347"/>
      <c r="K1364" s="69"/>
      <c r="L1364" s="284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3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7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7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291"/>
      <c r="C1368" s="78"/>
      <c r="D1368" s="109"/>
      <c r="E1368" s="68"/>
      <c r="F1368" s="77"/>
      <c r="G1368" s="283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291"/>
      <c r="C1369" s="78"/>
      <c r="D1369" s="109"/>
      <c r="E1369" s="68"/>
      <c r="F1369" s="77"/>
      <c r="G1369" s="283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291"/>
      <c r="C1370" s="78"/>
      <c r="D1370" s="109"/>
      <c r="E1370" s="68"/>
      <c r="F1370" s="77"/>
      <c r="G1370" s="283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291"/>
      <c r="C1371" s="78"/>
      <c r="D1371" s="109"/>
      <c r="E1371" s="68"/>
      <c r="F1371" s="77"/>
      <c r="G1371" s="283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66"/>
      <c r="D1372" s="109"/>
      <c r="E1372" s="68"/>
      <c r="F1372" s="77"/>
      <c r="G1372" s="295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78"/>
      <c r="D1373" s="109"/>
      <c r="E1373" s="68"/>
      <c r="F1373" s="77"/>
      <c r="G1373" s="214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78"/>
      <c r="D1374" s="109"/>
      <c r="E1374" s="68"/>
      <c r="F1374" s="77"/>
      <c r="G1374" s="283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14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78"/>
      <c r="D1376" s="109"/>
      <c r="E1376" s="68"/>
      <c r="F1376" s="77"/>
      <c r="G1376" s="283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83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7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3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3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3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5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5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2"/>
      <c r="J1385" s="347"/>
      <c r="K1385" s="69"/>
      <c r="L1385" s="284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1"/>
      <c r="H1386" s="211"/>
      <c r="I1386" s="224"/>
      <c r="J1386" s="346"/>
      <c r="K1386" s="80"/>
      <c r="L1386" s="284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3"/>
      <c r="H1387" s="215"/>
      <c r="I1387" s="292"/>
      <c r="J1387" s="347"/>
      <c r="K1387" s="69"/>
      <c r="L1387" s="284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5"/>
      <c r="H1388" s="215"/>
      <c r="I1388" s="292"/>
      <c r="J1388" s="347"/>
      <c r="K1388" s="69"/>
      <c r="L1388" s="284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3"/>
      <c r="H1389" s="215"/>
      <c r="I1389" s="292"/>
      <c r="J1389" s="347"/>
      <c r="K1389" s="69"/>
      <c r="L1389" s="284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3"/>
      <c r="H1390" s="215"/>
      <c r="I1390" s="292"/>
      <c r="J1390" s="347"/>
      <c r="K1390" s="69"/>
      <c r="L1390" s="284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5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5"/>
      <c r="H1392" s="302"/>
      <c r="I1392" s="225"/>
      <c r="J1392" s="349"/>
      <c r="K1392" s="69"/>
      <c r="L1392" s="284"/>
      <c r="M1392" s="116"/>
      <c r="N1392" s="212"/>
    </row>
    <row r="1393" spans="2:14" ht="15" x14ac:dyDescent="0.25">
      <c r="B1393" s="65"/>
      <c r="C1393" s="288"/>
      <c r="D1393" s="289"/>
      <c r="E1393" s="290"/>
      <c r="F1393" s="303"/>
      <c r="G1393" s="283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5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2"/>
      <c r="J1399" s="347"/>
      <c r="K1399" s="69"/>
      <c r="L1399" s="284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5"/>
      <c r="H1400" s="302"/>
      <c r="I1400" s="225"/>
      <c r="J1400" s="349"/>
      <c r="K1400" s="69"/>
      <c r="L1400" s="284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65"/>
      <c r="C1410" s="288"/>
      <c r="D1410" s="289"/>
      <c r="E1410" s="290"/>
      <c r="F1410" s="303"/>
      <c r="G1410" s="283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5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5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5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5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5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5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4"/>
      <c r="H1433" s="215"/>
      <c r="I1433" s="292"/>
      <c r="J1433" s="347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1"/>
      <c r="H1434" s="302"/>
      <c r="I1434" s="225"/>
      <c r="J1434" s="349"/>
      <c r="K1434" s="69"/>
      <c r="L1434" s="284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5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5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5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5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5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65"/>
      <c r="C1444" s="23"/>
      <c r="D1444" s="289"/>
      <c r="E1444" s="290"/>
      <c r="F1444" s="303"/>
      <c r="G1444" s="283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5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5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5"/>
      <c r="H1447" s="302"/>
      <c r="I1447" s="225"/>
      <c r="J1447" s="349"/>
      <c r="K1447" s="80"/>
      <c r="L1447" s="284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2"/>
      <c r="I1448" s="225"/>
      <c r="J1448" s="349"/>
      <c r="K1448" s="69"/>
      <c r="L1448" s="284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5"/>
      <c r="H1449" s="302"/>
      <c r="I1449" s="225"/>
      <c r="J1449" s="349"/>
      <c r="K1449" s="27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302"/>
      <c r="I1450" s="225"/>
      <c r="J1450" s="349"/>
      <c r="K1450" s="69"/>
      <c r="L1450" s="284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2"/>
      <c r="I1451" s="225"/>
      <c r="J1451" s="349"/>
      <c r="K1451" s="69"/>
      <c r="L1451" s="284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5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2"/>
      <c r="I1453" s="225"/>
      <c r="J1453" s="349"/>
      <c r="K1453" s="69"/>
      <c r="L1453" s="284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5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5"/>
      <c r="H1456" s="302"/>
      <c r="I1456" s="225"/>
      <c r="J1456" s="349"/>
      <c r="K1456" s="289"/>
      <c r="L1456" s="284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2"/>
      <c r="I1457" s="225"/>
      <c r="J1457" s="349"/>
      <c r="K1457" s="69"/>
      <c r="L1457" s="284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5"/>
      <c r="H1458" s="302"/>
      <c r="I1458" s="225"/>
      <c r="J1458" s="349"/>
      <c r="K1458" s="69"/>
      <c r="L1458" s="284"/>
      <c r="M1458" s="116"/>
      <c r="N1458" s="212"/>
    </row>
    <row r="1459" spans="2:14" ht="15" x14ac:dyDescent="0.25">
      <c r="B1459" s="65"/>
      <c r="C1459" s="285"/>
      <c r="D1459" s="285"/>
      <c r="E1459" s="305"/>
      <c r="F1459" s="306"/>
      <c r="G1459" s="306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2"/>
      <c r="J1460" s="347"/>
      <c r="K1460" s="69"/>
      <c r="L1460" s="284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5"/>
      <c r="H1461" s="302"/>
      <c r="I1461" s="225"/>
      <c r="J1461" s="349"/>
      <c r="K1461" s="69"/>
      <c r="L1461" s="284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5"/>
      <c r="H1462" s="302"/>
      <c r="I1462" s="225"/>
      <c r="J1462" s="349"/>
      <c r="K1462" s="69"/>
      <c r="L1462" s="284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5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5"/>
      <c r="H1464" s="302"/>
      <c r="I1464" s="225"/>
      <c r="J1464" s="349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7"/>
      <c r="H1469" s="215"/>
      <c r="I1469" s="292"/>
      <c r="J1469" s="347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8"/>
      <c r="H1470" s="302"/>
      <c r="I1470" s="225"/>
      <c r="J1470" s="349"/>
      <c r="K1470" s="69"/>
      <c r="L1470" s="284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8"/>
      <c r="H1471" s="302"/>
      <c r="I1471" s="225"/>
      <c r="J1471" s="349"/>
      <c r="K1471" s="69"/>
      <c r="L1471" s="284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0"/>
      <c r="K1472" s="69"/>
      <c r="L1472" s="284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284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12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5"/>
      <c r="H1475" s="121"/>
      <c r="I1475" s="107"/>
      <c r="J1475" s="350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5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0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5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0"/>
      <c r="H1485" s="311"/>
      <c r="I1485" s="312"/>
      <c r="J1485" s="351"/>
      <c r="K1485" s="69"/>
      <c r="L1485" s="284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0"/>
      <c r="K1486" s="69"/>
      <c r="L1486" s="284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284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284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0"/>
      <c r="H1491" s="311"/>
      <c r="I1491" s="312"/>
      <c r="J1491" s="351"/>
      <c r="K1491" s="69"/>
      <c r="L1491" s="284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0"/>
      <c r="K1492" s="69"/>
      <c r="L1492" s="284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0"/>
      <c r="K1493" s="69"/>
      <c r="L1493" s="284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0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0"/>
      <c r="K1495" s="69"/>
      <c r="L1495" s="284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0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0"/>
      <c r="H1497" s="311"/>
      <c r="I1497" s="312"/>
      <c r="J1497" s="351"/>
      <c r="K1497" s="69"/>
      <c r="L1497" s="216"/>
      <c r="M1497" s="116"/>
      <c r="N1497" s="212"/>
    </row>
    <row r="1498" spans="2:14" ht="15.75" x14ac:dyDescent="0.25">
      <c r="B1498" s="313"/>
      <c r="C1498" s="78"/>
      <c r="D1498" s="109"/>
      <c r="E1498" s="68"/>
      <c r="F1498" s="77"/>
      <c r="G1498" s="310"/>
      <c r="H1498" s="311"/>
      <c r="I1498" s="312"/>
      <c r="J1498" s="351"/>
      <c r="K1498" s="69"/>
      <c r="L1498" s="216"/>
      <c r="M1498" s="116"/>
      <c r="N1498" s="212"/>
    </row>
    <row r="1499" spans="2:14" ht="15.75" x14ac:dyDescent="0.25">
      <c r="B1499" s="314"/>
      <c r="C1499" s="66"/>
      <c r="D1499" s="109"/>
      <c r="E1499" s="68"/>
      <c r="F1499" s="77"/>
      <c r="G1499" s="104"/>
      <c r="H1499" s="121"/>
      <c r="I1499" s="107"/>
      <c r="J1499" s="350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0"/>
      <c r="H1500" s="311"/>
      <c r="I1500" s="312"/>
      <c r="J1500" s="351"/>
      <c r="K1500" s="69"/>
      <c r="L1500" s="126"/>
      <c r="M1500" s="116"/>
      <c r="N1500" s="217"/>
    </row>
    <row r="1501" spans="2:14" ht="15.75" x14ac:dyDescent="0.25">
      <c r="B1501" s="313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0"/>
      <c r="K1502" s="69"/>
      <c r="L1502" s="126"/>
      <c r="M1502" s="116"/>
      <c r="N1502" s="217"/>
    </row>
    <row r="1503" spans="2:14" ht="15" x14ac:dyDescent="0.25">
      <c r="B1503" s="91"/>
      <c r="C1503" s="315"/>
      <c r="D1503" s="65"/>
      <c r="E1503" s="68"/>
      <c r="F1503" s="117"/>
      <c r="G1503" s="117"/>
      <c r="H1503" s="121"/>
      <c r="I1503" s="107"/>
      <c r="J1503" s="350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0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0"/>
      <c r="H1509" s="31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0"/>
      <c r="H1510" s="311"/>
      <c r="I1510" s="312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0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0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0"/>
      <c r="H1514" s="311"/>
      <c r="I1514" s="312"/>
      <c r="J1514" s="351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0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0"/>
      <c r="H1516" s="311"/>
      <c r="I1516" s="107"/>
      <c r="J1516" s="350"/>
      <c r="K1516" s="69"/>
      <c r="L1516" s="284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0"/>
      <c r="H1517" s="311"/>
      <c r="I1517" s="312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312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312"/>
      <c r="J1520" s="351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0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0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0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0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0"/>
      <c r="K1527" s="69"/>
      <c r="L1527" s="126"/>
      <c r="M1527" s="116"/>
      <c r="N1527" s="217"/>
    </row>
    <row r="1528" spans="2:14" ht="15" x14ac:dyDescent="0.25">
      <c r="B1528" s="37"/>
      <c r="C1528" s="315"/>
      <c r="D1528" s="65"/>
      <c r="E1528" s="68"/>
      <c r="F1528" s="117"/>
      <c r="G1528" s="117"/>
      <c r="H1528" s="121"/>
      <c r="I1528" s="107"/>
      <c r="J1528" s="350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0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0"/>
      <c r="H1535" s="311"/>
      <c r="I1535" s="312"/>
      <c r="J1535" s="351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0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0"/>
      <c r="H1537" s="311"/>
      <c r="I1537" s="312"/>
      <c r="J1537" s="351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0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0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0"/>
      <c r="H1540" s="311"/>
      <c r="I1540" s="107"/>
      <c r="J1540" s="350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0"/>
      <c r="H1541" s="311"/>
      <c r="I1541" s="312"/>
      <c r="J1541" s="351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0"/>
      <c r="H1542" s="311"/>
      <c r="I1542" s="312"/>
      <c r="J1542" s="351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0"/>
      <c r="H1543" s="311"/>
      <c r="I1543" s="312"/>
      <c r="J1543" s="351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0"/>
      <c r="H1544" s="311"/>
      <c r="I1544" s="312"/>
      <c r="J1544" s="351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0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0"/>
      <c r="H1550" s="311"/>
      <c r="I1550" s="107"/>
      <c r="J1550" s="350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0"/>
      <c r="H1558" s="123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0"/>
      <c r="H1559" s="311"/>
      <c r="I1559" s="312"/>
      <c r="J1559" s="351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2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0"/>
      <c r="H1561" s="311"/>
      <c r="I1561" s="312"/>
      <c r="J1561" s="351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0"/>
      <c r="K1562" s="69"/>
      <c r="L1562" s="126"/>
      <c r="M1562" s="116"/>
      <c r="N1562" s="316"/>
    </row>
    <row r="1563" spans="2:14" ht="15" x14ac:dyDescent="0.25">
      <c r="B1563" s="65"/>
      <c r="C1563" s="78"/>
      <c r="D1563" s="109"/>
      <c r="E1563" s="68"/>
      <c r="F1563" s="77"/>
      <c r="G1563" s="310"/>
      <c r="H1563" s="311"/>
      <c r="I1563" s="312"/>
      <c r="J1563" s="351"/>
      <c r="K1563" s="69"/>
      <c r="L1563" s="216"/>
      <c r="M1563" s="116"/>
      <c r="N1563" s="316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0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0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0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0"/>
      <c r="H1568" s="311"/>
      <c r="I1568" s="312"/>
      <c r="J1568" s="351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0"/>
      <c r="H1569" s="311"/>
      <c r="I1569" s="312"/>
      <c r="J1569" s="351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0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0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0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0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0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0"/>
      <c r="H1582" s="31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0"/>
      <c r="H1587" s="31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0"/>
      <c r="H1588" s="311"/>
      <c r="I1588" s="312"/>
      <c r="J1588" s="351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0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0"/>
      <c r="H1590" s="311"/>
      <c r="I1590" s="312"/>
      <c r="J1590" s="351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0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0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0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0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0"/>
      <c r="H1596" s="311"/>
      <c r="I1596" s="312"/>
      <c r="J1596" s="351"/>
      <c r="K1596" s="69"/>
      <c r="L1596" s="317"/>
      <c r="M1596" s="116"/>
      <c r="N1596" s="317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0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0"/>
      <c r="H1598" s="311"/>
      <c r="I1598" s="312"/>
      <c r="J1598" s="351"/>
      <c r="K1598" s="69"/>
      <c r="L1598" s="317"/>
      <c r="M1598" s="116"/>
      <c r="N1598" s="317"/>
    </row>
    <row r="1599" spans="2:14" ht="15" x14ac:dyDescent="0.25">
      <c r="B1599" s="65"/>
      <c r="C1599" s="78"/>
      <c r="D1599" s="109"/>
      <c r="E1599" s="68"/>
      <c r="F1599" s="77"/>
      <c r="G1599" s="310"/>
      <c r="H1599" s="311"/>
      <c r="I1599" s="312"/>
      <c r="J1599" s="351"/>
      <c r="K1599" s="69"/>
      <c r="L1599" s="118"/>
      <c r="M1599" s="116"/>
      <c r="N1599" s="317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0"/>
      <c r="K1600" s="69"/>
      <c r="L1600" s="118"/>
      <c r="M1600" s="116"/>
      <c r="N1600" s="317"/>
    </row>
    <row r="1601" spans="2:14" ht="15" x14ac:dyDescent="0.25">
      <c r="B1601" s="65"/>
      <c r="C1601" s="78"/>
      <c r="D1601" s="109"/>
      <c r="E1601" s="68"/>
      <c r="F1601" s="77"/>
      <c r="G1601" s="310"/>
      <c r="H1601" s="311"/>
      <c r="I1601" s="312"/>
      <c r="J1601" s="351"/>
      <c r="K1601" s="69"/>
      <c r="L1601" s="317"/>
      <c r="M1601" s="116"/>
      <c r="N1601" s="317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7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0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0"/>
      <c r="H1605" s="311"/>
      <c r="I1605" s="312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0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0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0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0"/>
      <c r="H1610" s="123"/>
      <c r="I1610" s="107"/>
      <c r="J1610" s="350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0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0"/>
      <c r="H1613" s="311"/>
      <c r="I1613" s="312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0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0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317"/>
      <c r="M1620" s="116"/>
      <c r="N1620" s="317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0"/>
      <c r="K1621" s="69"/>
      <c r="L1621" s="118"/>
      <c r="M1621" s="116"/>
      <c r="N1621" s="317"/>
    </row>
    <row r="1622" spans="2:14" ht="15" x14ac:dyDescent="0.25">
      <c r="B1622" s="65"/>
      <c r="C1622" s="78"/>
      <c r="D1622" s="109"/>
      <c r="E1622" s="68"/>
      <c r="F1622" s="77"/>
      <c r="G1622" s="310"/>
      <c r="H1622" s="311"/>
      <c r="I1622" s="312"/>
      <c r="J1622" s="351"/>
      <c r="K1622" s="69"/>
      <c r="L1622" s="317"/>
      <c r="M1622" s="116"/>
      <c r="N1622" s="317"/>
    </row>
    <row r="1623" spans="2:14" ht="15" x14ac:dyDescent="0.25">
      <c r="B1623" s="65"/>
      <c r="C1623" s="78"/>
      <c r="D1623" s="109"/>
      <c r="E1623" s="68"/>
      <c r="F1623" s="77"/>
      <c r="G1623" s="310"/>
      <c r="H1623" s="311"/>
      <c r="I1623" s="312"/>
      <c r="J1623" s="351"/>
      <c r="K1623" s="69"/>
      <c r="L1623" s="317"/>
      <c r="M1623" s="116"/>
      <c r="N1623" s="317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0"/>
      <c r="K1624" s="69"/>
      <c r="L1624" s="317"/>
      <c r="M1624" s="116"/>
      <c r="N1624" s="317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0"/>
      <c r="K1625" s="69"/>
      <c r="L1625" s="118"/>
      <c r="M1625" s="116"/>
      <c r="N1625" s="317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0"/>
      <c r="K1626" s="69"/>
      <c r="L1626" s="118"/>
      <c r="M1626" s="116"/>
      <c r="N1626" s="317"/>
    </row>
    <row r="1627" spans="2:14" ht="15" x14ac:dyDescent="0.25">
      <c r="B1627" s="65"/>
      <c r="C1627" s="78"/>
      <c r="D1627" s="109"/>
      <c r="E1627" s="68"/>
      <c r="F1627" s="77"/>
      <c r="G1627" s="310"/>
      <c r="H1627" s="311"/>
      <c r="I1627" s="312"/>
      <c r="J1627" s="351"/>
      <c r="K1627" s="69"/>
      <c r="L1627" s="317"/>
      <c r="M1627" s="116"/>
      <c r="N1627" s="317"/>
    </row>
    <row r="1628" spans="2:14" ht="15" x14ac:dyDescent="0.25">
      <c r="B1628" s="65"/>
      <c r="C1628" s="78"/>
      <c r="D1628" s="109"/>
      <c r="E1628" s="68"/>
      <c r="F1628" s="77"/>
      <c r="G1628" s="310"/>
      <c r="H1628" s="311"/>
      <c r="I1628" s="312"/>
      <c r="J1628" s="351"/>
      <c r="K1628" s="69"/>
      <c r="L1628" s="317"/>
      <c r="M1628" s="116"/>
      <c r="N1628" s="318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0"/>
      <c r="K1629" s="69"/>
      <c r="L1629" s="120"/>
      <c r="M1629" s="116"/>
      <c r="N1629" s="318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0"/>
      <c r="K1630" s="69"/>
      <c r="L1630" s="120"/>
      <c r="M1630" s="116"/>
      <c r="N1630" s="318"/>
    </row>
    <row r="1631" spans="2:14" ht="15" x14ac:dyDescent="0.25">
      <c r="B1631" s="91"/>
      <c r="C1631" s="78"/>
      <c r="D1631" s="109"/>
      <c r="E1631" s="68"/>
      <c r="F1631" s="77"/>
      <c r="G1631" s="310"/>
      <c r="H1631" s="123"/>
      <c r="I1631" s="107"/>
      <c r="J1631" s="350"/>
      <c r="K1631" s="69"/>
      <c r="L1631" s="120"/>
      <c r="M1631" s="116"/>
      <c r="N1631" s="318"/>
    </row>
    <row r="1632" spans="2:14" ht="15" x14ac:dyDescent="0.25">
      <c r="B1632" s="65"/>
      <c r="C1632" s="78"/>
      <c r="D1632" s="109"/>
      <c r="E1632" s="68"/>
      <c r="F1632" s="77"/>
      <c r="G1632" s="310"/>
      <c r="H1632" s="311"/>
      <c r="I1632" s="312"/>
      <c r="J1632" s="351"/>
      <c r="K1632" s="69"/>
      <c r="L1632" s="317"/>
      <c r="M1632" s="116"/>
      <c r="N1632" s="318"/>
    </row>
    <row r="1633" spans="2:14" ht="15" x14ac:dyDescent="0.25">
      <c r="B1633" s="65"/>
      <c r="C1633" s="78"/>
      <c r="D1633" s="109"/>
      <c r="E1633" s="68"/>
      <c r="F1633" s="77"/>
      <c r="G1633" s="310"/>
      <c r="H1633" s="311"/>
      <c r="I1633" s="312"/>
      <c r="J1633" s="351"/>
      <c r="K1633" s="69"/>
      <c r="L1633" s="317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0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0"/>
      <c r="H1636" s="123"/>
      <c r="I1636" s="107"/>
      <c r="J1636" s="350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0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0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0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0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0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0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0"/>
      <c r="H1647" s="311"/>
      <c r="I1647" s="312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0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0"/>
      <c r="H1649" s="123"/>
      <c r="I1649" s="107"/>
      <c r="J1649" s="350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0"/>
      <c r="K1651" s="69"/>
      <c r="L1651" s="317"/>
      <c r="M1651" s="116"/>
      <c r="N1651" s="318"/>
    </row>
    <row r="1652" spans="2:14" ht="15" x14ac:dyDescent="0.25">
      <c r="B1652" s="37"/>
      <c r="C1652" s="78"/>
      <c r="D1652" s="109"/>
      <c r="E1652" s="68"/>
      <c r="F1652" s="77"/>
      <c r="G1652" s="310"/>
      <c r="H1652" s="123"/>
      <c r="I1652" s="107"/>
      <c r="J1652" s="350"/>
      <c r="K1652" s="69"/>
      <c r="L1652" s="118"/>
      <c r="M1652" s="116"/>
      <c r="N1652" s="318"/>
    </row>
    <row r="1653" spans="2:14" ht="15" x14ac:dyDescent="0.25">
      <c r="B1653" s="37"/>
      <c r="C1653" s="78"/>
      <c r="D1653" s="109"/>
      <c r="E1653" s="68"/>
      <c r="F1653" s="77"/>
      <c r="G1653" s="310"/>
      <c r="H1653" s="311"/>
      <c r="I1653" s="312"/>
      <c r="J1653" s="351"/>
      <c r="K1653" s="69"/>
      <c r="L1653" s="317"/>
      <c r="M1653" s="116"/>
      <c r="N1653" s="318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0"/>
      <c r="K1654" s="69"/>
      <c r="L1654" s="118"/>
      <c r="M1654" s="116"/>
      <c r="N1654" s="318"/>
    </row>
    <row r="1655" spans="2:14" ht="15" x14ac:dyDescent="0.25">
      <c r="B1655" s="65"/>
      <c r="C1655" s="78"/>
      <c r="D1655" s="109"/>
      <c r="E1655" s="68"/>
      <c r="F1655" s="77"/>
      <c r="G1655" s="310"/>
      <c r="H1655" s="311"/>
      <c r="I1655" s="312"/>
      <c r="J1655" s="351"/>
      <c r="K1655" s="69"/>
      <c r="L1655" s="317"/>
      <c r="M1655" s="116"/>
      <c r="N1655" s="318"/>
    </row>
    <row r="1656" spans="2:14" ht="15" x14ac:dyDescent="0.25">
      <c r="B1656" s="65"/>
      <c r="C1656" s="78"/>
      <c r="D1656" s="109"/>
      <c r="E1656" s="68"/>
      <c r="F1656" s="77"/>
      <c r="G1656" s="310"/>
      <c r="H1656" s="311"/>
      <c r="I1656" s="312"/>
      <c r="J1656" s="351"/>
      <c r="K1656" s="69"/>
      <c r="L1656" s="317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0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0"/>
      <c r="H1659" s="311"/>
      <c r="I1659" s="312"/>
      <c r="J1659" s="351"/>
      <c r="K1659" s="69"/>
      <c r="L1659" s="317"/>
      <c r="M1659" s="116"/>
      <c r="N1659" s="318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0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0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0"/>
      <c r="K1662" s="69"/>
      <c r="L1662" s="317"/>
      <c r="M1662" s="116"/>
      <c r="N1662" s="318"/>
    </row>
    <row r="1663" spans="2:14" ht="15" x14ac:dyDescent="0.25">
      <c r="B1663" s="65"/>
      <c r="C1663" s="78"/>
      <c r="D1663" s="109"/>
      <c r="E1663" s="68"/>
      <c r="F1663" s="77"/>
      <c r="G1663" s="310"/>
      <c r="H1663" s="311"/>
      <c r="I1663" s="312"/>
      <c r="J1663" s="351"/>
      <c r="K1663" s="69"/>
      <c r="L1663" s="317"/>
      <c r="M1663" s="116"/>
      <c r="N1663" s="318"/>
    </row>
    <row r="1664" spans="2:14" ht="15" x14ac:dyDescent="0.25">
      <c r="B1664" s="65"/>
      <c r="C1664" s="78"/>
      <c r="D1664" s="109"/>
      <c r="E1664" s="68"/>
      <c r="F1664" s="77"/>
      <c r="G1664" s="310"/>
      <c r="H1664" s="311"/>
      <c r="I1664" s="312"/>
      <c r="J1664" s="351"/>
      <c r="K1664" s="69"/>
      <c r="L1664" s="317"/>
      <c r="M1664" s="116"/>
      <c r="N1664" s="318"/>
    </row>
    <row r="1665" spans="2:14" ht="15" x14ac:dyDescent="0.25">
      <c r="B1665" s="65"/>
      <c r="C1665" s="78"/>
      <c r="D1665" s="109"/>
      <c r="E1665" s="68"/>
      <c r="F1665" s="77"/>
      <c r="G1665" s="310"/>
      <c r="H1665" s="311"/>
      <c r="I1665" s="312"/>
      <c r="J1665" s="351"/>
      <c r="K1665" s="69"/>
      <c r="L1665" s="317"/>
      <c r="M1665" s="116"/>
      <c r="N1665" s="318"/>
    </row>
    <row r="1666" spans="2:14" ht="15" x14ac:dyDescent="0.25">
      <c r="B1666" s="65"/>
      <c r="C1666" s="78"/>
      <c r="D1666" s="109"/>
      <c r="E1666" s="68"/>
      <c r="F1666" s="77"/>
      <c r="G1666" s="310"/>
      <c r="H1666" s="311"/>
      <c r="I1666" s="312"/>
      <c r="J1666" s="351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0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0"/>
      <c r="K1670" s="69"/>
      <c r="L1670" s="1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0"/>
      <c r="K1671" s="69"/>
      <c r="L1671" s="1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0"/>
      <c r="K1672" s="114"/>
      <c r="L1672" s="118"/>
      <c r="M1672" s="117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0"/>
      <c r="K1674" s="69"/>
      <c r="L1674" s="118"/>
      <c r="M1674" s="116"/>
      <c r="N1674" s="318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0"/>
      <c r="K1676" s="69"/>
      <c r="L1676" s="118"/>
      <c r="M1676" s="116"/>
      <c r="N1676" s="318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8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8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317"/>
      <c r="M1680" s="116"/>
      <c r="N1680" s="318"/>
    </row>
    <row r="1681" spans="2:14" ht="15" x14ac:dyDescent="0.25">
      <c r="B1681" s="91"/>
      <c r="C1681" s="78"/>
      <c r="D1681" s="109"/>
      <c r="E1681" s="68"/>
      <c r="F1681" s="77"/>
      <c r="G1681" s="310"/>
      <c r="H1681" s="311"/>
      <c r="I1681" s="312"/>
      <c r="J1681" s="351"/>
      <c r="K1681" s="69"/>
      <c r="L1681" s="317"/>
      <c r="M1681" s="116"/>
      <c r="N1681" s="318"/>
    </row>
    <row r="1682" spans="2:14" ht="15" x14ac:dyDescent="0.25">
      <c r="B1682" s="91"/>
      <c r="C1682" s="78"/>
      <c r="D1682" s="109"/>
      <c r="E1682" s="68"/>
      <c r="F1682" s="77"/>
      <c r="G1682" s="310"/>
      <c r="H1682" s="311"/>
      <c r="I1682" s="312"/>
      <c r="J1682" s="351"/>
      <c r="K1682" s="69"/>
      <c r="L1682" s="317"/>
      <c r="M1682" s="116"/>
      <c r="N1682" s="318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0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0"/>
      <c r="K1684" s="69"/>
      <c r="L1684" s="118"/>
      <c r="M1684" s="116"/>
      <c r="N1684" s="318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0"/>
      <c r="K1685" s="69"/>
      <c r="L1685" s="118"/>
      <c r="M1685" s="116"/>
      <c r="N1685" s="318"/>
    </row>
    <row r="1686" spans="2:14" ht="15" x14ac:dyDescent="0.25">
      <c r="B1686" s="65"/>
      <c r="C1686" s="78"/>
      <c r="D1686" s="109"/>
      <c r="E1686" s="68"/>
      <c r="F1686" s="77"/>
      <c r="G1686" s="310"/>
      <c r="H1686" s="311"/>
      <c r="I1686" s="312"/>
      <c r="J1686" s="351"/>
      <c r="K1686" s="69"/>
      <c r="L1686" s="317"/>
      <c r="M1686" s="116"/>
      <c r="N1686" s="318"/>
    </row>
    <row r="1687" spans="2:14" ht="15" x14ac:dyDescent="0.25">
      <c r="B1687" s="65"/>
      <c r="C1687" s="78"/>
      <c r="D1687" s="109"/>
      <c r="E1687" s="68"/>
      <c r="F1687" s="77"/>
      <c r="G1687" s="310"/>
      <c r="H1687" s="311"/>
      <c r="I1687" s="312"/>
      <c r="J1687" s="351"/>
      <c r="K1687" s="69"/>
      <c r="L1687" s="317"/>
      <c r="M1687" s="116"/>
      <c r="N1687" s="318"/>
    </row>
    <row r="1688" spans="2:14" ht="15" x14ac:dyDescent="0.25">
      <c r="B1688" s="65"/>
      <c r="C1688" s="78"/>
      <c r="D1688" s="109"/>
      <c r="E1688" s="68"/>
      <c r="F1688" s="77"/>
      <c r="G1688" s="310"/>
      <c r="H1688" s="311"/>
      <c r="I1688" s="312"/>
      <c r="J1688" s="351"/>
      <c r="K1688" s="69"/>
      <c r="L1688" s="216"/>
      <c r="M1688" s="116"/>
      <c r="N1688" s="318"/>
    </row>
    <row r="1689" spans="2:14" ht="15" x14ac:dyDescent="0.25">
      <c r="B1689" s="65"/>
      <c r="C1689" s="78"/>
      <c r="D1689" s="109"/>
      <c r="E1689" s="68"/>
      <c r="F1689" s="77"/>
      <c r="G1689" s="310"/>
      <c r="H1689" s="311"/>
      <c r="I1689" s="312"/>
      <c r="J1689" s="351"/>
      <c r="K1689" s="69"/>
      <c r="L1689" s="216"/>
      <c r="M1689" s="82"/>
      <c r="N1689" s="318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0"/>
      <c r="K1690" s="69"/>
      <c r="L1690" s="84"/>
      <c r="M1690" s="82"/>
      <c r="N1690" s="318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0"/>
      <c r="K1691" s="69"/>
      <c r="L1691" s="84"/>
      <c r="M1691" s="82"/>
      <c r="N1691" s="318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0"/>
      <c r="K1692" s="69"/>
      <c r="L1692" s="84"/>
      <c r="M1692" s="82"/>
      <c r="N1692" s="318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0"/>
      <c r="K1693" s="69"/>
      <c r="L1693" s="84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78"/>
      <c r="D1695" s="100"/>
      <c r="E1695" s="101"/>
      <c r="F1695" s="77"/>
      <c r="G1695" s="310"/>
      <c r="H1695" s="320"/>
      <c r="I1695" s="107"/>
      <c r="J1695" s="350"/>
      <c r="K1695" s="69"/>
      <c r="L1695" s="84"/>
      <c r="M1695" s="82"/>
      <c r="N1695" s="318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0"/>
      <c r="K1696" s="69"/>
      <c r="L1696" s="84"/>
      <c r="M1696" s="82"/>
      <c r="N1696" s="318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0"/>
      <c r="K1697" s="69"/>
      <c r="L1697" s="84"/>
      <c r="M1697" s="82"/>
      <c r="N1697" s="318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65"/>
      <c r="C1699" s="78"/>
      <c r="D1699" s="100"/>
      <c r="E1699" s="101"/>
      <c r="F1699" s="77"/>
      <c r="G1699" s="310"/>
      <c r="H1699" s="320"/>
      <c r="I1699" s="312"/>
      <c r="J1699" s="351"/>
      <c r="K1699" s="69"/>
      <c r="L1699" s="84"/>
      <c r="M1699" s="82"/>
      <c r="N1699" s="318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0"/>
      <c r="K1700" s="69"/>
      <c r="L1700" s="84"/>
      <c r="M1700" s="82"/>
      <c r="N1700" s="318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0"/>
      <c r="K1701" s="69"/>
      <c r="L1701" s="84"/>
      <c r="M1701" s="82"/>
      <c r="N1701" s="318"/>
    </row>
    <row r="1702" spans="2:14" ht="15" x14ac:dyDescent="0.25">
      <c r="B1702" s="65"/>
      <c r="C1702" s="78"/>
      <c r="D1702" s="100"/>
      <c r="E1702" s="101"/>
      <c r="F1702" s="77"/>
      <c r="G1702" s="310"/>
      <c r="H1702" s="320"/>
      <c r="I1702" s="312"/>
      <c r="J1702" s="351"/>
      <c r="K1702" s="69"/>
      <c r="L1702" s="84"/>
      <c r="M1702" s="82"/>
      <c r="N1702" s="318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0"/>
      <c r="K1703" s="69"/>
      <c r="L1703" s="321"/>
      <c r="M1703" s="82"/>
      <c r="N1703" s="318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0"/>
      <c r="K1704" s="69"/>
      <c r="L1704" s="84"/>
      <c r="M1704" s="82"/>
      <c r="N1704" s="318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0"/>
      <c r="K1705" s="69"/>
      <c r="L1705" s="321"/>
      <c r="M1705" s="82"/>
      <c r="N1705" s="318"/>
    </row>
    <row r="1706" spans="2:14" ht="15" x14ac:dyDescent="0.25">
      <c r="B1706" s="65"/>
      <c r="C1706" s="78"/>
      <c r="D1706" s="100"/>
      <c r="E1706" s="101"/>
      <c r="F1706" s="77"/>
      <c r="G1706" s="310"/>
      <c r="H1706" s="320"/>
      <c r="I1706" s="312"/>
      <c r="J1706" s="351"/>
      <c r="K1706" s="69"/>
      <c r="L1706" s="321"/>
      <c r="M1706" s="82"/>
      <c r="N1706" s="318"/>
    </row>
    <row r="1707" spans="2:14" ht="15" x14ac:dyDescent="0.25">
      <c r="B1707" s="65"/>
      <c r="C1707" s="78"/>
      <c r="D1707" s="100"/>
      <c r="E1707" s="101"/>
      <c r="F1707" s="77"/>
      <c r="G1707" s="310"/>
      <c r="H1707" s="320"/>
      <c r="I1707" s="312"/>
      <c r="J1707" s="351"/>
      <c r="K1707" s="69"/>
      <c r="L1707" s="321"/>
      <c r="M1707" s="82"/>
      <c r="N1707" s="322"/>
    </row>
    <row r="1708" spans="2:14" ht="15" x14ac:dyDescent="0.25">
      <c r="B1708" s="65"/>
      <c r="C1708" s="78"/>
      <c r="D1708" s="100"/>
      <c r="E1708" s="101"/>
      <c r="F1708" s="77"/>
      <c r="G1708" s="310"/>
      <c r="H1708" s="320"/>
      <c r="I1708" s="312"/>
      <c r="J1708" s="351"/>
      <c r="K1708" s="69"/>
      <c r="L1708" s="321"/>
      <c r="M1708" s="82"/>
      <c r="N1708" s="322"/>
    </row>
    <row r="1709" spans="2:14" ht="15" x14ac:dyDescent="0.25">
      <c r="B1709" s="65"/>
      <c r="C1709" s="78"/>
      <c r="D1709" s="100"/>
      <c r="E1709" s="101"/>
      <c r="F1709" s="77"/>
      <c r="G1709" s="310"/>
      <c r="H1709" s="320"/>
      <c r="I1709" s="312"/>
      <c r="J1709" s="351"/>
      <c r="K1709" s="69"/>
      <c r="L1709" s="321"/>
      <c r="M1709" s="82"/>
      <c r="N1709" s="322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107"/>
      <c r="J1710" s="350"/>
      <c r="K1710" s="69"/>
      <c r="L1710" s="84"/>
      <c r="M1710" s="82"/>
      <c r="N1710" s="322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0"/>
      <c r="K1711" s="69"/>
      <c r="L1711" s="84"/>
      <c r="M1711" s="82"/>
      <c r="N1711" s="322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0"/>
      <c r="K1712" s="69"/>
      <c r="L1712" s="84"/>
      <c r="M1712" s="82"/>
      <c r="N1712" s="322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0"/>
      <c r="K1713" s="69"/>
      <c r="L1713" s="84"/>
      <c r="M1713" s="82"/>
      <c r="N1713" s="322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78"/>
      <c r="D1717" s="100"/>
      <c r="E1717" s="101"/>
      <c r="F1717" s="77"/>
      <c r="G1717" s="310"/>
      <c r="H1717" s="320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0"/>
      <c r="K1719" s="70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0"/>
      <c r="K1720" s="69"/>
      <c r="L1720" s="84"/>
      <c r="M1720" s="82"/>
      <c r="N1720" s="322"/>
    </row>
    <row r="1721" spans="2:14" ht="15" x14ac:dyDescent="0.25">
      <c r="B1721" s="91"/>
      <c r="C1721" s="78"/>
      <c r="D1721" s="100"/>
      <c r="E1721" s="101"/>
      <c r="F1721" s="68"/>
      <c r="G1721" s="310"/>
      <c r="H1721" s="320"/>
      <c r="I1721" s="107"/>
      <c r="J1721" s="350"/>
      <c r="K1721" s="69"/>
      <c r="L1721" s="84"/>
      <c r="M1721" s="82"/>
      <c r="N1721" s="322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0"/>
      <c r="K1722" s="69"/>
      <c r="L1722" s="321"/>
      <c r="M1722" s="82"/>
      <c r="N1722" s="322"/>
    </row>
    <row r="1723" spans="2:14" ht="15" x14ac:dyDescent="0.25">
      <c r="B1723" s="65"/>
      <c r="C1723" s="78"/>
      <c r="D1723" s="100"/>
      <c r="E1723" s="101"/>
      <c r="F1723" s="77"/>
      <c r="G1723" s="310"/>
      <c r="H1723" s="320"/>
      <c r="I1723" s="312"/>
      <c r="J1723" s="351"/>
      <c r="K1723" s="69"/>
      <c r="L1723" s="321"/>
      <c r="M1723" s="82"/>
      <c r="N1723" s="322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0"/>
      <c r="K1724" s="69"/>
      <c r="L1724" s="84"/>
      <c r="M1724" s="82"/>
      <c r="N1724" s="322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0"/>
      <c r="K1725" s="69"/>
      <c r="L1725" s="84"/>
      <c r="M1725" s="82"/>
      <c r="N1725" s="322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0"/>
      <c r="K1726" s="69"/>
      <c r="L1726" s="321"/>
      <c r="M1726" s="82"/>
      <c r="N1726" s="322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0"/>
      <c r="K1727" s="69"/>
      <c r="L1727" s="321"/>
      <c r="M1727" s="82"/>
      <c r="N1727" s="322"/>
    </row>
    <row r="1728" spans="2:14" x14ac:dyDescent="0.2">
      <c r="B1728" s="65"/>
      <c r="C1728" s="78"/>
      <c r="D1728" s="100"/>
      <c r="E1728" s="101"/>
      <c r="F1728" s="77"/>
      <c r="G1728" s="310"/>
      <c r="H1728" s="320"/>
      <c r="I1728" s="323"/>
      <c r="J1728" s="353"/>
      <c r="K1728" s="69"/>
      <c r="L1728" s="84"/>
      <c r="M1728" s="82"/>
      <c r="N1728" s="322"/>
    </row>
    <row r="1729" spans="2:14" x14ac:dyDescent="0.2">
      <c r="B1729" s="65"/>
      <c r="C1729" s="78"/>
      <c r="D1729" s="100"/>
      <c r="E1729" s="101"/>
      <c r="F1729" s="77"/>
      <c r="G1729" s="310"/>
      <c r="H1729" s="320"/>
      <c r="I1729" s="323"/>
      <c r="J1729" s="353"/>
      <c r="K1729" s="69"/>
      <c r="L1729" s="84"/>
      <c r="M1729" s="82"/>
      <c r="N1729" s="322"/>
    </row>
    <row r="1730" spans="2:14" ht="15" x14ac:dyDescent="0.25">
      <c r="B1730" s="65"/>
      <c r="C1730" s="78"/>
      <c r="D1730" s="100"/>
      <c r="E1730" s="101"/>
      <c r="F1730" s="77"/>
      <c r="G1730" s="310"/>
      <c r="H1730" s="320"/>
      <c r="I1730" s="312"/>
      <c r="J1730" s="351"/>
      <c r="K1730" s="69"/>
      <c r="L1730" s="321"/>
      <c r="M1730" s="82"/>
      <c r="N1730" s="322"/>
    </row>
    <row r="1731" spans="2:14" ht="15" x14ac:dyDescent="0.25">
      <c r="B1731" s="65"/>
      <c r="C1731" s="78"/>
      <c r="D1731" s="100"/>
      <c r="E1731" s="102"/>
      <c r="F1731" s="77"/>
      <c r="G1731" s="324"/>
      <c r="H1731" s="320"/>
      <c r="I1731" s="312"/>
      <c r="J1731" s="351"/>
      <c r="K1731" s="69"/>
      <c r="L1731" s="321"/>
      <c r="M1731" s="82"/>
      <c r="N1731" s="322"/>
    </row>
    <row r="1732" spans="2:14" ht="15" x14ac:dyDescent="0.25">
      <c r="B1732" s="65"/>
      <c r="C1732" s="78"/>
      <c r="D1732" s="97"/>
      <c r="E1732" s="67"/>
      <c r="F1732" s="77"/>
      <c r="G1732" s="324"/>
      <c r="H1732" s="320"/>
      <c r="I1732" s="312"/>
      <c r="J1732" s="351"/>
      <c r="K1732" s="69"/>
      <c r="L1732" s="321"/>
      <c r="M1732" s="82"/>
      <c r="N1732" s="322"/>
    </row>
    <row r="1733" spans="2:14" ht="15" x14ac:dyDescent="0.25">
      <c r="B1733" s="65"/>
      <c r="C1733" s="78"/>
      <c r="D1733" s="97"/>
      <c r="E1733" s="67"/>
      <c r="F1733" s="77"/>
      <c r="G1733" s="324"/>
      <c r="H1733" s="320"/>
      <c r="I1733" s="312"/>
      <c r="J1733" s="351"/>
      <c r="K1733" s="69"/>
      <c r="L1733" s="321"/>
      <c r="M1733" s="82"/>
      <c r="N1733" s="322"/>
    </row>
    <row r="1734" spans="2:14" ht="15" x14ac:dyDescent="0.25">
      <c r="B1734" s="65"/>
      <c r="C1734" s="78"/>
      <c r="D1734" s="97"/>
      <c r="E1734" s="67"/>
      <c r="F1734" s="77"/>
      <c r="G1734" s="324"/>
      <c r="H1734" s="320"/>
      <c r="I1734" s="325"/>
      <c r="J1734" s="354"/>
      <c r="K1734" s="69"/>
      <c r="L1734" s="321"/>
      <c r="M1734" s="82"/>
      <c r="N1734" s="322"/>
    </row>
    <row r="1735" spans="2:14" ht="15" x14ac:dyDescent="0.25">
      <c r="B1735" s="65"/>
      <c r="C1735" s="78"/>
      <c r="D1735" s="97"/>
      <c r="E1735" s="67"/>
      <c r="F1735" s="77"/>
      <c r="G1735" s="324"/>
      <c r="H1735" s="320"/>
      <c r="I1735" s="325"/>
      <c r="J1735" s="354"/>
      <c r="K1735" s="69"/>
      <c r="L1735" s="321"/>
      <c r="M1735" s="82"/>
      <c r="N1735" s="322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5"/>
      <c r="K1736" s="80"/>
      <c r="L1736" s="84"/>
      <c r="M1736" s="82"/>
      <c r="N1736" s="326"/>
    </row>
    <row r="1737" spans="2:14" ht="15" x14ac:dyDescent="0.25">
      <c r="B1737" s="65"/>
      <c r="C1737" s="78"/>
      <c r="D1737" s="90"/>
      <c r="E1737" s="67"/>
      <c r="F1737" s="77"/>
      <c r="G1737" s="327"/>
      <c r="H1737" s="320"/>
      <c r="I1737" s="325"/>
      <c r="J1737" s="354"/>
      <c r="K1737" s="69"/>
      <c r="L1737" s="321"/>
      <c r="M1737" s="82"/>
      <c r="N1737" s="326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6"/>
      <c r="K1738" s="80"/>
      <c r="L1738" s="84"/>
      <c r="M1738" s="82"/>
      <c r="N1738" s="326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6"/>
      <c r="K1739" s="69"/>
      <c r="L1739" s="84"/>
      <c r="M1739" s="82"/>
      <c r="N1739" s="326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5"/>
      <c r="K1740" s="69"/>
      <c r="L1740" s="84"/>
      <c r="M1740" s="82"/>
      <c r="N1740" s="326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5"/>
      <c r="K1741" s="69"/>
      <c r="L1741" s="84"/>
      <c r="M1741" s="82"/>
      <c r="N1741" s="326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6"/>
      <c r="K1742" s="80"/>
      <c r="L1742" s="84"/>
      <c r="M1742" s="82"/>
      <c r="N1742" s="326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6"/>
      <c r="K1743" s="69"/>
      <c r="L1743" s="84"/>
      <c r="M1743" s="82"/>
      <c r="N1743" s="326"/>
    </row>
    <row r="1744" spans="2:14" ht="15" x14ac:dyDescent="0.25">
      <c r="B1744" s="91"/>
      <c r="C1744" s="78"/>
      <c r="D1744" s="90"/>
      <c r="E1744" s="67"/>
      <c r="F1744" s="77"/>
      <c r="G1744" s="327"/>
      <c r="H1744" s="320"/>
      <c r="I1744" s="325"/>
      <c r="J1744" s="354"/>
      <c r="K1744" s="69"/>
      <c r="L1744" s="84"/>
      <c r="M1744" s="82"/>
      <c r="N1744" s="326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5"/>
      <c r="K1745" s="69"/>
      <c r="L1745" s="84"/>
      <c r="M1745" s="82"/>
      <c r="N1745" s="326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6"/>
      <c r="K1746" s="69"/>
      <c r="L1746" s="84"/>
      <c r="M1746" s="82"/>
      <c r="N1746" s="326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6"/>
      <c r="K1747" s="80"/>
      <c r="L1747" s="84"/>
      <c r="M1747" s="82"/>
      <c r="N1747" s="326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5"/>
      <c r="K1748" s="69"/>
      <c r="L1748" s="84"/>
      <c r="M1748" s="82"/>
      <c r="N1748" s="322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6"/>
      <c r="K1749" s="69"/>
      <c r="L1749" s="321"/>
      <c r="M1749" s="82"/>
      <c r="N1749" s="322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6"/>
      <c r="K1750" s="69"/>
      <c r="L1750" s="84"/>
      <c r="M1750" s="82"/>
      <c r="N1750" s="322"/>
    </row>
    <row r="1751" spans="2:14" ht="15" x14ac:dyDescent="0.25">
      <c r="B1751" s="65"/>
      <c r="C1751" s="78"/>
      <c r="D1751" s="90"/>
      <c r="E1751" s="67"/>
      <c r="F1751" s="77"/>
      <c r="G1751" s="327"/>
      <c r="H1751" s="320"/>
      <c r="I1751" s="325"/>
      <c r="J1751" s="354"/>
      <c r="K1751" s="69"/>
      <c r="L1751" s="321"/>
      <c r="M1751" s="82"/>
      <c r="N1751" s="322"/>
    </row>
    <row r="1752" spans="2:14" ht="15" x14ac:dyDescent="0.25">
      <c r="B1752" s="37"/>
      <c r="C1752" s="52"/>
      <c r="D1752" s="24"/>
      <c r="E1752" s="25"/>
      <c r="F1752" s="26"/>
      <c r="G1752" s="26"/>
      <c r="H1752" s="328"/>
      <c r="I1752" s="41"/>
      <c r="J1752" s="357"/>
      <c r="K1752" s="27"/>
      <c r="L1752" s="329"/>
      <c r="M1752" s="34"/>
      <c r="N1752" s="330"/>
    </row>
    <row r="1753" spans="2:14" ht="15" x14ac:dyDescent="0.25">
      <c r="B1753" s="37"/>
      <c r="C1753" s="53"/>
      <c r="D1753" s="24"/>
      <c r="E1753" s="25"/>
      <c r="F1753" s="26"/>
      <c r="G1753" s="324"/>
      <c r="H1753" s="331"/>
      <c r="I1753" s="332"/>
      <c r="J1753" s="358"/>
      <c r="K1753" s="27"/>
      <c r="L1753" s="33"/>
      <c r="M1753" s="34"/>
      <c r="N1753" s="330"/>
    </row>
    <row r="1754" spans="2:14" ht="15" x14ac:dyDescent="0.25">
      <c r="B1754" s="37"/>
      <c r="C1754" s="53"/>
      <c r="D1754" s="24"/>
      <c r="E1754" s="25"/>
      <c r="F1754" s="26"/>
      <c r="G1754" s="324"/>
      <c r="H1754" s="331"/>
      <c r="I1754" s="332"/>
      <c r="J1754" s="358"/>
      <c r="K1754" s="27"/>
      <c r="L1754" s="329"/>
      <c r="M1754" s="34"/>
      <c r="N1754" s="330"/>
    </row>
    <row r="1755" spans="2:14" ht="15" x14ac:dyDescent="0.25">
      <c r="B1755" s="37"/>
      <c r="C1755" s="53"/>
      <c r="D1755" s="24"/>
      <c r="E1755" s="25"/>
      <c r="F1755" s="26"/>
      <c r="G1755" s="324"/>
      <c r="H1755" s="331"/>
      <c r="I1755" s="332"/>
      <c r="J1755" s="358"/>
      <c r="K1755" s="27"/>
      <c r="L1755" s="329"/>
      <c r="M1755" s="34"/>
      <c r="N1755" s="330"/>
    </row>
    <row r="1756" spans="2:14" ht="15" x14ac:dyDescent="0.25">
      <c r="B1756" s="37"/>
      <c r="C1756" s="53"/>
      <c r="D1756" s="24"/>
      <c r="E1756" s="25"/>
      <c r="F1756" s="26"/>
      <c r="G1756" s="324"/>
      <c r="H1756" s="331"/>
      <c r="I1756" s="332"/>
      <c r="J1756" s="358"/>
      <c r="K1756" s="27"/>
      <c r="L1756" s="329"/>
      <c r="M1756" s="34"/>
      <c r="N1756" s="330"/>
    </row>
    <row r="1757" spans="2:14" ht="15" x14ac:dyDescent="0.25">
      <c r="B1757" s="30"/>
      <c r="C1757" s="52"/>
      <c r="D1757" s="24"/>
      <c r="E1757" s="25"/>
      <c r="F1757" s="26"/>
      <c r="G1757" s="26"/>
      <c r="H1757" s="328"/>
      <c r="I1757" s="41"/>
      <c r="J1757" s="357"/>
      <c r="K1757" s="27"/>
      <c r="L1757" s="329"/>
      <c r="M1757" s="34"/>
      <c r="N1757" s="330"/>
    </row>
    <row r="1758" spans="2:14" ht="15" x14ac:dyDescent="0.25">
      <c r="B1758" s="37"/>
      <c r="C1758" s="53"/>
      <c r="D1758" s="24"/>
      <c r="E1758" s="25"/>
      <c r="F1758" s="26"/>
      <c r="G1758" s="324"/>
      <c r="H1758" s="331"/>
      <c r="I1758" s="332"/>
      <c r="J1758" s="358"/>
      <c r="K1758" s="27"/>
      <c r="L1758" s="329"/>
      <c r="M1758" s="34"/>
      <c r="N1758" s="330"/>
    </row>
    <row r="1759" spans="2:14" ht="15" x14ac:dyDescent="0.25">
      <c r="B1759" s="37"/>
      <c r="C1759" s="53"/>
      <c r="D1759" s="24"/>
      <c r="E1759" s="25"/>
      <c r="F1759" s="26"/>
      <c r="G1759" s="324"/>
      <c r="H1759" s="331"/>
      <c r="I1759" s="332"/>
      <c r="J1759" s="358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8"/>
      <c r="I1762" s="41"/>
      <c r="J1762" s="357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8"/>
      <c r="I1763" s="41"/>
      <c r="J1763" s="357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8"/>
      <c r="I1764" s="41"/>
      <c r="J1764" s="357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8"/>
      <c r="I1765" s="41"/>
      <c r="J1765" s="357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29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8"/>
      <c r="I1772" s="42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8"/>
      <c r="I1773" s="41"/>
      <c r="J1773" s="357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4"/>
      <c r="H1775" s="331"/>
      <c r="I1775" s="332"/>
      <c r="J1775" s="358"/>
      <c r="K1775" s="27"/>
      <c r="L1775" s="329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8"/>
      <c r="I1776" s="41"/>
      <c r="J1776" s="357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4"/>
      <c r="H1777" s="331"/>
      <c r="I1777" s="332"/>
      <c r="J1777" s="358"/>
      <c r="K1777" s="27"/>
      <c r="L1777" s="329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4"/>
      <c r="H1778" s="331"/>
      <c r="I1778" s="332"/>
      <c r="J1778" s="358"/>
      <c r="K1778" s="27"/>
      <c r="L1778" s="329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8"/>
      <c r="I1780" s="41"/>
      <c r="J1780" s="357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8"/>
      <c r="I1781" s="41"/>
      <c r="J1781" s="357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4"/>
      <c r="H1783" s="331"/>
      <c r="I1783" s="332"/>
      <c r="J1783" s="358"/>
      <c r="K1783" s="27"/>
      <c r="L1783" s="329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4"/>
      <c r="H1784" s="331"/>
      <c r="I1784" s="332"/>
      <c r="J1784" s="358"/>
      <c r="K1784" s="27"/>
      <c r="L1784" s="329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4"/>
      <c r="H1785" s="331"/>
      <c r="I1785" s="332"/>
      <c r="J1785" s="358"/>
      <c r="K1785" s="27"/>
      <c r="L1785" s="329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8"/>
      <c r="I1786" s="41"/>
      <c r="J1786" s="357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8"/>
      <c r="I1787" s="41"/>
      <c r="J1787" s="357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4"/>
      <c r="H1788" s="331"/>
      <c r="I1788" s="332"/>
      <c r="J1788" s="358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8"/>
      <c r="I1789" s="41"/>
      <c r="J1789" s="357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8"/>
      <c r="I1790" s="42"/>
      <c r="J1790" s="359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8"/>
      <c r="I1791" s="41"/>
      <c r="J1791" s="357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8"/>
      <c r="I1792" s="41"/>
      <c r="J1792" s="357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8"/>
      <c r="I1793" s="42"/>
      <c r="J1793" s="359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4"/>
      <c r="H1794" s="331"/>
      <c r="I1794" s="332"/>
      <c r="J1794" s="358"/>
      <c r="K1794" s="27"/>
      <c r="L1794" s="329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8"/>
      <c r="I1795" s="42"/>
      <c r="J1795" s="359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4"/>
      <c r="H1796" s="331"/>
      <c r="I1796" s="333"/>
      <c r="J1796" s="360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8"/>
      <c r="I1797" s="42"/>
      <c r="J1797" s="359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8"/>
      <c r="I1798" s="333"/>
      <c r="J1798" s="360"/>
      <c r="K1798" s="36"/>
      <c r="L1798" s="329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8"/>
      <c r="I1799" s="41"/>
      <c r="J1799" s="357"/>
      <c r="K1799" s="27"/>
      <c r="L1799" s="329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8"/>
      <c r="I1800" s="41"/>
      <c r="J1800" s="357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8"/>
      <c r="I1801" s="332"/>
      <c r="J1801" s="358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4"/>
      <c r="H1802" s="331"/>
      <c r="I1802" s="332"/>
      <c r="J1802" s="358"/>
      <c r="K1802" s="27"/>
      <c r="L1802" s="329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4"/>
      <c r="H1803" s="331"/>
      <c r="I1803" s="332"/>
      <c r="J1803" s="358"/>
      <c r="K1803" s="27"/>
      <c r="L1803" s="329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8"/>
      <c r="I1805" s="41"/>
      <c r="J1805" s="357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4"/>
      <c r="H1806" s="331"/>
      <c r="I1806" s="332"/>
      <c r="J1806" s="358"/>
      <c r="K1806" s="27"/>
      <c r="L1806" s="329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4"/>
      <c r="H1809" s="331"/>
      <c r="I1809" s="332"/>
      <c r="J1809" s="358"/>
      <c r="K1809" s="27"/>
      <c r="L1809" s="329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8"/>
      <c r="I1810" s="41"/>
      <c r="J1810" s="357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8"/>
      <c r="I1811" s="41"/>
      <c r="J1811" s="357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8"/>
      <c r="I1812" s="41"/>
      <c r="J1812" s="357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8"/>
      <c r="I1813" s="41"/>
      <c r="J1813" s="357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8"/>
      <c r="I1814" s="41"/>
      <c r="J1814" s="357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8"/>
      <c r="I1816" s="41"/>
      <c r="J1816" s="357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4"/>
      <c r="H1817" s="331"/>
      <c r="I1817" s="332"/>
      <c r="J1817" s="358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8"/>
      <c r="I1818" s="41"/>
      <c r="J1818" s="357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8"/>
      <c r="I1819" s="41"/>
      <c r="J1819" s="357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8"/>
      <c r="I1820" s="41"/>
      <c r="J1820" s="357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8"/>
      <c r="I1821" s="42"/>
      <c r="J1821" s="359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8"/>
      <c r="I1822" s="42"/>
      <c r="J1822" s="359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8"/>
      <c r="I1823" s="41"/>
      <c r="J1823" s="357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8"/>
      <c r="I1824" s="42"/>
      <c r="J1824" s="359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8"/>
      <c r="I1825" s="41"/>
      <c r="J1825" s="357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8"/>
      <c r="I1826" s="42"/>
      <c r="J1826" s="359"/>
      <c r="K1826" s="36"/>
      <c r="L1826" s="329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8"/>
      <c r="I1827" s="41"/>
      <c r="J1827" s="357"/>
      <c r="K1827" s="27"/>
      <c r="L1827" s="329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8"/>
      <c r="I1828" s="41"/>
      <c r="J1828" s="357"/>
      <c r="K1828" s="27"/>
      <c r="L1828" s="329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4"/>
      <c r="H1829" s="331"/>
      <c r="I1829" s="333"/>
      <c r="J1829" s="360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4"/>
      <c r="H1830" s="331"/>
      <c r="I1830" s="332"/>
      <c r="J1830" s="358"/>
      <c r="K1830" s="27"/>
      <c r="L1830" s="329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4"/>
      <c r="H1831" s="331"/>
      <c r="I1831" s="332"/>
      <c r="J1831" s="358"/>
      <c r="K1831" s="27"/>
      <c r="L1831" s="329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8"/>
      <c r="I1832" s="41"/>
      <c r="J1832" s="357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4"/>
      <c r="H1833" s="331"/>
      <c r="I1833" s="333"/>
      <c r="J1833" s="360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4"/>
      <c r="H1834" s="331"/>
      <c r="I1834" s="332"/>
      <c r="J1834" s="358"/>
      <c r="K1834" s="27"/>
      <c r="L1834" s="329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4"/>
      <c r="H1835" s="331"/>
      <c r="I1835" s="332"/>
      <c r="J1835" s="358"/>
      <c r="K1835" s="27"/>
      <c r="L1835" s="329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4"/>
      <c r="H1836" s="331"/>
      <c r="I1836" s="332"/>
      <c r="J1836" s="358"/>
      <c r="K1836" s="27"/>
      <c r="L1836" s="329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4"/>
      <c r="H1837" s="331"/>
      <c r="I1837" s="332"/>
      <c r="J1837" s="358"/>
      <c r="K1837" s="27"/>
      <c r="L1837" s="329"/>
      <c r="M1837" s="34"/>
      <c r="N1837" s="35"/>
    </row>
    <row r="1838" spans="2:14" ht="15" x14ac:dyDescent="0.25">
      <c r="B1838" s="37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8"/>
      <c r="I1839" s="41"/>
      <c r="J1839" s="357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8"/>
      <c r="I1840" s="41"/>
      <c r="J1840" s="357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4"/>
      <c r="H1841" s="331"/>
      <c r="I1841" s="332"/>
      <c r="J1841" s="358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8"/>
      <c r="I1842" s="42"/>
      <c r="J1842" s="359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8"/>
      <c r="I1843" s="42"/>
      <c r="J1843" s="359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8"/>
      <c r="I1844" s="42"/>
      <c r="J1844" s="359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8"/>
      <c r="I1845" s="41"/>
      <c r="J1845" s="357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8"/>
      <c r="I1846" s="42"/>
      <c r="J1846" s="359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4"/>
      <c r="H1847" s="331"/>
      <c r="I1847" s="332"/>
      <c r="J1847" s="358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8"/>
      <c r="I1848" s="41"/>
      <c r="J1848" s="357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8"/>
      <c r="I1849" s="333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8"/>
      <c r="I1850" s="41"/>
      <c r="J1850" s="357"/>
      <c r="K1850" s="27"/>
      <c r="L1850" s="329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8"/>
      <c r="I1851" s="41"/>
      <c r="J1851" s="357"/>
      <c r="K1851" s="27"/>
      <c r="L1851" s="329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8"/>
      <c r="I1852" s="42"/>
      <c r="J1852" s="359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8"/>
      <c r="I1853" s="42"/>
      <c r="J1853" s="359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4"/>
      <c r="H1854" s="331"/>
      <c r="I1854" s="332"/>
      <c r="J1854" s="358"/>
      <c r="K1854" s="27"/>
      <c r="L1854" s="329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4"/>
      <c r="H1855" s="331"/>
      <c r="I1855" s="332"/>
      <c r="J1855" s="358"/>
      <c r="K1855" s="27"/>
      <c r="L1855" s="329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4"/>
      <c r="H1856" s="331"/>
      <c r="I1856" s="332"/>
      <c r="J1856" s="358"/>
      <c r="K1856" s="27"/>
      <c r="L1856" s="329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8"/>
      <c r="I1857" s="41"/>
      <c r="J1857" s="357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8"/>
      <c r="I1858" s="41"/>
      <c r="J1858" s="357"/>
      <c r="K1858" s="27"/>
      <c r="L1858" s="329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4"/>
      <c r="H1859" s="331"/>
      <c r="I1859" s="332"/>
      <c r="J1859" s="358"/>
      <c r="K1859" s="27"/>
      <c r="L1859" s="329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4"/>
      <c r="H1860" s="331"/>
      <c r="I1860" s="332"/>
      <c r="J1860" s="358"/>
      <c r="K1860" s="27"/>
      <c r="L1860" s="329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4"/>
      <c r="H1861" s="331"/>
      <c r="I1861" s="332"/>
      <c r="J1861" s="358"/>
      <c r="K1861" s="27"/>
      <c r="L1861" s="329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8"/>
      <c r="I1862" s="42"/>
      <c r="J1862" s="359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8"/>
      <c r="I1863" s="42"/>
      <c r="J1863" s="359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8"/>
      <c r="I1864" s="42"/>
      <c r="J1864" s="359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8"/>
      <c r="I1865" s="41"/>
      <c r="J1865" s="357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6:E1175 E7:E44">
    <cfRule type="cellIs" dxfId="18" priority="170" operator="greaterThan">
      <formula>7</formula>
    </cfRule>
  </conditionalFormatting>
  <conditionalFormatting sqref="E1485:E4763">
    <cfRule type="cellIs" dxfId="17" priority="137" operator="greaterThan">
      <formula>7</formula>
    </cfRule>
  </conditionalFormatting>
  <conditionalFormatting sqref="I46:I1247 G46:G48 I7:I44">
    <cfRule type="cellIs" dxfId="16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5" priority="297748" operator="greaterThan">
      <formula>$H$45</formula>
    </cfRule>
  </conditionalFormatting>
  <conditionalFormatting sqref="L7:L1247">
    <cfRule type="top10" dxfId="14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7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2026-01-04T07:03:19Z</cp:lastPrinted>
  <dcterms:created xsi:type="dcterms:W3CDTF">2021-05-05T13:25:05Z</dcterms:created>
  <dcterms:modified xsi:type="dcterms:W3CDTF">2026-01-04T07:03:50Z</dcterms:modified>
</cp:coreProperties>
</file>