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3B3C41A-540C-4A7C-887A-07CCCAC70CA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Import!$B$6:$N$1851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Import!$B$1:$O$32</definedName>
    <definedName name="_xlnm.Print_Area" localSheetId="1">'Import (2)'!$B$1:$M$11</definedName>
    <definedName name="NativeTimeline_Fecha">#N/A</definedName>
  </definedNames>
  <calcPr calcId="191029"/>
  <pivotCaches>
    <pivotCache cacheId="8" r:id="rId6"/>
    <pivotCache cacheId="9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1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7" i="1"/>
  <c r="C31" i="1"/>
  <c r="G31" i="1"/>
  <c r="F31" i="1"/>
  <c r="E31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H16" i="1"/>
  <c r="H21" i="1"/>
  <c r="H8" i="1"/>
  <c r="H9" i="1"/>
  <c r="H24" i="1"/>
  <c r="H29" i="1"/>
  <c r="H12" i="1"/>
  <c r="H7" i="1"/>
  <c r="H22" i="1"/>
  <c r="H11" i="1"/>
  <c r="H17" i="1"/>
  <c r="H23" i="1"/>
  <c r="H18" i="1"/>
  <c r="H25" i="1"/>
  <c r="H26" i="1"/>
  <c r="H28" i="1"/>
  <c r="H30" i="1"/>
  <c r="H27" i="1"/>
  <c r="H10" i="1"/>
  <c r="H13" i="1"/>
  <c r="H19" i="1"/>
  <c r="H14" i="1"/>
  <c r="H20" i="1"/>
  <c r="H15" i="1"/>
  <c r="U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P31" i="1"/>
  <c r="R31" i="1" s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T45" i="1"/>
  <c r="Q45" i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D12" i="3"/>
  <c r="AP6" i="3"/>
  <c r="E12" i="3"/>
  <c r="H11" i="3"/>
  <c r="E13" i="3"/>
  <c r="I22" i="1" l="1"/>
  <c r="I16" i="1"/>
  <c r="I8" i="1"/>
  <c r="J8" i="1" s="1"/>
  <c r="I30" i="1"/>
  <c r="J30" i="1" s="1"/>
  <c r="I25" i="1"/>
  <c r="Q25" i="1" s="1"/>
  <c r="L25" i="1" s="1"/>
  <c r="I19" i="1"/>
  <c r="Q19" i="1" s="1"/>
  <c r="L19" i="1" s="1"/>
  <c r="I18" i="1"/>
  <c r="Q18" i="1" s="1"/>
  <c r="L18" i="1" s="1"/>
  <c r="I24" i="1"/>
  <c r="J24" i="1" s="1"/>
  <c r="I14" i="1"/>
  <c r="J14" i="1" s="1"/>
  <c r="I29" i="1"/>
  <c r="Q29" i="1" s="1"/>
  <c r="L29" i="1" s="1"/>
  <c r="I27" i="1"/>
  <c r="J27" i="1" s="1"/>
  <c r="I11" i="1"/>
  <c r="Q11" i="1" s="1"/>
  <c r="L11" i="1" s="1"/>
  <c r="I21" i="1"/>
  <c r="Q21" i="1" s="1"/>
  <c r="L21" i="1" s="1"/>
  <c r="N9" i="1"/>
  <c r="I15" i="1"/>
  <c r="J15" i="1" s="1"/>
  <c r="I13" i="1"/>
  <c r="Q13" i="1" s="1"/>
  <c r="L13" i="1" s="1"/>
  <c r="I28" i="1"/>
  <c r="Q28" i="1" s="1"/>
  <c r="L28" i="1" s="1"/>
  <c r="I23" i="1"/>
  <c r="J23" i="1" s="1"/>
  <c r="I7" i="1"/>
  <c r="J7" i="1" s="1"/>
  <c r="I9" i="1"/>
  <c r="J9" i="1" s="1"/>
  <c r="I20" i="1"/>
  <c r="I10" i="1"/>
  <c r="I26" i="1"/>
  <c r="I17" i="1"/>
  <c r="J17" i="1" s="1"/>
  <c r="I12" i="1"/>
  <c r="Q12" i="1" s="1"/>
  <c r="L12" i="1" s="1"/>
  <c r="H31" i="1"/>
  <c r="V8" i="1" s="1"/>
  <c r="J16" i="1"/>
  <c r="N29" i="1"/>
  <c r="J22" i="1"/>
  <c r="N28" i="1"/>
  <c r="N24" i="1"/>
  <c r="N20" i="1"/>
  <c r="N16" i="1"/>
  <c r="N12" i="1"/>
  <c r="N8" i="1"/>
  <c r="N27" i="1"/>
  <c r="N23" i="1"/>
  <c r="N19" i="1"/>
  <c r="N15" i="1"/>
  <c r="N11" i="1"/>
  <c r="N7" i="1"/>
  <c r="N30" i="1"/>
  <c r="N26" i="1"/>
  <c r="N22" i="1"/>
  <c r="N18" i="1"/>
  <c r="N14" i="1"/>
  <c r="N10" i="1"/>
  <c r="N25" i="1"/>
  <c r="N21" i="1"/>
  <c r="N17" i="1"/>
  <c r="N13" i="1"/>
  <c r="V9" i="1"/>
  <c r="V25" i="1"/>
  <c r="V30" i="1"/>
  <c r="V19" i="1"/>
  <c r="Q16" i="1"/>
  <c r="L16" i="1" s="1"/>
  <c r="Q8" i="1"/>
  <c r="L8" i="1" s="1"/>
  <c r="Q22" i="1"/>
  <c r="L22" i="1" s="1"/>
  <c r="P45" i="1"/>
  <c r="U32" i="1"/>
  <c r="U36" i="1"/>
  <c r="U40" i="1"/>
  <c r="U44" i="1"/>
  <c r="U33" i="1"/>
  <c r="U37" i="1"/>
  <c r="U41" i="1"/>
  <c r="U34" i="1"/>
  <c r="U38" i="1"/>
  <c r="U42" i="1"/>
  <c r="V31" i="1"/>
  <c r="U35" i="1"/>
  <c r="U39" i="1"/>
  <c r="U43" i="1"/>
  <c r="P44" i="1"/>
  <c r="P40" i="1"/>
  <c r="P36" i="1"/>
  <c r="P32" i="1"/>
  <c r="P43" i="1"/>
  <c r="P39" i="1"/>
  <c r="P35" i="1"/>
  <c r="Q31" i="1"/>
  <c r="P41" i="1"/>
  <c r="P37" i="1"/>
  <c r="P33" i="1"/>
  <c r="P42" i="1"/>
  <c r="P38" i="1"/>
  <c r="P34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0" i="1" l="1"/>
  <c r="L30" i="1" s="1"/>
  <c r="V22" i="1"/>
  <c r="V28" i="1"/>
  <c r="V23" i="1"/>
  <c r="V29" i="1"/>
  <c r="V12" i="1"/>
  <c r="J21" i="1"/>
  <c r="Q23" i="1"/>
  <c r="L23" i="1" s="1"/>
  <c r="J25" i="1"/>
  <c r="J28" i="1"/>
  <c r="Q10" i="1"/>
  <c r="L10" i="1" s="1"/>
  <c r="V11" i="1"/>
  <c r="V18" i="1"/>
  <c r="V21" i="1"/>
  <c r="V20" i="1"/>
  <c r="J19" i="1"/>
  <c r="J29" i="1"/>
  <c r="Q26" i="1"/>
  <c r="L26" i="1" s="1"/>
  <c r="Q14" i="1"/>
  <c r="L14" i="1" s="1"/>
  <c r="V27" i="1"/>
  <c r="V7" i="1"/>
  <c r="V14" i="1"/>
  <c r="V13" i="1"/>
  <c r="V16" i="1"/>
  <c r="J11" i="1"/>
  <c r="J18" i="1"/>
  <c r="J26" i="1"/>
  <c r="Q24" i="1"/>
  <c r="L24" i="1" s="1"/>
  <c r="Q27" i="1"/>
  <c r="L27" i="1" s="1"/>
  <c r="Q15" i="1"/>
  <c r="L15" i="1" s="1"/>
  <c r="Q17" i="1"/>
  <c r="L17" i="1" s="1"/>
  <c r="J12" i="1"/>
  <c r="Q7" i="1"/>
  <c r="L7" i="1" s="1"/>
  <c r="I31" i="1"/>
  <c r="V15" i="1"/>
  <c r="V26" i="1"/>
  <c r="V10" i="1"/>
  <c r="V17" i="1"/>
  <c r="V24" i="1"/>
  <c r="J10" i="1"/>
  <c r="J13" i="1"/>
  <c r="Q9" i="1"/>
  <c r="L9" i="1" s="1"/>
  <c r="J20" i="1"/>
  <c r="Q20" i="1"/>
  <c r="L20" i="1" s="1"/>
  <c r="N31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31" i="1" l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R34" i="1"/>
  <c r="S34" i="1" s="1"/>
  <c r="R38" i="1"/>
  <c r="S38" i="1" s="1"/>
  <c r="R42" i="1"/>
  <c r="S42" i="1" s="1"/>
  <c r="R33" i="1"/>
  <c r="S33" i="1" s="1"/>
  <c r="R37" i="1"/>
  <c r="S37" i="1" s="1"/>
  <c r="R41" i="1"/>
  <c r="S41" i="1" s="1"/>
  <c r="S31" i="1"/>
  <c r="T31" i="1" s="1"/>
  <c r="R35" i="1"/>
  <c r="S35" i="1" s="1"/>
  <c r="R39" i="1"/>
  <c r="S39" i="1" s="1"/>
  <c r="R43" i="1"/>
  <c r="S43" i="1" s="1"/>
  <c r="R32" i="1"/>
  <c r="S32" i="1" s="1"/>
  <c r="R36" i="1"/>
  <c r="S36" i="1" s="1"/>
  <c r="R40" i="1"/>
  <c r="S40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<sst xmlns="http://schemas.openxmlformats.org/spreadsheetml/2006/main" count="273" uniqueCount="180">
  <si>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</si>
  <si>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</si>
  <si>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</si>
  <si>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</si>
  <si>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</si>
  <si>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</si>
  <si>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</si>
  <si>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</si>
  <si>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</si>
  <si>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</si>
  <si>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</si>
  <si>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</si>
  <si>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</si>
  <si>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</si>
  <si>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</si>
  <si>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</si>
  <si>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</si>
  <si>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</si>
  <si>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</si>
  <si>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</si>
  <si>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</si>
  <si>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</si>
  <si>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</si>
  <si>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</si>
  <si>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</si>
  <si>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</si>
  <si>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</si>
  <si>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</si>
  <si>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</si>
  <si>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</si>
  <si>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</si>
  <si>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</si>
  <si>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</si>
  <si>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</si>
  <si>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</si>
  <si>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</si>
  <si>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</si>
  <si>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</si>
  <si>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</si>
  <si>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</si>
  <si>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</si>
  <si>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</si>
  <si>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</si>
  <si>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</si>
  <si>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</si>
  <si>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</si>
  <si>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</si>
  <si>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</si>
  <si>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</si>
  <si>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</si>
  <si>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</si>
  <si>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</si>
  <si>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</si>
  <si>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</si>
  <si>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</si>
  <si>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</si>
  <si>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</si>
  <si>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</si>
  <si>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</si>
  <si>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</si>
  <si>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</si>
  <si>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</si>
  <si>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</si>
  <si>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</si>
  <si>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</si>
  <si>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</si>
  <si>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</si>
  <si>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</si>
  <si>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</si>
  <si>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</si>
  <si>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</si>
  <si>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</si>
  <si>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</si>
  <si>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</si>
  <si>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</si>
  <si>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</si>
  <si>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</si>
  <si>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</si>
  <si>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</si>
  <si>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</si>
  <si>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</si>
  <si>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</si>
  <si>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</si>
  <si>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</si>
  <si>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</si>
  <si>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</si>
  <si>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</si>
  <si>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</si>
  <si>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</si>
  <si>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</si>
  <si>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</si>
  <si>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</si>
  <si>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</si>
  <si>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</si>
  <si>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</si>
  <si>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</si>
  <si>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</si>
  <si>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</si>
  <si>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</si>
  <si>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</si>
  <si>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</si>
  <si>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</si>
  <si>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</si>
  <si>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</si>
  <si>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</si>
  <si>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</si>
  <si>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</si>
  <si>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</si>
  <si>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</si>
  <si>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</si>
  <si>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</si>
  <si>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</si>
  <si>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</si>
  <si>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</si>
  <si>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</si>
  <si>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</si>
  <si>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</si>
  <si>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</si>
  <si>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</si>
  <si>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</si>
  <si>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</si>
  <si>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</si>
  <si>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</si>
  <si>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</si>
  <si>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</si>
  <si>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</si>
  <si>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</si>
  <si>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</si>
  <si>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</si>
  <si>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</si>
  <si>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</si>
  <si>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</si>
  <si>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</si>
  <si>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</si>
  <si>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</si>
  <si>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</si>
  <si>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</si>
  <si>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</si>
  <si>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</si>
  <si>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</si>
  <si>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</si>
  <si>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</si>
  <si>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</si>
  <si>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</si>
  <si>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</si>
  <si>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</si>
  <si>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</si>
  <si>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</si>
  <si>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88XM</t>
  </si>
  <si>
    <t>CARTAGENA RAMIREZ FREDY ALONSO</t>
  </si>
  <si>
    <t>GONZALEZ PEREZ RAFAEL JOSE</t>
  </si>
  <si>
    <t>MACEA ARBELAEZ MATEO</t>
  </si>
  <si>
    <t>LOPERA ALVAREZ ESTIVEN</t>
  </si>
  <si>
    <t>ESPINOZA CHAVARRIA GUILLERMO LEON</t>
  </si>
  <si>
    <t>OSORIO URREGO SANTIAGO</t>
  </si>
  <si>
    <t>ESPINOZA ECHAVARRIA EMANUEL</t>
  </si>
  <si>
    <t>SUAREZ ESCUDERO JONATAN</t>
  </si>
  <si>
    <t>MARULANDA JARAMILLO DAWER ANDRES</t>
  </si>
  <si>
    <t>RUA CHAVARRIA YEFERSON ANDREY</t>
  </si>
  <si>
    <t>CARDONA  EDISON</t>
  </si>
  <si>
    <t>LEON PEREZ RAUL ENRIQUE</t>
  </si>
  <si>
    <t>FRANCO CARVAJAL GERARDO ANTONIO</t>
  </si>
  <si>
    <t>MACIAS HERNANDEZ JULIAN DAVID</t>
  </si>
  <si>
    <t>MONTOYA OSPINA GILBERTO ANTONIO</t>
  </si>
  <si>
    <t>ARAQUE ARROYAVE JOSE ALBEIRO</t>
  </si>
  <si>
    <t>IBARGUEN GARRIDO JUAN ESTEBAN</t>
  </si>
  <si>
    <t>TABORDA ROJAS DIEGO ALEJANDRO</t>
  </si>
  <si>
    <t>TUBERQUIA URREGO HAROL</t>
  </si>
  <si>
    <t>YEPES TORRES JHON ALEXANDER</t>
  </si>
  <si>
    <t>SALDARRIAGA PARRA LUIS ALBERTO</t>
  </si>
  <si>
    <t>PARRA VILLA YUBER ALONSO</t>
  </si>
  <si>
    <t>JIMENEZ HERNANDEZ ESTEBAN CAMILO</t>
  </si>
  <si>
    <t xml:space="preserve">1 Descuento (conduct) </t>
  </si>
  <si>
    <t xml:space="preserve">1 Descuento (Despachador) </t>
  </si>
  <si>
    <t xml:space="preserve">4 Descuentos (Conducts y usuarios desubicados) </t>
  </si>
  <si>
    <t xml:space="preserve">3 Descuentos (Conducts y Asociado) </t>
  </si>
  <si>
    <t xml:space="preserve">GILBERTO MONTOYA Realizó 4 viajes donde movilizó 62 Usuarios. 1 Descuento (Conduct)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</si>
  <si>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12.6 USUARIOS</t>
    </r>
  </si>
  <si>
    <t xml:space="preserve">Se descuenta 0.5 viaje de 7 56 am ya que NO espera el tiempo indicado en el paradero.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</si>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</sst>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Import!$C$7:$C$31</c:f>
              <c:numCache>
                <c:formatCode>0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 formatCode="General">
                  <c:v>9</c:v>
                </c:pt>
                <c:pt idx="6">
                  <c:v>11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19</c:v>
                </c:pt>
                <c:pt idx="11" formatCode="General">
                  <c:v>21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29</c:v>
                </c:pt>
                <c:pt idx="16">
                  <c:v>31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37</c:v>
                </c:pt>
                <c:pt idx="21">
                  <c:v>38</c:v>
                </c:pt>
                <c:pt idx="22">
                  <c:v>41</c:v>
                </c:pt>
                <c:pt idx="23">
                  <c:v>42</c:v>
                </c:pt>
              </c:numCache>
            </c:numRef>
          </c:cat>
          <c:val>
            <c:numRef>
              <c:f>Import!$H$7:$H$31</c:f>
              <c:numCache>
                <c:formatCode>_-* #,##0.0_-;\-* #,##0.0_-;_-* "-"??_-;_-@_-</c:formatCode>
                <c:ptCount val="24"/>
                <c:pt idx="0">
                  <c:v>11.333333333333334</c:v>
                </c:pt>
                <c:pt idx="1">
                  <c:v>14.222222222222221</c:v>
                </c:pt>
                <c:pt idx="2">
                  <c:v>15.444444444444445</c:v>
                </c:pt>
                <c:pt idx="3">
                  <c:v>11</c:v>
                </c:pt>
                <c:pt idx="4">
                  <c:v>11.25</c:v>
                </c:pt>
                <c:pt idx="5">
                  <c:v>14</c:v>
                </c:pt>
                <c:pt idx="6">
                  <c:v>14.4</c:v>
                </c:pt>
                <c:pt idx="7">
                  <c:v>14.222222222222221</c:v>
                </c:pt>
                <c:pt idx="8">
                  <c:v>12.333333333333334</c:v>
                </c:pt>
                <c:pt idx="9">
                  <c:v>13.777777777777779</c:v>
                </c:pt>
                <c:pt idx="10">
                  <c:v>14.818181818181818</c:v>
                </c:pt>
                <c:pt idx="11">
                  <c:v>11.6</c:v>
                </c:pt>
                <c:pt idx="12">
                  <c:v>8.4444444444444446</c:v>
                </c:pt>
                <c:pt idx="13">
                  <c:v>9.5555555555555554</c:v>
                </c:pt>
                <c:pt idx="14">
                  <c:v>13.9</c:v>
                </c:pt>
                <c:pt idx="15">
                  <c:v>10.222222222222221</c:v>
                </c:pt>
                <c:pt idx="16">
                  <c:v>16.363636363636363</c:v>
                </c:pt>
                <c:pt idx="17">
                  <c:v>10.333333333333334</c:v>
                </c:pt>
                <c:pt idx="18">
                  <c:v>8</c:v>
                </c:pt>
                <c:pt idx="19">
                  <c:v>13.333333333333334</c:v>
                </c:pt>
                <c:pt idx="20">
                  <c:v>11.111111111111111</c:v>
                </c:pt>
                <c:pt idx="21">
                  <c:v>11.333333333333334</c:v>
                </c:pt>
                <c:pt idx="22">
                  <c:v>11.7</c:v>
                </c:pt>
                <c:pt idx="23">
                  <c:v>15.181818181818182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31" totalsRowCount="1" headerRowDxfId="64" dataDxfId="63" totalsRowDxfId="62">
  <sortState xmlns:xlrd2="http://schemas.microsoft.com/office/spreadsheetml/2017/richdata2" ref="B7:N28">
    <sortCondition ref="C28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2.6 USUARIOS" dataDxfId="52" totalsRowDxfId="4"/>
    <tableColumn id="9" xr3:uid="{00000000-0010-0000-0000-000009000000}" name="VALOR OPERACIÓN" dataDxfId="22" totalsRowDxfId="3">
      <calculatedColumnFormula>Q7*635</calculatedColumnFormula>
    </tableColumn>
    <tableColumn id="10" xr3:uid="{00000000-0010-0000-0000-00000A000000}" name="CLASIFIC." dataDxfId="51" totalsRowDxfId="2"/>
    <tableColumn id="11" xr3:uid="{00000000-0010-0000-0000-00000B000000}" name="DIFER. MICRO - BUS " totalsRowFunction="sum" dataDxfId="50" totalsRowDxfId="1" dataCellStyle="Millares">
      <calculatedColumnFormula>+(SUMIFS(G:G,M:M,"MICRO",E:E,"&gt;0")*100)/COUNTIF($E$7:$E$30,"&gt;0")</calculatedColumnFormula>
    </tableColumn>
    <tableColumn id="14" xr3:uid="{9692684C-F7CB-4032-9D50-5B1B9F534D4A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51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7.62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+SUM(G6:G1842)/2</f>
        <v>2622</v>
      </c>
      <c r="R3" s="55">
        <f>+SUM(E6:E1842)/2</f>
        <v>206.5</v>
      </c>
      <c r="S3" s="55">
        <f>+Q3-R3</f>
        <v>2415.5</v>
      </c>
      <c r="T3" s="56">
        <f>+S3/R3</f>
        <v>11.697336561743342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179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148</v>
      </c>
      <c r="C7" s="166">
        <v>1</v>
      </c>
      <c r="D7" s="151" t="s">
        <v>159</v>
      </c>
      <c r="E7" s="150">
        <v>6</v>
      </c>
      <c r="F7" s="150">
        <v>0</v>
      </c>
      <c r="G7" s="146">
        <v>68</v>
      </c>
      <c r="H7" s="226">
        <f t="shared" ref="H7:H30" si="0">+G7/E7</f>
        <v>11.333333333333334</v>
      </c>
      <c r="I7" s="227">
        <f>+(SUM($G$7:$G$1048576)/SUM($E$7:$E$1048576))*E7</f>
        <v>76.184019370460049</v>
      </c>
      <c r="J7" s="363">
        <f>+Tabla2[[#This Row],[PROM DE USUARIOS]]-Tabla2[[#This Row],[USUARIOS]]</f>
        <v>8.1840193704600495</v>
      </c>
      <c r="K7" s="151"/>
      <c r="L7" s="163">
        <f t="shared" ref="L7:L30" si="1">Q7*635</f>
        <v>44566.852300242128</v>
      </c>
      <c r="M7" s="162" t="str">
        <f>+VLOOKUP(C7,Lista!B:D,3,0)</f>
        <v>MICRO</v>
      </c>
      <c r="N7" s="164">
        <f>+(SUMIFS(G:G,M:M,"MICRO",E:E,"&gt;0")*100)/COUNTIF($E$7:$E$30,"&gt;0")</f>
        <v>6116.666666666667</v>
      </c>
      <c r="O7" s="164">
        <f>Tabla2[[#This Row],[USUARIOS]]*150</f>
        <v>10200</v>
      </c>
      <c r="P7" s="50">
        <f>+(E7*1)-W7</f>
        <v>6</v>
      </c>
      <c r="Q7" s="47">
        <f>+I7-P7-X7</f>
        <v>70.184019370460049</v>
      </c>
      <c r="R7" s="49">
        <f>+G7-P7</f>
        <v>62</v>
      </c>
      <c r="S7" s="51">
        <f>+E7*$T$3</f>
        <v>70.184019370460049</v>
      </c>
      <c r="T7" s="46">
        <f t="shared" ref="T7:T30" si="2">+S7*550</f>
        <v>38601.210653753027</v>
      </c>
      <c r="U7" t="str">
        <f>+IF(K7&lt;&gt;"",K7,"")</f>
        <v/>
      </c>
      <c r="V7">
        <f>+RANK(H7,$H$6:$H$1048576,1)</f>
        <v>9</v>
      </c>
      <c r="W7"/>
      <c r="X7"/>
      <c r="Z7" t="str">
        <f>TRIM(Tabla2[[#This Row],[CONDUCTOR]])</f>
        <v>CARDONA EDISON</v>
      </c>
    </row>
    <row r="8" spans="1:32" x14ac:dyDescent="0.2">
      <c r="B8" s="136" t="s">
        <v>148</v>
      </c>
      <c r="C8" s="166">
        <v>3</v>
      </c>
      <c r="D8" s="151" t="s">
        <v>155</v>
      </c>
      <c r="E8" s="150">
        <v>9</v>
      </c>
      <c r="F8" s="150">
        <v>0</v>
      </c>
      <c r="G8" s="146">
        <v>128</v>
      </c>
      <c r="H8" s="226">
        <f t="shared" si="0"/>
        <v>14.222222222222221</v>
      </c>
      <c r="I8" s="364">
        <f>+(SUM($G$7:$G$1048576)/SUM($E$7:$E$1048576))*E8</f>
        <v>114.27602905569007</v>
      </c>
      <c r="J8" s="363">
        <f>+Tabla2[[#This Row],[PROM DE USUARIOS]]-Tabla2[[#This Row],[USUARIOS]]</f>
        <v>-13.723970944309926</v>
      </c>
      <c r="K8" s="151"/>
      <c r="L8" s="163">
        <f t="shared" si="1"/>
        <v>66850.278450363199</v>
      </c>
      <c r="M8" s="162" t="str">
        <f>+VLOOKUP(C8,Lista!B:D,3,0)</f>
        <v>MICRO</v>
      </c>
      <c r="N8" s="164">
        <f>+(SUMIFS(G:G,M:M,"MICRO",E:E,"&gt;0")*100)/COUNTIF($E$7:$E$30,"&gt;0")</f>
        <v>6116.666666666667</v>
      </c>
      <c r="O8" s="164">
        <f>Tabla2[[#This Row],[USUARIOS]]*150</f>
        <v>19200</v>
      </c>
      <c r="P8" s="50">
        <f>+(E8*1)-W8</f>
        <v>9</v>
      </c>
      <c r="Q8" s="47">
        <f>+I8-P8-X8</f>
        <v>105.27602905569007</v>
      </c>
      <c r="R8" s="49">
        <f>+G8-P8</f>
        <v>119</v>
      </c>
      <c r="S8" s="51">
        <f>+E8*$T$3</f>
        <v>105.27602905569007</v>
      </c>
      <c r="T8" s="46">
        <f t="shared" si="2"/>
        <v>57901.815980629544</v>
      </c>
      <c r="U8" t="str">
        <f>+IF(K8&lt;&gt;"",K8,"")</f>
        <v/>
      </c>
      <c r="V8">
        <f>+RANK(H8,$H$6:$H$1048576,1)</f>
        <v>19</v>
      </c>
      <c r="Z8" t="str">
        <f>TRIM(Tabla2[[#This Row],[CONDUCTOR]])</f>
        <v>ESPINOZA ECHAVARRIA EMANUEL</v>
      </c>
    </row>
    <row r="9" spans="1:32" x14ac:dyDescent="0.2">
      <c r="B9" s="136" t="s">
        <v>148</v>
      </c>
      <c r="C9" s="166">
        <v>6</v>
      </c>
      <c r="D9" s="151" t="s">
        <v>156</v>
      </c>
      <c r="E9" s="150">
        <v>9</v>
      </c>
      <c r="F9" s="150">
        <v>0</v>
      </c>
      <c r="G9" s="146">
        <v>139</v>
      </c>
      <c r="H9" s="226">
        <f t="shared" si="0"/>
        <v>15.444444444444445</v>
      </c>
      <c r="I9" s="364">
        <f>+(SUM($G$7:$G$1048576)/SUM($E$7:$E$1048576))*E9</f>
        <v>114.27602905569007</v>
      </c>
      <c r="J9" s="363">
        <f>+Tabla2[[#This Row],[PROM DE USUARIOS]]-Tabla2[[#This Row],[USUARIOS]]</f>
        <v>-24.723970944309926</v>
      </c>
      <c r="K9" s="151" t="s">
        <v>172</v>
      </c>
      <c r="L9" s="163">
        <f t="shared" si="1"/>
        <v>66850.278450363199</v>
      </c>
      <c r="M9" s="162" t="str">
        <f>+VLOOKUP(C9,Lista!B:D,3,0)</f>
        <v>MICRO</v>
      </c>
      <c r="N9" s="164">
        <f>+(SUMIFS(G:G,M:M,"MICRO",E:E,"&gt;0")*100)/COUNTIF($E$7:$E$30,"&gt;0")</f>
        <v>6116.666666666667</v>
      </c>
      <c r="O9" s="164">
        <f>Tabla2[[#This Row],[USUARIOS]]*150</f>
        <v>20850</v>
      </c>
      <c r="P9" s="50">
        <f>+(E9*1)-W9</f>
        <v>9</v>
      </c>
      <c r="Q9" s="47">
        <f>+I9-P9-X9</f>
        <v>105.27602905569007</v>
      </c>
      <c r="R9" s="49">
        <f>+G9-P9</f>
        <v>130</v>
      </c>
      <c r="S9" s="51">
        <f>+E9*$T$3</f>
        <v>105.27602905569007</v>
      </c>
      <c r="T9" s="46">
        <f t="shared" si="2"/>
        <v>57901.815980629544</v>
      </c>
      <c r="U9" t="str">
        <f>+IF(K9&lt;&gt;"",K9,"")</f>
        <v xml:space="preserve">1 Descuento (conduct) </v>
      </c>
      <c r="V9">
        <f>+RANK(H9,$H$6:$H$1048576,1)</f>
        <v>24</v>
      </c>
      <c r="Z9" t="str">
        <f>TRIM(Tabla2[[#This Row],[CONDUCTOR]])</f>
        <v>SUAREZ ESCUDERO JONATAN</v>
      </c>
    </row>
    <row r="10" spans="1:32" x14ac:dyDescent="0.2">
      <c r="B10" s="136" t="s">
        <v>148</v>
      </c>
      <c r="C10" s="166">
        <v>7</v>
      </c>
      <c r="D10" s="151" t="s">
        <v>167</v>
      </c>
      <c r="E10" s="150">
        <v>10</v>
      </c>
      <c r="F10" s="150">
        <v>0</v>
      </c>
      <c r="G10" s="146">
        <v>110</v>
      </c>
      <c r="H10" s="226">
        <f t="shared" si="0"/>
        <v>11</v>
      </c>
      <c r="I10" s="364">
        <f>+(SUM($G$7:$G$1048576)/SUM($E$7:$E$1048576))*E10</f>
        <v>126.97336561743342</v>
      </c>
      <c r="J10" s="363">
        <f>+Tabla2[[#This Row],[PROM DE USUARIOS]]-Tabla2[[#This Row],[USUARIOS]]</f>
        <v>16.973365617433416</v>
      </c>
      <c r="K10" s="151"/>
      <c r="L10" s="163">
        <f t="shared" si="1"/>
        <v>74278.087167070218</v>
      </c>
      <c r="M10" s="162">
        <f>+VLOOKUP(C10,Lista!B:D,3,0)</f>
        <v>0</v>
      </c>
      <c r="N10" s="164">
        <f>+(SUMIFS(G:G,M:M,"MICRO",E:E,"&gt;0")*100)/COUNTIF($E$7:$E$30,"&gt;0")</f>
        <v>6116.666666666667</v>
      </c>
      <c r="O10" s="164">
        <f>Tabla2[[#This Row],[USUARIOS]]*150</f>
        <v>16500</v>
      </c>
      <c r="P10" s="50">
        <f>+(E10*1)-W10</f>
        <v>10</v>
      </c>
      <c r="Q10" s="47">
        <f>+I10-P10-X10</f>
        <v>116.97336561743342</v>
      </c>
      <c r="R10" s="49">
        <f>+G10-P10</f>
        <v>100</v>
      </c>
      <c r="S10" s="51">
        <f>+E10*$T$3</f>
        <v>116.97336561743342</v>
      </c>
      <c r="T10" s="46">
        <f t="shared" si="2"/>
        <v>64335.351089588381</v>
      </c>
      <c r="U10" t="str">
        <f>+IF(K10&lt;&gt;"",K10,"")</f>
        <v/>
      </c>
      <c r="V10">
        <f>+RANK(H10,$H$6:$H$1048576,1)</f>
        <v>6</v>
      </c>
      <c r="Z10" t="str">
        <f>TRIM(Tabla2[[#This Row],[CONDUCTOR]])</f>
        <v>TUBERQUIA URREGO HAROL</v>
      </c>
    </row>
    <row r="11" spans="1:32" x14ac:dyDescent="0.2">
      <c r="B11" s="136" t="s">
        <v>148</v>
      </c>
      <c r="C11" s="166">
        <v>8</v>
      </c>
      <c r="D11" s="151" t="s">
        <v>150</v>
      </c>
      <c r="E11" s="150">
        <v>8</v>
      </c>
      <c r="F11" s="150">
        <v>0</v>
      </c>
      <c r="G11" s="146">
        <v>90</v>
      </c>
      <c r="H11" s="226">
        <f t="shared" si="0"/>
        <v>11.25</v>
      </c>
      <c r="I11" s="364">
        <f>+(SUM($G$7:$G$1048576)/SUM($E$7:$E$1048576))*E11</f>
        <v>101.57869249394673</v>
      </c>
      <c r="J11" s="363">
        <f>+Tabla2[[#This Row],[PROM DE USUARIOS]]-Tabla2[[#This Row],[USUARIOS]]</f>
        <v>11.578692493946733</v>
      </c>
      <c r="K11" s="151"/>
      <c r="L11" s="163">
        <f t="shared" si="1"/>
        <v>59422.469733656173</v>
      </c>
      <c r="M11" s="162">
        <f>+VLOOKUP(C11,Lista!B:D,3,0)</f>
        <v>0</v>
      </c>
      <c r="N11" s="164">
        <f>+(SUMIFS(G:G,M:M,"MICRO",E:E,"&gt;0")*100)/COUNTIF($E$7:$E$30,"&gt;0")</f>
        <v>6116.666666666667</v>
      </c>
      <c r="O11" s="164">
        <f>Tabla2[[#This Row],[USUARIOS]]*150</f>
        <v>13500</v>
      </c>
      <c r="P11" s="50">
        <f>+(E11*1)-W11</f>
        <v>8</v>
      </c>
      <c r="Q11" s="47">
        <f>+I11-P11-X11</f>
        <v>93.578692493946733</v>
      </c>
      <c r="R11" s="49">
        <f>+G11-P11</f>
        <v>82</v>
      </c>
      <c r="S11" s="51">
        <f>+E11*$T$3</f>
        <v>93.578692493946733</v>
      </c>
      <c r="T11" s="46">
        <f t="shared" si="2"/>
        <v>51468.2808716707</v>
      </c>
      <c r="U11" t="str">
        <f>+IF(K11&lt;&gt;"",K11,"")</f>
        <v/>
      </c>
      <c r="V11">
        <f>+RANK(H11,$H$6:$H$1048576,1)</f>
        <v>8</v>
      </c>
      <c r="Z11" t="str">
        <f>TRIM(Tabla2[[#This Row],[CONDUCTOR]])</f>
        <v>GONZALEZ PEREZ RAFAEL JOSE</v>
      </c>
    </row>
    <row r="12" spans="1:32" x14ac:dyDescent="0.2">
      <c r="B12" s="136" t="s">
        <v>148</v>
      </c>
      <c r="C12" s="137">
        <v>9</v>
      </c>
      <c r="D12" s="151" t="s">
        <v>149</v>
      </c>
      <c r="E12" s="150">
        <v>4</v>
      </c>
      <c r="F12" s="150">
        <v>0</v>
      </c>
      <c r="G12" s="146">
        <v>56</v>
      </c>
      <c r="H12" s="226">
        <f t="shared" si="0"/>
        <v>14</v>
      </c>
      <c r="I12" s="227">
        <f>+(SUM($G$7:$G$1048576)/SUM($E$7:$E$1048576))*E12</f>
        <v>50.789346246973366</v>
      </c>
      <c r="J12" s="363">
        <f>+Tabla2[[#This Row],[PROM DE USUARIOS]]-Tabla2[[#This Row],[USUARIOS]]</f>
        <v>-5.2106537530266337</v>
      </c>
      <c r="K12" s="151"/>
      <c r="L12" s="163">
        <f t="shared" si="1"/>
        <v>29711.234866828087</v>
      </c>
      <c r="M12" s="162" t="str">
        <f>+VLOOKUP(C12,Lista!B:D,3,0)</f>
        <v>MICRO</v>
      </c>
      <c r="N12" s="164">
        <f>+(SUMIFS(G:G,M:M,"MICRO",E:E,"&gt;0")*100)/COUNTIF($E$7:$E$30,"&gt;0")</f>
        <v>6116.666666666667</v>
      </c>
      <c r="O12" s="164">
        <f>Tabla2[[#This Row],[USUARIOS]]*150</f>
        <v>8400</v>
      </c>
      <c r="P12" s="50">
        <f>+(E12*1)-W12</f>
        <v>4</v>
      </c>
      <c r="Q12" s="47">
        <f>+I12-P12-X12</f>
        <v>46.789346246973366</v>
      </c>
      <c r="R12" s="49">
        <f>+G12-P12</f>
        <v>52</v>
      </c>
      <c r="S12" s="51">
        <f>+E12*$T$3</f>
        <v>46.789346246973366</v>
      </c>
      <c r="T12" s="46">
        <f t="shared" si="2"/>
        <v>25734.14043583535</v>
      </c>
      <c r="U12" t="str">
        <f>+IF(K12&lt;&gt;"",K12,"")</f>
        <v/>
      </c>
      <c r="V12">
        <f>+RANK(H12,$H$6:$H$1048576,1)</f>
        <v>18</v>
      </c>
      <c r="Z12" t="str">
        <f>TRIM(Tabla2[[#This Row],[CONDUCTOR]])</f>
        <v>CARTAGENA RAMIREZ FREDY ALONSO</v>
      </c>
    </row>
    <row r="13" spans="1:32" x14ac:dyDescent="0.2">
      <c r="B13" s="136" t="s">
        <v>148</v>
      </c>
      <c r="C13" s="166">
        <v>11</v>
      </c>
      <c r="D13" s="151" t="s">
        <v>168</v>
      </c>
      <c r="E13" s="150">
        <v>10</v>
      </c>
      <c r="F13" s="150"/>
      <c r="G13" s="146">
        <v>144</v>
      </c>
      <c r="H13" s="226">
        <f t="shared" si="0"/>
        <v>14.4</v>
      </c>
      <c r="I13" s="364">
        <f>+(SUM($G$7:$G$1048576)/SUM($E$7:$E$1048576))*E13</f>
        <v>126.97336561743342</v>
      </c>
      <c r="J13" s="363">
        <f>+Tabla2[[#This Row],[PROM DE USUARIOS]]-Tabla2[[#This Row],[USUARIOS]]</f>
        <v>-17.026634382566584</v>
      </c>
      <c r="K13" s="151" t="s">
        <v>173</v>
      </c>
      <c r="L13" s="163">
        <f t="shared" si="1"/>
        <v>74278.087167070218</v>
      </c>
      <c r="M13" s="162" t="str">
        <f>+VLOOKUP(C13,Lista!B:D,3,0)</f>
        <v>MICRO</v>
      </c>
      <c r="N13" s="164">
        <f>+(SUMIFS(G:G,M:M,"MICRO",E:E,"&gt;0")*100)/COUNTIF($E$7:$E$30,"&gt;0")</f>
        <v>6116.666666666667</v>
      </c>
      <c r="O13" s="164">
        <f>Tabla2[[#This Row],[USUARIOS]]*150</f>
        <v>21600</v>
      </c>
      <c r="P13" s="50">
        <f>+(E13*1)-W13</f>
        <v>10</v>
      </c>
      <c r="Q13" s="47">
        <f>+I13-P13-X13</f>
        <v>116.97336561743342</v>
      </c>
      <c r="R13" s="49">
        <f>+G13-P13</f>
        <v>134</v>
      </c>
      <c r="S13" s="51">
        <f>+E13*$T$3</f>
        <v>116.97336561743342</v>
      </c>
      <c r="T13" s="46">
        <f t="shared" si="2"/>
        <v>64335.351089588381</v>
      </c>
      <c r="U13" t="str">
        <f>+IF(K13&lt;&gt;"",K13,"")</f>
        <v xml:space="preserve">1 Descuento (Despachador) </v>
      </c>
      <c r="V13">
        <f>+RANK(H13,$H$6:$H$1048576,1)</f>
        <v>21</v>
      </c>
      <c r="Z13" t="str">
        <f>TRIM(Tabla2[[#This Row],[CONDUCTOR]])</f>
        <v>YEPES TORRES JHON ALEXANDER</v>
      </c>
    </row>
    <row r="14" spans="1:32" x14ac:dyDescent="0.2">
      <c r="B14" s="136" t="s">
        <v>148</v>
      </c>
      <c r="C14" s="166">
        <v>13</v>
      </c>
      <c r="D14" s="151" t="s">
        <v>170</v>
      </c>
      <c r="E14" s="150">
        <v>9</v>
      </c>
      <c r="F14" s="150">
        <v>0</v>
      </c>
      <c r="G14" s="165">
        <v>128</v>
      </c>
      <c r="H14" s="226">
        <f t="shared" si="0"/>
        <v>14.222222222222221</v>
      </c>
      <c r="I14" s="227">
        <f>+(SUM($G$7:$G$1048576)/SUM($E$7:$E$1048576))*E14</f>
        <v>114.27602905569007</v>
      </c>
      <c r="J14" s="363">
        <f>+Tabla2[[#This Row],[PROM DE USUARIOS]]-Tabla2[[#This Row],[USUARIOS]]</f>
        <v>-13.723970944309926</v>
      </c>
      <c r="K14" s="151"/>
      <c r="L14" s="163">
        <f t="shared" si="1"/>
        <v>66850.278450363199</v>
      </c>
      <c r="M14" s="162" t="str">
        <f>+VLOOKUP(C14,Lista!B:D,3,0)</f>
        <v>MICRO</v>
      </c>
      <c r="N14" s="164">
        <f>+(SUMIFS(G:G,M:M,"MICRO",E:E,"&gt;0")*100)/COUNTIF($E$7:$E$30,"&gt;0")</f>
        <v>6116.666666666667</v>
      </c>
      <c r="O14" s="164">
        <f>Tabla2[[#This Row],[USUARIOS]]*150</f>
        <v>19200</v>
      </c>
      <c r="P14" s="50">
        <f>+(E14*1)-W14</f>
        <v>9</v>
      </c>
      <c r="Q14" s="47">
        <f>+I14-P14-X14</f>
        <v>105.27602905569007</v>
      </c>
      <c r="R14" s="49">
        <f>+G14-P14</f>
        <v>119</v>
      </c>
      <c r="S14" s="51">
        <f>+E14*$T$3</f>
        <v>105.27602905569007</v>
      </c>
      <c r="T14" s="46">
        <f t="shared" si="2"/>
        <v>57901.815980629544</v>
      </c>
      <c r="U14" t="str">
        <f>+IF(K14&lt;&gt;"",K14,"")</f>
        <v/>
      </c>
      <c r="V14">
        <f>+RANK(H14,$H$6:$H$1048576,1)</f>
        <v>19</v>
      </c>
      <c r="Z14" t="str">
        <f>TRIM(Tabla2[[#This Row],[CONDUCTOR]])</f>
        <v>PARRA VILLA YUBER ALONSO</v>
      </c>
    </row>
    <row r="15" spans="1:32" x14ac:dyDescent="0.2">
      <c r="B15" s="136" t="s">
        <v>148</v>
      </c>
      <c r="C15" s="166">
        <v>14</v>
      </c>
      <c r="D15" s="151" t="s">
        <v>120</v>
      </c>
      <c r="E15" s="150">
        <v>9</v>
      </c>
      <c r="F15" s="150">
        <v>0</v>
      </c>
      <c r="G15" s="165">
        <v>111</v>
      </c>
      <c r="H15" s="226">
        <f t="shared" si="0"/>
        <v>12.333333333333334</v>
      </c>
      <c r="I15" s="227">
        <f>+(SUM($G$7:$G$1048576)/SUM($E$7:$E$1048576))*E15</f>
        <v>114.27602905569007</v>
      </c>
      <c r="J15" s="363">
        <f>+Tabla2[[#This Row],[PROM DE USUARIOS]]-Tabla2[[#This Row],[USUARIOS]]</f>
        <v>3.2760290556900742</v>
      </c>
      <c r="K15" s="151"/>
      <c r="L15" s="163">
        <f t="shared" si="1"/>
        <v>66850.278450363199</v>
      </c>
      <c r="M15" s="162">
        <f>+VLOOKUP(C15,Lista!B:D,3,0)</f>
        <v>0</v>
      </c>
      <c r="N15" s="164">
        <f>+(SUMIFS(G:G,M:M,"MICRO",E:E,"&gt;0")*100)/COUNTIF($E$7:$E$30,"&gt;0")</f>
        <v>6116.666666666667</v>
      </c>
      <c r="O15" s="164">
        <f>Tabla2[[#This Row],[USUARIOS]]*150</f>
        <v>16650</v>
      </c>
      <c r="P15" s="50">
        <f>+(E15*1)-W15</f>
        <v>9</v>
      </c>
      <c r="Q15" s="47">
        <f>+I15-P15-X15</f>
        <v>105.27602905569007</v>
      </c>
      <c r="R15" s="49">
        <f>+G15-P15</f>
        <v>102</v>
      </c>
      <c r="S15" s="51">
        <f>+E15*$T$3</f>
        <v>105.27602905569007</v>
      </c>
      <c r="T15" s="46">
        <f t="shared" si="2"/>
        <v>57901.815980629544</v>
      </c>
      <c r="U15" t="str">
        <f>+IF(K15&lt;&gt;"",K15,"")</f>
        <v/>
      </c>
      <c r="V15">
        <f>+RANK(H15,$H$6:$H$1048576,1)</f>
        <v>13</v>
      </c>
      <c r="Z15" t="str">
        <f>TRIM(Tabla2[[#This Row],[CONDUCTOR]])</f>
        <v>DURANGO PAEZ GILDARDO</v>
      </c>
    </row>
    <row r="16" spans="1:32" x14ac:dyDescent="0.2">
      <c r="B16" s="136" t="s">
        <v>148</v>
      </c>
      <c r="C16" s="166">
        <v>15</v>
      </c>
      <c r="D16" s="151" t="s">
        <v>153</v>
      </c>
      <c r="E16" s="150">
        <v>9</v>
      </c>
      <c r="F16" s="150">
        <v>0</v>
      </c>
      <c r="G16" s="165">
        <v>124</v>
      </c>
      <c r="H16" s="226">
        <f t="shared" si="0"/>
        <v>13.777777777777779</v>
      </c>
      <c r="I16" s="227">
        <f>+(SUM($G$7:$G$1048576)/SUM($E$7:$E$1048576))*E16</f>
        <v>114.27602905569007</v>
      </c>
      <c r="J16" s="363">
        <f>+Tabla2[[#This Row],[PROM DE USUARIOS]]-Tabla2[[#This Row],[USUARIOS]]</f>
        <v>-9.7239709443099258</v>
      </c>
      <c r="K16" s="151"/>
      <c r="L16" s="163">
        <f t="shared" si="1"/>
        <v>66850.278450363199</v>
      </c>
      <c r="M16" s="162">
        <f>+VLOOKUP(C16,Lista!B:D,3,0)</f>
        <v>0</v>
      </c>
      <c r="N16" s="164">
        <f>+(SUMIFS(G:G,M:M,"MICRO",E:E,"&gt;0")*100)/COUNTIF($E$7:$E$30,"&gt;0")</f>
        <v>6116.666666666667</v>
      </c>
      <c r="O16" s="164">
        <f>Tabla2[[#This Row],[USUARIOS]]*150</f>
        <v>18600</v>
      </c>
      <c r="P16" s="50">
        <f>+(E16*1)-W16</f>
        <v>9</v>
      </c>
      <c r="Q16" s="47">
        <f>+I16-P16-X16</f>
        <v>105.27602905569007</v>
      </c>
      <c r="R16" s="49">
        <f>+G16-P16</f>
        <v>115</v>
      </c>
      <c r="S16" s="51">
        <f>+E16*$T$3</f>
        <v>105.27602905569007</v>
      </c>
      <c r="T16" s="46">
        <f t="shared" si="2"/>
        <v>57901.815980629544</v>
      </c>
      <c r="U16" t="str">
        <f>+IF(K16&lt;&gt;"",K16,"")</f>
        <v/>
      </c>
      <c r="V16">
        <f>+RANK(H16,$H$6:$H$1048576,1)</f>
        <v>16</v>
      </c>
      <c r="Z16" t="str">
        <f>TRIM(Tabla2[[#This Row],[CONDUCTOR]])</f>
        <v>ESPINOZA CHAVARRIA GUILLERMO LEON</v>
      </c>
    </row>
    <row r="17" spans="2:26" x14ac:dyDescent="0.2">
      <c r="B17" s="136" t="s">
        <v>148</v>
      </c>
      <c r="C17" s="166">
        <v>19</v>
      </c>
      <c r="D17" s="151" t="s">
        <v>151</v>
      </c>
      <c r="E17" s="150">
        <v>11</v>
      </c>
      <c r="F17" s="150">
        <v>0</v>
      </c>
      <c r="G17" s="146">
        <v>163</v>
      </c>
      <c r="H17" s="226">
        <f t="shared" si="0"/>
        <v>14.818181818181818</v>
      </c>
      <c r="I17" s="364">
        <f>+(SUM($G$7:$G$1048576)/SUM($E$7:$E$1048576))*E17</f>
        <v>139.67070217917677</v>
      </c>
      <c r="J17" s="363">
        <f>+Tabla2[[#This Row],[PROM DE USUARIOS]]-Tabla2[[#This Row],[USUARIOS]]</f>
        <v>-23.329297820823228</v>
      </c>
      <c r="K17" s="151"/>
      <c r="L17" s="163">
        <f t="shared" si="1"/>
        <v>81705.895883777252</v>
      </c>
      <c r="M17" s="162" t="str">
        <f>+VLOOKUP(C17,Lista!B:D,3,0)</f>
        <v>MICRO</v>
      </c>
      <c r="N17" s="164">
        <f>+(SUMIFS(G:G,M:M,"MICRO",E:E,"&gt;0")*100)/COUNTIF($E$7:$E$30,"&gt;0")</f>
        <v>6116.666666666667</v>
      </c>
      <c r="O17" s="164">
        <f>Tabla2[[#This Row],[USUARIOS]]*150</f>
        <v>24450</v>
      </c>
      <c r="P17" s="50">
        <f>+(E17*1)-W17</f>
        <v>11</v>
      </c>
      <c r="Q17" s="47">
        <f>+I17-P17-X17</f>
        <v>128.67070217917677</v>
      </c>
      <c r="R17" s="49">
        <f>+G17-P17</f>
        <v>152</v>
      </c>
      <c r="S17" s="51">
        <f>+E17*$T$3</f>
        <v>128.67070217917677</v>
      </c>
      <c r="T17" s="46">
        <f t="shared" si="2"/>
        <v>70768.886198547218</v>
      </c>
      <c r="U17" t="str">
        <f>+IF(K17&lt;&gt;"",K17,"")</f>
        <v/>
      </c>
      <c r="V17">
        <f>+RANK(H17,$H$6:$H$1048576,1)</f>
        <v>22</v>
      </c>
      <c r="Z17" t="str">
        <f>TRIM(Tabla2[[#This Row],[CONDUCTOR]])</f>
        <v>MACEA ARBELAEZ MATEO</v>
      </c>
    </row>
    <row r="18" spans="2:26" x14ac:dyDescent="0.2">
      <c r="B18" s="136" t="s">
        <v>148</v>
      </c>
      <c r="C18" s="137">
        <v>21</v>
      </c>
      <c r="D18" s="151" t="s">
        <v>162</v>
      </c>
      <c r="E18" s="150">
        <v>10</v>
      </c>
      <c r="F18" s="150">
        <v>0</v>
      </c>
      <c r="G18" s="165">
        <v>116</v>
      </c>
      <c r="H18" s="226">
        <f t="shared" si="0"/>
        <v>11.6</v>
      </c>
      <c r="I18" s="227">
        <f>+(SUM($G$7:$G$1048576)/SUM($E$7:$E$1048576))*E18</f>
        <v>126.97336561743342</v>
      </c>
      <c r="J18" s="363">
        <f>+Tabla2[[#This Row],[PROM DE USUARIOS]]-Tabla2[[#This Row],[USUARIOS]]</f>
        <v>10.973365617433416</v>
      </c>
      <c r="K18" s="151"/>
      <c r="L18" s="163">
        <f t="shared" si="1"/>
        <v>74278.087167070218</v>
      </c>
      <c r="M18" s="162" t="str">
        <f>+VLOOKUP(C18,Lista!B:D,3,0)</f>
        <v>MICRO</v>
      </c>
      <c r="N18" s="164">
        <f>+(SUMIFS(G:G,M:M,"MICRO",E:E,"&gt;0")*100)/COUNTIF($E$7:$E$30,"&gt;0")</f>
        <v>6116.666666666667</v>
      </c>
      <c r="O18" s="164">
        <f>Tabla2[[#This Row],[USUARIOS]]*150</f>
        <v>17400</v>
      </c>
      <c r="P18" s="50">
        <f>+(E18*1)-W18</f>
        <v>10</v>
      </c>
      <c r="Q18" s="47">
        <f>+I18-P18-X18</f>
        <v>116.97336561743342</v>
      </c>
      <c r="R18" s="49">
        <f>+G18-P18</f>
        <v>106</v>
      </c>
      <c r="S18" s="51">
        <f>+E18*$T$3</f>
        <v>116.97336561743342</v>
      </c>
      <c r="T18" s="46">
        <f t="shared" si="2"/>
        <v>64335.351089588381</v>
      </c>
      <c r="U18" t="str">
        <f>+IF(K18&lt;&gt;"",K18,"")</f>
        <v/>
      </c>
      <c r="V18">
        <f>+RANK(H18,$H$6:$H$1048576,1)</f>
        <v>11</v>
      </c>
      <c r="Z18" t="str">
        <f>TRIM(Tabla2[[#This Row],[CONDUCTOR]])</f>
        <v>MACIAS HERNANDEZ JULIAN DAVID</v>
      </c>
    </row>
    <row r="19" spans="2:26" s="2" customFormat="1" ht="22.5" x14ac:dyDescent="0.2">
      <c r="B19" s="136" t="s">
        <v>148</v>
      </c>
      <c r="C19" s="166">
        <v>23</v>
      </c>
      <c r="D19" s="136" t="s">
        <v>169</v>
      </c>
      <c r="E19" s="150">
        <v>9</v>
      </c>
      <c r="F19" s="150">
        <v>0.5</v>
      </c>
      <c r="G19" s="381">
        <v>76</v>
      </c>
      <c r="H19" s="377">
        <f t="shared" si="0"/>
        <v>8.4444444444444446</v>
      </c>
      <c r="I19" s="382">
        <f>+(SUM($G$7:$G$1048576)/SUM($E$7:$E$1048576))*E19</f>
        <v>114.27602905569007</v>
      </c>
      <c r="J19" s="379">
        <f>+Tabla2[[#This Row],[PROM DE USUARIOS]]-Tabla2[[#This Row],[USUARIOS]]</f>
        <v>38.276029055690074</v>
      </c>
      <c r="K19" s="380" t="s">
        <v>178</v>
      </c>
      <c r="L19" s="163">
        <f t="shared" si="1"/>
        <v>63136.480950363199</v>
      </c>
      <c r="M19" s="162" t="str">
        <f>+VLOOKUP(C19,Lista!B:D,3,0)</f>
        <v xml:space="preserve">MICRO </v>
      </c>
      <c r="N19" s="164">
        <f>+(SUMIFS(G:G,M:M,"MICRO",E:E,"&gt;0")*100)/COUNTIF($E$7:$E$30,"&gt;0")</f>
        <v>6116.666666666667</v>
      </c>
      <c r="O19" s="164">
        <f>Tabla2[[#This Row],[USUARIOS]]*150</f>
        <v>11400</v>
      </c>
      <c r="P19" s="50">
        <f>+(E19*1)-W19</f>
        <v>8.5</v>
      </c>
      <c r="Q19" s="47">
        <f>+I19-P19-X19</f>
        <v>99.427529055690073</v>
      </c>
      <c r="R19" s="49">
        <f>+G19-P19</f>
        <v>67.5</v>
      </c>
      <c r="S19" s="51">
        <f>+E19*$T$3</f>
        <v>105.27602905569007</v>
      </c>
      <c r="T19" s="46">
        <f t="shared" si="2"/>
        <v>57901.815980629544</v>
      </c>
      <c r="U19" s="2" t="str">
        <f>+IF(K19&lt;&gt;"",K19,"")</f>
        <v xml:space="preserve">Se descuenta 0.5 viaje de 7 56 am ya que NO espera el tiempo indicado en el paradero. </v>
      </c>
      <c r="V19" s="2">
        <f>+RANK(H19,$H$6:$H$1048576,1)</f>
        <v>2</v>
      </c>
      <c r="W19" s="2">
        <v>0.5</v>
      </c>
      <c r="X19" s="2">
        <v>6.3484999999999996</v>
      </c>
      <c r="Z19" s="2" t="str">
        <f>TRIM(Tabla2[[#This Row],[CONDUCTOR]])</f>
        <v>SALDARRIAGA PARRA LUIS ALBERTO</v>
      </c>
    </row>
    <row r="20" spans="2:26" x14ac:dyDescent="0.2">
      <c r="B20" s="136" t="s">
        <v>148</v>
      </c>
      <c r="C20" s="166">
        <v>24</v>
      </c>
      <c r="D20" s="151" t="s">
        <v>171</v>
      </c>
      <c r="E20" s="150">
        <v>9</v>
      </c>
      <c r="F20" s="150">
        <v>0</v>
      </c>
      <c r="G20" s="146">
        <v>86</v>
      </c>
      <c r="H20" s="226">
        <f t="shared" si="0"/>
        <v>9.5555555555555554</v>
      </c>
      <c r="I20" s="364">
        <f>+(SUM($G$7:$G$1048576)/SUM($E$7:$E$1048576))*E20</f>
        <v>114.27602905569007</v>
      </c>
      <c r="J20" s="363">
        <f>+Tabla2[[#This Row],[PROM DE USUARIOS]]-Tabla2[[#This Row],[USUARIOS]]</f>
        <v>28.276029055690074</v>
      </c>
      <c r="K20" s="151"/>
      <c r="L20" s="163">
        <f t="shared" si="1"/>
        <v>66850.278450363199</v>
      </c>
      <c r="M20" s="162" t="str">
        <f>+VLOOKUP(C20,Lista!B:D,3,0)</f>
        <v>MICRO</v>
      </c>
      <c r="N20" s="164">
        <f>+(SUMIFS(G:G,M:M,"MICRO",E:E,"&gt;0")*100)/COUNTIF($E$7:$E$30,"&gt;0")</f>
        <v>6116.666666666667</v>
      </c>
      <c r="O20" s="164">
        <f>Tabla2[[#This Row],[USUARIOS]]*150</f>
        <v>12900</v>
      </c>
      <c r="P20" s="50">
        <f>+(E20*1)-W20</f>
        <v>9</v>
      </c>
      <c r="Q20" s="47">
        <f>+I20-P20-X20</f>
        <v>105.27602905569007</v>
      </c>
      <c r="R20" s="49">
        <f>+G20-P20</f>
        <v>77</v>
      </c>
      <c r="S20" s="51">
        <f>+E20*$T$3</f>
        <v>105.27602905569007</v>
      </c>
      <c r="T20" s="46">
        <f t="shared" si="2"/>
        <v>57901.815980629544</v>
      </c>
      <c r="U20" t="str">
        <f>+IF(K20&lt;&gt;"",K20,"")</f>
        <v/>
      </c>
      <c r="V20">
        <f>+RANK(H20,$H$6:$H$1048576,1)</f>
        <v>3</v>
      </c>
      <c r="Z20" t="str">
        <f>TRIM(Tabla2[[#This Row],[CONDUCTOR]])</f>
        <v>JIMENEZ HERNANDEZ ESTEBAN CAMILO</v>
      </c>
    </row>
    <row r="21" spans="2:26" x14ac:dyDescent="0.2">
      <c r="B21" s="136" t="s">
        <v>148</v>
      </c>
      <c r="C21" s="166">
        <v>25</v>
      </c>
      <c r="D21" s="151" t="s">
        <v>154</v>
      </c>
      <c r="E21" s="150">
        <v>10</v>
      </c>
      <c r="F21" s="150">
        <v>0</v>
      </c>
      <c r="G21" s="165">
        <v>139</v>
      </c>
      <c r="H21" s="226">
        <f t="shared" si="0"/>
        <v>13.9</v>
      </c>
      <c r="I21" s="227">
        <f>+(SUM($G$7:$G$1048576)/SUM($E$7:$E$1048576))*E21</f>
        <v>126.97336561743342</v>
      </c>
      <c r="J21" s="363">
        <f>+Tabla2[[#This Row],[PROM DE USUARIOS]]-Tabla2[[#This Row],[USUARIOS]]</f>
        <v>-12.026634382566584</v>
      </c>
      <c r="K21" s="151" t="s">
        <v>174</v>
      </c>
      <c r="L21" s="163">
        <f t="shared" si="1"/>
        <v>74278.087167070218</v>
      </c>
      <c r="M21" s="162">
        <f>+VLOOKUP(C21,Lista!B:D,3,0)</f>
        <v>0</v>
      </c>
      <c r="N21" s="164">
        <f>+(SUMIFS(G:G,M:M,"MICRO",E:E,"&gt;0")*100)/COUNTIF($E$7:$E$30,"&gt;0")</f>
        <v>6116.666666666667</v>
      </c>
      <c r="O21" s="164">
        <f>Tabla2[[#This Row],[USUARIOS]]*150</f>
        <v>20850</v>
      </c>
      <c r="P21" s="50">
        <f>+(E21*1)-W21</f>
        <v>10</v>
      </c>
      <c r="Q21" s="47">
        <f>+I21-P21-X21</f>
        <v>116.97336561743342</v>
      </c>
      <c r="R21" s="49">
        <f>+G21-P21</f>
        <v>129</v>
      </c>
      <c r="S21" s="51">
        <f>+E21*$T$3</f>
        <v>116.97336561743342</v>
      </c>
      <c r="T21" s="46">
        <f t="shared" si="2"/>
        <v>64335.351089588381</v>
      </c>
      <c r="U21" t="str">
        <f>+IF(K21&lt;&gt;"",K21,"")</f>
        <v xml:space="preserve">4 Descuentos (Conducts y usuarios desubicados) </v>
      </c>
      <c r="V21">
        <f>+RANK(H21,$H$6:$H$1048576,1)</f>
        <v>17</v>
      </c>
      <c r="Z21" t="str">
        <f>TRIM(Tabla2[[#This Row],[CONDUCTOR]])</f>
        <v>OSORIO URREGO SANTIAGO</v>
      </c>
    </row>
    <row r="22" spans="2:26" x14ac:dyDescent="0.2">
      <c r="B22" s="136" t="s">
        <v>148</v>
      </c>
      <c r="C22" s="166">
        <v>29</v>
      </c>
      <c r="D22" s="151" t="s">
        <v>160</v>
      </c>
      <c r="E22" s="150">
        <v>9</v>
      </c>
      <c r="F22" s="150">
        <v>0</v>
      </c>
      <c r="G22" s="146">
        <v>92</v>
      </c>
      <c r="H22" s="226">
        <f t="shared" si="0"/>
        <v>10.222222222222221</v>
      </c>
      <c r="I22" s="364">
        <f>+(SUM($G$7:$G$1048576)/SUM($E$7:$E$1048576))*E22</f>
        <v>114.27602905569007</v>
      </c>
      <c r="J22" s="363">
        <f>+Tabla2[[#This Row],[PROM DE USUARIOS]]-Tabla2[[#This Row],[USUARIOS]]</f>
        <v>22.276029055690074</v>
      </c>
      <c r="K22" s="151"/>
      <c r="L22" s="163">
        <f t="shared" si="1"/>
        <v>66850.278450363199</v>
      </c>
      <c r="M22" s="162" t="str">
        <f>+VLOOKUP(C22,Lista!B:D,3,0)</f>
        <v>MICRO</v>
      </c>
      <c r="N22" s="164">
        <f>+(SUMIFS(G:G,M:M,"MICRO",E:E,"&gt;0")*100)/COUNTIF($E$7:$E$30,"&gt;0")</f>
        <v>6116.666666666667</v>
      </c>
      <c r="O22" s="164">
        <f>Tabla2[[#This Row],[USUARIOS]]*150</f>
        <v>13800</v>
      </c>
      <c r="P22" s="50">
        <f>+(E22*1)-W22</f>
        <v>9</v>
      </c>
      <c r="Q22" s="47">
        <f>+I22-P22-X22</f>
        <v>105.27602905569007</v>
      </c>
      <c r="R22" s="49">
        <f>+G22-P22</f>
        <v>83</v>
      </c>
      <c r="S22" s="51">
        <f>+E22*$T$3</f>
        <v>105.27602905569007</v>
      </c>
      <c r="T22" s="46">
        <f t="shared" si="2"/>
        <v>57901.815980629544</v>
      </c>
      <c r="U22" t="str">
        <f>+IF(K22&lt;&gt;"",K22,"")</f>
        <v/>
      </c>
      <c r="V22">
        <f>+RANK(H22,$H$6:$H$1048576,1)</f>
        <v>4</v>
      </c>
      <c r="Z22" t="str">
        <f>TRIM(Tabla2[[#This Row],[CONDUCTOR]])</f>
        <v>LEON PEREZ RAUL ENRIQUE</v>
      </c>
    </row>
    <row r="23" spans="2:26" x14ac:dyDescent="0.2">
      <c r="B23" s="136" t="s">
        <v>148</v>
      </c>
      <c r="C23" s="166">
        <v>31</v>
      </c>
      <c r="D23" s="151" t="s">
        <v>161</v>
      </c>
      <c r="E23" s="150">
        <v>11</v>
      </c>
      <c r="F23" s="150">
        <v>0</v>
      </c>
      <c r="G23" s="165">
        <v>180</v>
      </c>
      <c r="H23" s="226">
        <f t="shared" si="0"/>
        <v>16.363636363636363</v>
      </c>
      <c r="I23" s="227">
        <f>+(SUM($G$7:$G$1048576)/SUM($E$7:$E$1048576))*E23</f>
        <v>139.67070217917677</v>
      </c>
      <c r="J23" s="363">
        <f>+Tabla2[[#This Row],[PROM DE USUARIOS]]-Tabla2[[#This Row],[USUARIOS]]</f>
        <v>-40.329297820823228</v>
      </c>
      <c r="K23" s="151" t="s">
        <v>173</v>
      </c>
      <c r="L23" s="163">
        <f t="shared" si="1"/>
        <v>81705.895883777252</v>
      </c>
      <c r="M23" s="162" t="str">
        <f>+VLOOKUP(C23,Lista!B:D,3,0)</f>
        <v>MICRO</v>
      </c>
      <c r="N23" s="164">
        <f>+(SUMIFS(G:G,M:M,"MICRO",E:E,"&gt;0")*100)/COUNTIF($E$7:$E$30,"&gt;0")</f>
        <v>6116.666666666667</v>
      </c>
      <c r="O23" s="164">
        <f>Tabla2[[#This Row],[USUARIOS]]*150</f>
        <v>27000</v>
      </c>
      <c r="P23" s="50">
        <f>+(E23*1)-W23</f>
        <v>11</v>
      </c>
      <c r="Q23" s="47">
        <f>+I23-P23-X23</f>
        <v>128.67070217917677</v>
      </c>
      <c r="R23" s="49">
        <f>+G23-P23</f>
        <v>169</v>
      </c>
      <c r="S23" s="51">
        <f>+E23*$T$3</f>
        <v>128.67070217917677</v>
      </c>
      <c r="T23" s="46">
        <f t="shared" si="2"/>
        <v>70768.886198547218</v>
      </c>
      <c r="U23" t="str">
        <f>+IF(K23&lt;&gt;"",K23,"")</f>
        <v xml:space="preserve">1 Descuento (Despachador) </v>
      </c>
      <c r="V23">
        <f>+RANK(H23,$H$6:$H$1048576,1)</f>
        <v>25</v>
      </c>
      <c r="Z23" t="str">
        <f>TRIM(Tabla2[[#This Row],[CONDUCTOR]])</f>
        <v>FRANCO CARVAJAL GERARDO ANTONIO</v>
      </c>
    </row>
    <row r="24" spans="2:26" x14ac:dyDescent="0.2">
      <c r="B24" s="136" t="s">
        <v>148</v>
      </c>
      <c r="C24" s="166">
        <v>33</v>
      </c>
      <c r="D24" s="151" t="s">
        <v>157</v>
      </c>
      <c r="E24" s="150">
        <v>6</v>
      </c>
      <c r="F24" s="150">
        <v>0</v>
      </c>
      <c r="G24" s="146">
        <v>62</v>
      </c>
      <c r="H24" s="226">
        <f t="shared" si="0"/>
        <v>10.333333333333334</v>
      </c>
      <c r="I24" s="364">
        <f>+(SUM($G$7:$G$1048576)/SUM($E$7:$E$1048576))*E24</f>
        <v>76.184019370460049</v>
      </c>
      <c r="J24" s="363">
        <f>+Tabla2[[#This Row],[PROM DE USUARIOS]]-Tabla2[[#This Row],[USUARIOS]]</f>
        <v>14.184019370460049</v>
      </c>
      <c r="K24" s="151"/>
      <c r="L24" s="163">
        <f t="shared" si="1"/>
        <v>44566.852300242128</v>
      </c>
      <c r="M24" s="162" t="str">
        <f>+VLOOKUP(C24,Lista!B:D,3,0)</f>
        <v>MICRO</v>
      </c>
      <c r="N24" s="164">
        <f>+(SUMIFS(G:G,M:M,"MICRO",E:E,"&gt;0")*100)/COUNTIF($E$7:$E$30,"&gt;0")</f>
        <v>6116.666666666667</v>
      </c>
      <c r="O24" s="164">
        <f>Tabla2[[#This Row],[USUARIOS]]*150</f>
        <v>9300</v>
      </c>
      <c r="P24" s="50">
        <f>+(E24*1)-W24</f>
        <v>6</v>
      </c>
      <c r="Q24" s="47">
        <f>+I24-P24-X24</f>
        <v>70.184019370460049</v>
      </c>
      <c r="R24" s="49">
        <f>+G24-P24</f>
        <v>56</v>
      </c>
      <c r="S24" s="51">
        <f>+E24*$T$3</f>
        <v>70.184019370460049</v>
      </c>
      <c r="T24" s="46">
        <f t="shared" si="2"/>
        <v>38601.210653753027</v>
      </c>
      <c r="U24" t="str">
        <f>+IF(K24&lt;&gt;"",K24,"")</f>
        <v/>
      </c>
      <c r="V24">
        <f>+RANK(H24,$H$6:$H$1048576,1)</f>
        <v>5</v>
      </c>
      <c r="Z24" t="str">
        <f>TRIM(Tabla2[[#This Row],[CONDUCTOR]])</f>
        <v>MARULANDA JARAMILLO DAWER ANDRES</v>
      </c>
    </row>
    <row r="25" spans="2:26" x14ac:dyDescent="0.2">
      <c r="B25" s="136" t="s">
        <v>148</v>
      </c>
      <c r="C25" s="166">
        <v>34</v>
      </c>
      <c r="D25" s="151" t="s">
        <v>163</v>
      </c>
      <c r="E25" s="150">
        <v>0.5</v>
      </c>
      <c r="F25" s="150">
        <v>0.5</v>
      </c>
      <c r="G25" s="146">
        <v>4</v>
      </c>
      <c r="H25" s="226">
        <f t="shared" si="0"/>
        <v>8</v>
      </c>
      <c r="I25" s="364">
        <f>+(SUM($G$7:$G$1048576)/SUM($E$7:$E$1048576))*E25</f>
        <v>6.3486682808716708</v>
      </c>
      <c r="J25" s="363">
        <f>+Tabla2[[#This Row],[PROM DE USUARIOS]]-Tabla2[[#This Row],[USUARIOS]]</f>
        <v>2.3486682808716708</v>
      </c>
      <c r="K25" s="151" t="s">
        <v>175</v>
      </c>
      <c r="L25" s="163">
        <f t="shared" si="1"/>
        <v>3713.9043583535108</v>
      </c>
      <c r="M25" s="162" t="str">
        <f>+VLOOKUP(C25,Lista!B:D,3,0)</f>
        <v>MICRO</v>
      </c>
      <c r="N25" s="164">
        <f>+(SUMIFS(G:G,M:M,"MICRO",E:E,"&gt;0")*100)/COUNTIF($E$7:$E$30,"&gt;0")</f>
        <v>6116.666666666667</v>
      </c>
      <c r="O25" s="164">
        <f>Tabla2[[#This Row],[USUARIOS]]*150</f>
        <v>600</v>
      </c>
      <c r="P25" s="50">
        <f>+(E25*1)-W25</f>
        <v>0.5</v>
      </c>
      <c r="Q25" s="47">
        <f>+I25-P25-X25</f>
        <v>5.8486682808716708</v>
      </c>
      <c r="R25" s="49">
        <f>+G25-P25</f>
        <v>3.5</v>
      </c>
      <c r="S25" s="51">
        <f>+E25*$T$3</f>
        <v>5.8486682808716708</v>
      </c>
      <c r="T25" s="46">
        <f t="shared" si="2"/>
        <v>3216.7675544794188</v>
      </c>
      <c r="U25" t="str">
        <f>+IF(K25&lt;&gt;"",K25,"")</f>
        <v xml:space="preserve">3 Descuentos (Conducts y Asociado) </v>
      </c>
      <c r="V25">
        <f>+RANK(H25,$H$6:$H$1048576,1)</f>
        <v>1</v>
      </c>
      <c r="Z25" t="str">
        <f>TRIM(Tabla2[[#This Row],[CONDUCTOR]])</f>
        <v>MONTOYA OSPINA GILBERTO ANTONIO</v>
      </c>
    </row>
    <row r="26" spans="2:26" x14ac:dyDescent="0.2">
      <c r="B26" s="136" t="s">
        <v>148</v>
      </c>
      <c r="C26" s="166">
        <v>35</v>
      </c>
      <c r="D26" s="151" t="s">
        <v>164</v>
      </c>
      <c r="E26" s="150">
        <v>9</v>
      </c>
      <c r="F26" s="150">
        <v>0</v>
      </c>
      <c r="G26" s="165">
        <v>120</v>
      </c>
      <c r="H26" s="226">
        <f t="shared" si="0"/>
        <v>13.333333333333334</v>
      </c>
      <c r="I26" s="227">
        <f>+(SUM($G$7:$G$1048576)/SUM($E$7:$E$1048576))*E26</f>
        <v>114.27602905569007</v>
      </c>
      <c r="J26" s="363">
        <f>+Tabla2[[#This Row],[PROM DE USUARIOS]]-Tabla2[[#This Row],[USUARIOS]]</f>
        <v>-5.7239709443099258</v>
      </c>
      <c r="K26" s="151"/>
      <c r="L26" s="163">
        <f t="shared" si="1"/>
        <v>66850.278450363199</v>
      </c>
      <c r="M26" s="162">
        <f>+VLOOKUP(C26,Lista!B:D,3,0)</f>
        <v>0</v>
      </c>
      <c r="N26" s="164">
        <f>+(SUMIFS(G:G,M:M,"MICRO",E:E,"&gt;0")*100)/COUNTIF($E$7:$E$30,"&gt;0")</f>
        <v>6116.666666666667</v>
      </c>
      <c r="O26" s="164">
        <f>Tabla2[[#This Row],[USUARIOS]]*150</f>
        <v>18000</v>
      </c>
      <c r="P26" s="50">
        <f>+(E26*1)-W26</f>
        <v>9</v>
      </c>
      <c r="Q26" s="47">
        <f>+I26-P26-X26</f>
        <v>105.27602905569007</v>
      </c>
      <c r="R26" s="49">
        <f>+G26-P26</f>
        <v>111</v>
      </c>
      <c r="S26" s="51">
        <f>+E26*$T$3</f>
        <v>105.27602905569007</v>
      </c>
      <c r="T26" s="46">
        <f t="shared" si="2"/>
        <v>57901.815980629544</v>
      </c>
      <c r="U26" t="str">
        <f>+IF(K26&lt;&gt;"",K26,"")</f>
        <v/>
      </c>
      <c r="V26">
        <f>+RANK(H26,$H$6:$H$1048576,1)</f>
        <v>15</v>
      </c>
      <c r="Z26" t="str">
        <f>TRIM(Tabla2[[#This Row],[CONDUCTOR]])</f>
        <v>ARAQUE ARROYAVE JOSE ALBEIRO</v>
      </c>
    </row>
    <row r="27" spans="2:26" x14ac:dyDescent="0.2">
      <c r="B27" s="136" t="s">
        <v>148</v>
      </c>
      <c r="C27" s="166">
        <v>37</v>
      </c>
      <c r="D27" s="151" t="s">
        <v>166</v>
      </c>
      <c r="E27" s="150">
        <v>9</v>
      </c>
      <c r="F27" s="150">
        <v>0</v>
      </c>
      <c r="G27" s="165">
        <v>100</v>
      </c>
      <c r="H27" s="226">
        <f t="shared" si="0"/>
        <v>11.111111111111111</v>
      </c>
      <c r="I27" s="227">
        <f>+(SUM($G$7:$G$1048576)/SUM($E$7:$E$1048576))*E27</f>
        <v>114.27602905569007</v>
      </c>
      <c r="J27" s="363">
        <f>+Tabla2[[#This Row],[PROM DE USUARIOS]]-Tabla2[[#This Row],[USUARIOS]]</f>
        <v>14.276029055690074</v>
      </c>
      <c r="K27" s="151"/>
      <c r="L27" s="163">
        <f t="shared" si="1"/>
        <v>66850.278450363199</v>
      </c>
      <c r="M27" s="162">
        <f>+VLOOKUP(C27,Lista!B:D,3,0)</f>
        <v>0</v>
      </c>
      <c r="N27" s="164">
        <f>+(SUMIFS(G:G,M:M,"MICRO",E:E,"&gt;0")*100)/COUNTIF($E$7:$E$30,"&gt;0")</f>
        <v>6116.666666666667</v>
      </c>
      <c r="O27" s="164">
        <f>Tabla2[[#This Row],[USUARIOS]]*150</f>
        <v>15000</v>
      </c>
      <c r="P27" s="50">
        <f>+(E27*1)-W27</f>
        <v>9</v>
      </c>
      <c r="Q27" s="47">
        <f>+I27-P27-X27</f>
        <v>105.27602905569007</v>
      </c>
      <c r="R27" s="49">
        <f>+G27-P27</f>
        <v>91</v>
      </c>
      <c r="S27" s="51">
        <f>+E27*$T$3</f>
        <v>105.27602905569007</v>
      </c>
      <c r="T27" s="46">
        <f t="shared" si="2"/>
        <v>57901.815980629544</v>
      </c>
      <c r="U27" t="str">
        <f>+IF(K27&lt;&gt;"",K27,"")</f>
        <v/>
      </c>
      <c r="V27">
        <f>+RANK(H27,$H$6:$H$1048576,1)</f>
        <v>7</v>
      </c>
      <c r="Z27" t="str">
        <f>TRIM(Tabla2[[#This Row],[CONDUCTOR]])</f>
        <v>TABORDA ROJAS DIEGO ALEJANDRO</v>
      </c>
    </row>
    <row r="28" spans="2:26" x14ac:dyDescent="0.2">
      <c r="B28" s="136" t="s">
        <v>148</v>
      </c>
      <c r="C28" s="166">
        <v>38</v>
      </c>
      <c r="D28" s="151" t="s">
        <v>165</v>
      </c>
      <c r="E28" s="150">
        <v>9</v>
      </c>
      <c r="F28" s="150">
        <v>0</v>
      </c>
      <c r="G28" s="146">
        <v>102</v>
      </c>
      <c r="H28" s="226">
        <f t="shared" si="0"/>
        <v>11.333333333333334</v>
      </c>
      <c r="I28" s="364">
        <f>+(SUM($G$7:$G$1048576)/SUM($E$7:$E$1048576))*E28</f>
        <v>114.27602905569007</v>
      </c>
      <c r="J28" s="363">
        <f>+Tabla2[[#This Row],[PROM DE USUARIOS]]-Tabla2[[#This Row],[USUARIOS]]</f>
        <v>12.276029055690074</v>
      </c>
      <c r="K28" s="151"/>
      <c r="L28" s="163">
        <f t="shared" si="1"/>
        <v>66850.278450363199</v>
      </c>
      <c r="M28" s="162" t="str">
        <f>+VLOOKUP(C28,Lista!B:D,3,0)</f>
        <v>MICRO</v>
      </c>
      <c r="N28" s="164">
        <f>+(SUMIFS(G:G,M:M,"MICRO",E:E,"&gt;0")*100)/COUNTIF($E$7:$E$30,"&gt;0")</f>
        <v>6116.666666666667</v>
      </c>
      <c r="O28" s="164">
        <f>Tabla2[[#This Row],[USUARIOS]]*150</f>
        <v>15300</v>
      </c>
      <c r="P28" s="50">
        <f>+(E28*1)-W28</f>
        <v>9</v>
      </c>
      <c r="Q28" s="47">
        <f>+I28-P28-X28</f>
        <v>105.27602905569007</v>
      </c>
      <c r="R28" s="49">
        <f>+G28-P28</f>
        <v>93</v>
      </c>
      <c r="S28" s="51">
        <f>+E28*$T$3</f>
        <v>105.27602905569007</v>
      </c>
      <c r="T28" s="46">
        <f t="shared" si="2"/>
        <v>57901.815980629544</v>
      </c>
      <c r="U28" t="str">
        <f>+IF(K28&lt;&gt;"",K28,"")</f>
        <v/>
      </c>
      <c r="V28">
        <f>+RANK(H28,$H$6:$H$1048576,1)</f>
        <v>9</v>
      </c>
      <c r="Z28" t="str">
        <f>TRIM(Tabla2[[#This Row],[CONDUCTOR]])</f>
        <v>IBARGUEN GARRIDO JUAN ESTEBAN</v>
      </c>
    </row>
    <row r="29" spans="2:26" x14ac:dyDescent="0.2">
      <c r="B29" s="136" t="s">
        <v>148</v>
      </c>
      <c r="C29" s="166">
        <v>41</v>
      </c>
      <c r="D29" s="151" t="s">
        <v>158</v>
      </c>
      <c r="E29" s="150">
        <v>10</v>
      </c>
      <c r="F29" s="150">
        <v>0</v>
      </c>
      <c r="G29" s="146">
        <v>117</v>
      </c>
      <c r="H29" s="226">
        <f t="shared" si="0"/>
        <v>11.7</v>
      </c>
      <c r="I29" s="364">
        <f>+(SUM($G$7:$G$1048576)/SUM($E$7:$E$1048576))*E29</f>
        <v>126.97336561743342</v>
      </c>
      <c r="J29" s="363">
        <f>+Tabla2[[#This Row],[PROM DE USUARIOS]]-Tabla2[[#This Row],[USUARIOS]]</f>
        <v>9.9733656174334158</v>
      </c>
      <c r="K29" s="151" t="s">
        <v>173</v>
      </c>
      <c r="L29" s="366">
        <f t="shared" si="1"/>
        <v>74278.087167070218</v>
      </c>
      <c r="M29" s="367">
        <f>+VLOOKUP(C29,Lista!B:D,3,0)</f>
        <v>0</v>
      </c>
      <c r="N29" s="164">
        <f>+(SUMIFS(G:G,M:M,"MICRO",E:E,"&gt;0")*100)/COUNTIF($E$7:$E$30,"&gt;0")</f>
        <v>6116.666666666667</v>
      </c>
      <c r="O29" s="164">
        <f>Tabla2[[#This Row],[USUARIOS]]*150</f>
        <v>17550</v>
      </c>
      <c r="P29" s="50">
        <f>+(E29*1)-W29</f>
        <v>10</v>
      </c>
      <c r="Q29" s="47">
        <f>+I29-P29-X29</f>
        <v>116.97336561743342</v>
      </c>
      <c r="R29" s="49">
        <f>+G29-P29</f>
        <v>107</v>
      </c>
      <c r="S29" s="51">
        <f>+E29*$T$3</f>
        <v>116.97336561743342</v>
      </c>
      <c r="T29" s="46">
        <f t="shared" si="2"/>
        <v>64335.351089588381</v>
      </c>
      <c r="U29" t="str">
        <f>+IF(K29&lt;&gt;"",K29,"")</f>
        <v xml:space="preserve">1 Descuento (Despachador) </v>
      </c>
      <c r="V29">
        <f>+RANK(H29,$H$6:$H$1048576,1)</f>
        <v>12</v>
      </c>
      <c r="Z29" t="str">
        <f>TRIM(Tabla2[[#This Row],[CONDUCTOR]])</f>
        <v>RUA CHAVARRIA YEFERSON ANDREY</v>
      </c>
    </row>
    <row r="30" spans="2:26" s="2" customFormat="1" ht="22.5" x14ac:dyDescent="0.2">
      <c r="B30" s="136" t="s">
        <v>148</v>
      </c>
      <c r="C30" s="166">
        <v>42</v>
      </c>
      <c r="D30" s="136" t="s">
        <v>152</v>
      </c>
      <c r="E30" s="150">
        <v>11</v>
      </c>
      <c r="F30" s="150">
        <v>0</v>
      </c>
      <c r="G30" s="376">
        <v>167</v>
      </c>
      <c r="H30" s="377">
        <f t="shared" si="0"/>
        <v>15.181818181818182</v>
      </c>
      <c r="I30" s="378">
        <f>+(SUM($G$7:$G$1048576)/SUM($E$7:$E$1048576))*E30</f>
        <v>139.67070217917677</v>
      </c>
      <c r="J30" s="379">
        <f>+Tabla2[[#This Row],[PROM DE USUARIOS]]-Tabla2[[#This Row],[USUARIOS]]</f>
        <v>-27.329297820823228</v>
      </c>
      <c r="K30" s="380" t="s">
        <v>176</v>
      </c>
      <c r="L30" s="163">
        <f t="shared" si="1"/>
        <v>81705.895883777252</v>
      </c>
      <c r="M30" s="367">
        <f>+VLOOKUP(C30,Lista!B:D,3,0)</f>
        <v>0</v>
      </c>
      <c r="N30" s="164">
        <f>+(SUMIFS(G:G,M:M,"MICRO",E:E,"&gt;0")*100)/COUNTIF($E$7:$E$30,"&gt;0")</f>
        <v>6116.666666666667</v>
      </c>
      <c r="O30" s="164">
        <f>Tabla2[[#This Row],[USUARIOS]]*150</f>
        <v>25050</v>
      </c>
      <c r="P30" s="50">
        <f>+(E30*1)-W30</f>
        <v>11</v>
      </c>
      <c r="Q30" s="47">
        <f>+I30-P30-X30</f>
        <v>128.67070217917677</v>
      </c>
      <c r="R30" s="49">
        <f>+G30-P30</f>
        <v>156</v>
      </c>
      <c r="S30" s="51">
        <f>+E30*$T$3</f>
        <v>128.67070217917677</v>
      </c>
      <c r="T30" s="46">
        <f t="shared" si="2"/>
        <v>70768.886198547218</v>
      </c>
      <c r="U30" s="2" t="str">
        <f>+IF(K30&lt;&gt;"",K30,"")</f>
        <v xml:space="preserve">GILBERTO MONTOYA Realizó 4 viajes donde movilizó 62 Usuarios. 1 Descuento (Conduct) </v>
      </c>
      <c r="V30" s="2">
        <f>+RANK(H30,$H$6:$H$1048576,1)</f>
        <v>23</v>
      </c>
      <c r="Z30" s="2" t="str">
        <f>TRIM(Tabla2[[#This Row],[CONDUCTOR]])</f>
        <v>LOPERA ALVAREZ ESTIVEN</v>
      </c>
    </row>
    <row r="31" spans="2:26" x14ac:dyDescent="0.2">
      <c r="B31" s="232"/>
      <c r="C31" s="239">
        <f>SUBTOTAL(102,Tabla2[VEH])</f>
        <v>24</v>
      </c>
      <c r="D31" s="233" t="s">
        <v>127</v>
      </c>
      <c r="E31" s="234">
        <f>SUBTOTAL(109,Tabla2[VIAJES])</f>
        <v>206.5</v>
      </c>
      <c r="F31" s="234">
        <f>SUBTOTAL(109,Tabla2[VIAJES PERD.])</f>
        <v>1</v>
      </c>
      <c r="G31" s="240">
        <f>SUBTOTAL(109,Tabla2[USUARIOS])</f>
        <v>2622</v>
      </c>
      <c r="H31" s="375">
        <f>+Tabla2[[#Totals],[USUARIOS]]/Tabla2[[#Totals],[VIAJES]]</f>
        <v>12.697336561743342</v>
      </c>
      <c r="I31" s="240">
        <f>SUBTOTAL(109,Tabla2[PROM DE USUARIOS])</f>
        <v>2622.0000000000005</v>
      </c>
      <c r="J31" s="374">
        <f>SUBTOTAL(109,Tabla2[RECIBE / ENTREGA])</f>
        <v>7.815970093361102E-14</v>
      </c>
      <c r="K31" s="235" t="s">
        <v>177</v>
      </c>
      <c r="L31" s="236"/>
      <c r="M31" s="237"/>
      <c r="N31" s="238">
        <f>SUBTOTAL(109,Tabla2[DIFER. MICRO - BUS ])</f>
        <v>146800.00000000003</v>
      </c>
      <c r="O31" s="238">
        <f>SUBTOTAL(109,Tabla2[FONDO (SIT)])</f>
        <v>393300</v>
      </c>
      <c r="P31" s="50" t="e">
        <f>+(#REF!*1)-W31</f>
        <v>#REF!</v>
      </c>
      <c r="Q31" s="47" t="e">
        <f>+#REF!-P31-X31</f>
        <v>#REF!</v>
      </c>
      <c r="R31" s="49" t="e">
        <f>+#REF!-P31</f>
        <v>#REF!</v>
      </c>
      <c r="S31" s="51" t="e">
        <f>+#REF!*$T$3</f>
        <v>#REF!</v>
      </c>
      <c r="T31" s="46" t="e">
        <f t="shared" ref="S31:T44" si="3">+S31*550</f>
        <v>#REF!</v>
      </c>
      <c r="U31" t="e">
        <f>+IF(#REF!&lt;&gt;"",#REF!,"")</f>
        <v>#REF!</v>
      </c>
      <c r="V31" t="e">
        <f>+RANK(#REF!,$H$6:$H$1048576,1)</f>
        <v>#REF!</v>
      </c>
      <c r="Z31" t="e">
        <f>TRIM(Tabla2[[#This Row],[CONDUCTOR]])</f>
        <v>#VALUE!</v>
      </c>
    </row>
    <row r="32" spans="2:26" x14ac:dyDescent="0.2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/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3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49"/>
      <c r="H33" s="250"/>
      <c r="I33" s="251"/>
      <c r="J33" s="341"/>
      <c r="K33" s="247"/>
      <c r="L33" s="252"/>
      <c r="M33" s="253"/>
      <c r="N33" s="203"/>
      <c r="O33" s="50"/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3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49"/>
      <c r="H34" s="250"/>
      <c r="I34" s="251"/>
      <c r="J34" s="341"/>
      <c r="K34" s="247"/>
      <c r="L34" s="252"/>
      <c r="M34" s="253"/>
      <c r="N34" s="203"/>
      <c r="O34" s="50"/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3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/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3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/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3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/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3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55"/>
      <c r="D38" s="247"/>
      <c r="E38" s="248"/>
      <c r="F38" s="248"/>
      <c r="G38" s="199"/>
      <c r="H38" s="250"/>
      <c r="I38" s="251"/>
      <c r="J38" s="341"/>
      <c r="K38" s="247"/>
      <c r="L38" s="252"/>
      <c r="M38" s="253"/>
      <c r="N38" s="203"/>
      <c r="O38" s="50"/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3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/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3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55"/>
      <c r="D40" s="247"/>
      <c r="E40" s="248"/>
      <c r="F40" s="248"/>
      <c r="G40" s="199"/>
      <c r="H40" s="250"/>
      <c r="I40" s="251"/>
      <c r="J40" s="341"/>
      <c r="K40" s="247"/>
      <c r="L40" s="252"/>
      <c r="M40" s="253"/>
      <c r="N40" s="203"/>
      <c r="O40" s="50"/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3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/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3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/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3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/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3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/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3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/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4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5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6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+(E94*1)-V50</f>
        <v>0</v>
      </c>
      <c r="P50" s="134">
        <f>+I94-O50-W50</f>
        <v>0</v>
      </c>
      <c r="Q50" s="11">
        <f>+G94-O50</f>
        <v>0</v>
      </c>
      <c r="R50">
        <f>+E94*$T$3</f>
        <v>0</v>
      </c>
      <c r="S50">
        <f t="shared" ref="S50:S55" si="9">+R50*550</f>
        <v>0</v>
      </c>
      <c r="T50" t="str">
        <f>+IF(K94&lt;&gt;"",K94,"")</f>
        <v/>
      </c>
      <c r="U50" t="e">
        <f>+RANK(H94,$H$6:$H$1048576,1)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+(E95*1)-V51</f>
        <v>0</v>
      </c>
      <c r="P51" s="134">
        <f>+I95-O51-W51</f>
        <v>0</v>
      </c>
      <c r="Q51" s="11">
        <f>+G95-O51</f>
        <v>0</v>
      </c>
      <c r="R51">
        <f>+E95*$T$3</f>
        <v>0</v>
      </c>
      <c r="S51">
        <f t="shared" si="9"/>
        <v>0</v>
      </c>
      <c r="T51" t="str">
        <f>+IF(K95&lt;&gt;"",K95,"")</f>
        <v/>
      </c>
      <c r="U51" t="e">
        <f>+RANK(H95,$H$6:$H$1048576,1)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+(E96*1)-V52</f>
        <v>0</v>
      </c>
      <c r="P52" s="134">
        <f>+I96-O52-W52</f>
        <v>0</v>
      </c>
      <c r="Q52" s="11">
        <f>+G96-O52</f>
        <v>0</v>
      </c>
      <c r="R52">
        <f>+E96*$T$3</f>
        <v>0</v>
      </c>
      <c r="S52">
        <f t="shared" si="9"/>
        <v>0</v>
      </c>
      <c r="T52" t="str">
        <f>+IF(K96&lt;&gt;"",K96,"")</f>
        <v/>
      </c>
      <c r="U52" t="e">
        <f>+RANK(H96,$H$6:$H$1048576,1)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+(E97*1)-V53</f>
        <v>0</v>
      </c>
      <c r="P53" s="134">
        <f>+I97-O53-W53</f>
        <v>0</v>
      </c>
      <c r="Q53" s="11">
        <f>+G97-O53</f>
        <v>0</v>
      </c>
      <c r="R53">
        <f>+E97*$T$3</f>
        <v>0</v>
      </c>
      <c r="S53">
        <f t="shared" si="9"/>
        <v>0</v>
      </c>
      <c r="T53" t="str">
        <f>+IF(K97&lt;&gt;"",K97,"")</f>
        <v/>
      </c>
      <c r="U53" t="e">
        <f>+RANK(H97,$H$6:$H$1048576,1)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+(E98*1)-V54</f>
        <v>0</v>
      </c>
      <c r="P54" s="134">
        <f>+I98-O54-W54</f>
        <v>0</v>
      </c>
      <c r="Q54" s="11">
        <f>+G98-O54</f>
        <v>0</v>
      </c>
      <c r="R54">
        <f>+E98*$T$3</f>
        <v>0</v>
      </c>
      <c r="S54">
        <f t="shared" si="9"/>
        <v>0</v>
      </c>
      <c r="T54" t="str">
        <f>+IF(K98&lt;&gt;"",K98,"")</f>
        <v/>
      </c>
      <c r="U54" t="e">
        <f>+RANK(H98,$H$6:$H$1048576,1)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+(E99*1)-V55</f>
        <v>0</v>
      </c>
      <c r="P55" s="134">
        <f>+I99-O55-W55</f>
        <v>0</v>
      </c>
      <c r="Q55" s="11">
        <f>+G99-O55</f>
        <v>0</v>
      </c>
      <c r="R55">
        <f>+E99*$T$3</f>
        <v>0</v>
      </c>
      <c r="S55">
        <f t="shared" si="9"/>
        <v>0</v>
      </c>
      <c r="T55" t="str">
        <f>+IF(K99&lt;&gt;"",K99,"")</f>
        <v/>
      </c>
      <c r="U55" t="e">
        <f>+RANK(H99,$H$6:$H$1048576,1)</f>
        <v>#N/A</v>
      </c>
    </row>
    <row r="56" spans="2:21" x14ac:dyDescent="0.2">
      <c r="B56" s="245"/>
      <c r="C56" s="255"/>
      <c r="D56" s="247"/>
      <c r="E56" s="248"/>
      <c r="F56" s="248"/>
      <c r="G56" s="256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6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21"/>
      <c r="J60" s="342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199"/>
      <c r="H61" s="257"/>
      <c r="I61" s="222"/>
      <c r="J61" s="343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199"/>
      <c r="H63" s="257"/>
      <c r="I63" s="222"/>
      <c r="J63" s="343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55"/>
      <c r="D64" s="247"/>
      <c r="E64" s="248"/>
      <c r="F64" s="248"/>
      <c r="G64" s="254"/>
      <c r="H64" s="257"/>
      <c r="I64" s="222"/>
      <c r="J64" s="343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+(E63*1)-V65</f>
        <v>0</v>
      </c>
      <c r="P65" s="134">
        <f>+I63-O65-W65</f>
        <v>0</v>
      </c>
      <c r="Q65" s="11">
        <f>+G63-O65</f>
        <v>0</v>
      </c>
      <c r="R65">
        <f>+E63*$T$3</f>
        <v>0</v>
      </c>
      <c r="S65">
        <f t="shared" si="10"/>
        <v>0</v>
      </c>
      <c r="T65" t="str">
        <f>+IF(K63&lt;&gt;"",K63,"")</f>
        <v/>
      </c>
      <c r="U65" t="e">
        <f>+RANK(H63,$H$6:$H$1048576,1)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+(E64*1)-V66</f>
        <v>0</v>
      </c>
      <c r="P66" s="134">
        <f>+I64-O66-W66</f>
        <v>0</v>
      </c>
      <c r="Q66" s="11">
        <f>+G64-O66</f>
        <v>0</v>
      </c>
      <c r="R66">
        <f>+E64*$T$3</f>
        <v>0</v>
      </c>
      <c r="S66">
        <f t="shared" si="10"/>
        <v>0</v>
      </c>
      <c r="T66" t="str">
        <f>+IF(K64&lt;&gt;"",K64,"")</f>
        <v/>
      </c>
      <c r="U66" t="e">
        <f>+RANK(H64,$H$6:$H$1048576,1)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+(E65*1)-V67</f>
        <v>0</v>
      </c>
      <c r="P67" s="134">
        <f>+I65-O67-W67</f>
        <v>0</v>
      </c>
      <c r="Q67" s="11">
        <f>+G65-O67</f>
        <v>0</v>
      </c>
      <c r="R67">
        <f>+E65*$T$3</f>
        <v>0</v>
      </c>
      <c r="S67">
        <f t="shared" si="10"/>
        <v>0</v>
      </c>
      <c r="T67" t="str">
        <f>+IF(K65&lt;&gt;"",K65,"")</f>
        <v/>
      </c>
      <c r="U67" t="e">
        <f>+RANK(H65,$H$6:$H$1048576,1)</f>
        <v>#N/A</v>
      </c>
    </row>
    <row r="68" spans="2:21" x14ac:dyDescent="0.2">
      <c r="B68" s="245"/>
      <c r="C68" s="255"/>
      <c r="D68" s="247"/>
      <c r="E68" s="248"/>
      <c r="F68" s="248"/>
      <c r="G68" s="199"/>
      <c r="H68" s="257"/>
      <c r="I68" s="222"/>
      <c r="J68" s="343"/>
      <c r="K68" s="247"/>
      <c r="L68" s="203"/>
      <c r="M68" s="253"/>
      <c r="N68" s="258"/>
      <c r="O68">
        <f>+(E66*1)-V68</f>
        <v>0</v>
      </c>
      <c r="P68" s="134">
        <f>+I66-O68-W68</f>
        <v>0</v>
      </c>
      <c r="Q68" s="11">
        <f>+G66-O68</f>
        <v>0</v>
      </c>
      <c r="R68">
        <f>+E66*$T$3</f>
        <v>0</v>
      </c>
      <c r="S68">
        <f t="shared" si="10"/>
        <v>0</v>
      </c>
      <c r="T68" t="str">
        <f>+IF(K66&lt;&gt;"",K66,"")</f>
        <v/>
      </c>
      <c r="U68" t="e">
        <f>+RANK(H66,$H$6:$H$1048576,1)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+(E67*1)-V69</f>
        <v>0</v>
      </c>
      <c r="P69" s="134">
        <f>+I67-O69-W69</f>
        <v>0</v>
      </c>
      <c r="Q69" s="11">
        <f>+G67-O69</f>
        <v>0</v>
      </c>
      <c r="R69">
        <f>+E67*$T$3</f>
        <v>0</v>
      </c>
      <c r="S69">
        <f t="shared" si="10"/>
        <v>0</v>
      </c>
      <c r="T69" t="str">
        <f>+IF(K67&lt;&gt;"",K67,"")</f>
        <v/>
      </c>
      <c r="U69" t="e">
        <f>+RANK(H67,$H$6:$H$1048576,1)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03"/>
      <c r="M81" s="253"/>
      <c r="N81" s="258"/>
    </row>
    <row r="82" spans="2:14" x14ac:dyDescent="0.2">
      <c r="B82" s="245"/>
      <c r="C82" s="255"/>
      <c r="D82" s="247"/>
      <c r="E82" s="248"/>
      <c r="F82" s="248"/>
      <c r="G82" s="254"/>
      <c r="H82" s="259"/>
      <c r="I82" s="260"/>
      <c r="J82" s="344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55"/>
      <c r="D87" s="247"/>
      <c r="E87" s="248"/>
      <c r="F87" s="248"/>
      <c r="G87" s="199"/>
      <c r="H87" s="257"/>
      <c r="I87" s="222"/>
      <c r="J87" s="343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6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6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03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03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5"/>
      <c r="E107" s="248"/>
      <c r="F107" s="248"/>
      <c r="G107" s="261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55"/>
      <c r="D112" s="247"/>
      <c r="E112" s="248"/>
      <c r="F112" s="248"/>
      <c r="G112" s="199"/>
      <c r="H112" s="257"/>
      <c r="I112" s="222"/>
      <c r="J112" s="343"/>
      <c r="K112" s="262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55"/>
      <c r="D114" s="247"/>
      <c r="E114" s="248"/>
      <c r="F114" s="248"/>
      <c r="G114" s="199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0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00"/>
      <c r="I122" s="221"/>
      <c r="J122" s="342"/>
      <c r="K122" s="247"/>
      <c r="L122" s="252"/>
      <c r="M122" s="253"/>
      <c r="N122" s="258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03"/>
      <c r="M123" s="253"/>
      <c r="N123" s="258"/>
    </row>
    <row r="124" spans="2:14" x14ac:dyDescent="0.2">
      <c r="B124" s="245"/>
      <c r="C124" s="246"/>
      <c r="D124" s="247"/>
      <c r="E124" s="248"/>
      <c r="F124" s="248"/>
      <c r="G124" s="254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0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5"/>
      <c r="E127" s="248"/>
      <c r="F127" s="248"/>
      <c r="G127" s="201"/>
      <c r="H127" s="20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51"/>
      <c r="J141" s="341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55"/>
      <c r="D146" s="245"/>
      <c r="E146" s="248"/>
      <c r="F146" s="248"/>
      <c r="G146" s="201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55"/>
      <c r="D147" s="247"/>
      <c r="E147" s="248"/>
      <c r="F147" s="248"/>
      <c r="G147" s="199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58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03"/>
      <c r="M178" s="253"/>
      <c r="N178" s="258"/>
    </row>
    <row r="179" spans="2:14" x14ac:dyDescent="0.2">
      <c r="B179" s="245"/>
      <c r="C179" s="246"/>
      <c r="D179" s="247"/>
      <c r="E179" s="248"/>
      <c r="F179" s="248"/>
      <c r="G179" s="254"/>
      <c r="H179" s="250"/>
      <c r="I179" s="221"/>
      <c r="J179" s="342"/>
      <c r="K179" s="247"/>
      <c r="L179" s="252"/>
      <c r="M179" s="253"/>
      <c r="N179" s="258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44"/>
      <c r="I185" s="222"/>
      <c r="J185" s="343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03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44"/>
      <c r="I190" s="222"/>
      <c r="J190" s="343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5"/>
      <c r="E203" s="248"/>
      <c r="F203" s="248"/>
      <c r="G203" s="261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5"/>
      <c r="E207" s="248"/>
      <c r="F207" s="248"/>
      <c r="G207" s="261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5"/>
      <c r="E209" s="248"/>
      <c r="F209" s="248"/>
      <c r="G209" s="261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261"/>
      <c r="H212" s="263"/>
      <c r="I212" s="260"/>
      <c r="J212" s="344"/>
      <c r="K212" s="247"/>
      <c r="L212" s="252"/>
      <c r="M212" s="253"/>
      <c r="N212" s="203"/>
    </row>
    <row r="213" spans="2:14" x14ac:dyDescent="0.2">
      <c r="B213" s="245"/>
      <c r="C213" s="246"/>
      <c r="D213" s="245"/>
      <c r="E213" s="248"/>
      <c r="F213" s="248"/>
      <c r="G213" s="261"/>
      <c r="H213" s="200"/>
      <c r="I213" s="221"/>
      <c r="J213" s="342"/>
      <c r="K213" s="245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55"/>
      <c r="D222" s="247"/>
      <c r="E222" s="248"/>
      <c r="F222" s="248"/>
      <c r="G222" s="199"/>
      <c r="H222" s="244"/>
      <c r="I222" s="222"/>
      <c r="J222" s="343"/>
      <c r="K222" s="247"/>
      <c r="L222" s="252"/>
      <c r="M222" s="253"/>
      <c r="N222" s="203"/>
    </row>
    <row r="223" spans="2:14" x14ac:dyDescent="0.2">
      <c r="B223" s="245"/>
      <c r="C223" s="255"/>
      <c r="D223" s="247"/>
      <c r="E223" s="248"/>
      <c r="F223" s="248"/>
      <c r="G223" s="199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55"/>
      <c r="D246" s="247"/>
      <c r="E246" s="248"/>
      <c r="F246" s="248"/>
      <c r="G246" s="261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62"/>
      <c r="L247" s="252"/>
      <c r="M247" s="253"/>
      <c r="N247" s="203"/>
    </row>
    <row r="248" spans="2:14" x14ac:dyDescent="0.2">
      <c r="B248" s="245"/>
      <c r="C248" s="255"/>
      <c r="D248" s="245"/>
      <c r="E248" s="248"/>
      <c r="F248" s="248"/>
      <c r="G248" s="201"/>
      <c r="H248" s="200"/>
      <c r="I248" s="221"/>
      <c r="J248" s="342"/>
      <c r="K248" s="262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5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5"/>
      <c r="E252" s="248"/>
      <c r="F252" s="248"/>
      <c r="G252" s="261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55"/>
      <c r="D253" s="247"/>
      <c r="E253" s="248"/>
      <c r="F253" s="248"/>
      <c r="G253" s="199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5"/>
      <c r="E258" s="248"/>
      <c r="F258" s="248"/>
      <c r="G258" s="201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5"/>
      <c r="E259" s="248"/>
      <c r="F259" s="248"/>
      <c r="G259" s="261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199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5"/>
      <c r="E264" s="248"/>
      <c r="F264" s="248"/>
      <c r="G264" s="261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5"/>
      <c r="E266" s="248"/>
      <c r="F266" s="248"/>
      <c r="G266" s="20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4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4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4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5"/>
      <c r="E287" s="248"/>
      <c r="F287" s="248"/>
      <c r="G287" s="261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4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4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7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7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55"/>
      <c r="D365" s="247"/>
      <c r="E365" s="248"/>
      <c r="F365" s="248"/>
      <c r="G365" s="199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55"/>
      <c r="D366" s="247"/>
      <c r="E366" s="248"/>
      <c r="F366" s="248"/>
      <c r="G366" s="199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55"/>
      <c r="D371" s="247"/>
      <c r="E371" s="248"/>
      <c r="F371" s="248"/>
      <c r="G371" s="199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5"/>
      <c r="E391" s="248"/>
      <c r="F391" s="248"/>
      <c r="G391" s="261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5"/>
      <c r="E392" s="248"/>
      <c r="F392" s="248"/>
      <c r="G392" s="261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55"/>
      <c r="D400" s="247"/>
      <c r="E400" s="248"/>
      <c r="F400" s="248"/>
      <c r="G400" s="199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55"/>
      <c r="D402" s="247"/>
      <c r="E402" s="248"/>
      <c r="F402" s="248"/>
      <c r="G402" s="199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5"/>
      <c r="E414" s="248"/>
      <c r="F414" s="248"/>
      <c r="G414" s="261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4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55"/>
      <c r="D431" s="247"/>
      <c r="E431" s="248"/>
      <c r="F431" s="248"/>
      <c r="G431" s="199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68"/>
      <c r="F435" s="268"/>
      <c r="G435" s="269"/>
      <c r="H435" s="270"/>
      <c r="I435" s="271"/>
      <c r="J435" s="346"/>
      <c r="K435" s="266"/>
      <c r="L435" s="252"/>
      <c r="M435" s="253"/>
      <c r="N435" s="265"/>
    </row>
    <row r="436" spans="2:14" x14ac:dyDescent="0.2">
      <c r="B436" s="245"/>
      <c r="C436" s="255"/>
      <c r="D436" s="247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55"/>
      <c r="D438" s="247"/>
      <c r="E438" s="248"/>
      <c r="F438" s="248"/>
      <c r="G438" s="199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4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5"/>
      <c r="E474" s="248"/>
      <c r="F474" s="248"/>
      <c r="G474" s="261"/>
      <c r="H474" s="202"/>
      <c r="I474" s="223"/>
      <c r="J474" s="345"/>
      <c r="K474" s="264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4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4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4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55"/>
      <c r="D487" s="247"/>
      <c r="E487" s="248"/>
      <c r="F487" s="248"/>
      <c r="G487" s="199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7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5"/>
      <c r="E507" s="248"/>
      <c r="F507" s="272"/>
      <c r="G507" s="261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55"/>
      <c r="D513" s="247"/>
      <c r="E513" s="248"/>
      <c r="F513" s="248"/>
      <c r="G513" s="199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55"/>
      <c r="D514" s="247"/>
      <c r="E514" s="248"/>
      <c r="F514" s="248"/>
      <c r="G514" s="199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48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5"/>
      <c r="E530" s="248"/>
      <c r="F530" s="248"/>
      <c r="G530" s="261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55"/>
      <c r="D533" s="247"/>
      <c r="E533" s="248"/>
      <c r="F533" s="248"/>
      <c r="G533" s="199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5"/>
      <c r="E542" s="248"/>
      <c r="F542" s="248"/>
      <c r="G542" s="261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5"/>
      <c r="E550" s="248"/>
      <c r="F550" s="248"/>
      <c r="G550" s="201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55"/>
      <c r="D556" s="245"/>
      <c r="E556" s="248"/>
      <c r="F556" s="248"/>
      <c r="G556" s="201"/>
      <c r="H556" s="202"/>
      <c r="I556" s="223"/>
      <c r="J556" s="345"/>
      <c r="K556" s="264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7"/>
      <c r="E569" s="248"/>
      <c r="F569" s="248"/>
      <c r="G569" s="199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5"/>
      <c r="E578" s="248"/>
      <c r="F578" s="248"/>
      <c r="G578" s="261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55"/>
      <c r="D588" s="245"/>
      <c r="E588" s="248"/>
      <c r="F588" s="248"/>
      <c r="G588" s="201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4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5"/>
      <c r="E600" s="248"/>
      <c r="F600" s="248"/>
      <c r="G600" s="261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4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5"/>
      <c r="E607" s="248"/>
      <c r="F607" s="248"/>
      <c r="G607" s="201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55"/>
      <c r="D618" s="247"/>
      <c r="E618" s="248"/>
      <c r="F618" s="248"/>
      <c r="G618" s="199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4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7"/>
      <c r="E625" s="248"/>
      <c r="F625" s="248"/>
      <c r="G625" s="199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55"/>
      <c r="D626" s="247"/>
      <c r="E626" s="248"/>
      <c r="F626" s="248"/>
      <c r="G626" s="199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5"/>
      <c r="E661" s="248"/>
      <c r="F661" s="248"/>
      <c r="G661" s="261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55"/>
      <c r="D666" s="247"/>
      <c r="E666" s="248"/>
      <c r="F666" s="248"/>
      <c r="G666" s="199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5"/>
      <c r="E669" s="248"/>
      <c r="F669" s="248"/>
      <c r="G669" s="261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4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4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5"/>
      <c r="E685" s="248"/>
      <c r="F685" s="248"/>
      <c r="G685" s="20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55"/>
      <c r="D690" s="247"/>
      <c r="E690" s="248"/>
      <c r="F690" s="248"/>
      <c r="G690" s="199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55"/>
      <c r="D692" s="247"/>
      <c r="E692" s="248"/>
      <c r="F692" s="248"/>
      <c r="G692" s="199"/>
      <c r="H692" s="202"/>
      <c r="I692" s="223"/>
      <c r="J692" s="345"/>
      <c r="K692" s="264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55"/>
      <c r="D710" s="247"/>
      <c r="E710" s="248"/>
      <c r="F710" s="248"/>
      <c r="G710" s="199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55"/>
      <c r="D712" s="247"/>
      <c r="E712" s="248"/>
      <c r="F712" s="248"/>
      <c r="G712" s="199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73"/>
    </row>
    <row r="725" spans="2:14" x14ac:dyDescent="0.2">
      <c r="B725" s="245"/>
      <c r="C725" s="255"/>
      <c r="D725" s="245"/>
      <c r="E725" s="248"/>
      <c r="F725" s="248"/>
      <c r="G725" s="201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4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5"/>
      <c r="E744" s="248"/>
      <c r="F744" s="248"/>
      <c r="G744" s="261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5"/>
      <c r="E749" s="248"/>
      <c r="F749" s="248"/>
      <c r="G749" s="261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55"/>
      <c r="D750" s="245"/>
      <c r="E750" s="248"/>
      <c r="F750" s="248"/>
      <c r="G750" s="201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7"/>
      <c r="E762" s="248"/>
      <c r="F762" s="248"/>
      <c r="G762" s="254"/>
      <c r="H762" s="202"/>
      <c r="I762" s="223"/>
      <c r="J762" s="345"/>
      <c r="K762" s="264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6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55"/>
      <c r="D769" s="247"/>
      <c r="E769" s="248"/>
      <c r="F769" s="248"/>
      <c r="G769" s="199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55"/>
      <c r="D770" s="247"/>
      <c r="E770" s="248"/>
      <c r="F770" s="248"/>
      <c r="G770" s="199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199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199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4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5"/>
      <c r="E792" s="248"/>
      <c r="F792" s="248"/>
      <c r="G792" s="261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55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55"/>
      <c r="D810" s="247"/>
      <c r="E810" s="248"/>
      <c r="F810" s="248"/>
      <c r="G810" s="199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5"/>
      <c r="E821" s="248"/>
      <c r="F821" s="248"/>
      <c r="G821" s="261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4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5"/>
      <c r="E830" s="248"/>
      <c r="F830" s="248"/>
      <c r="G830" s="261"/>
      <c r="H830" s="202"/>
      <c r="I830" s="223"/>
      <c r="J830" s="345"/>
      <c r="K830" s="264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7"/>
      <c r="L839" s="252"/>
      <c r="M839" s="253"/>
      <c r="N839" s="203"/>
    </row>
    <row r="840" spans="2:14" x14ac:dyDescent="0.2">
      <c r="B840" s="245"/>
      <c r="C840" s="255"/>
      <c r="D840" s="247"/>
      <c r="E840" s="248"/>
      <c r="F840" s="248"/>
      <c r="G840" s="254"/>
      <c r="H840" s="202"/>
      <c r="I840" s="223"/>
      <c r="J840" s="345"/>
      <c r="K840" s="267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55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55"/>
      <c r="D852" s="247"/>
      <c r="E852" s="248"/>
      <c r="F852" s="248"/>
      <c r="G852" s="199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199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55"/>
      <c r="D862" s="247"/>
      <c r="E862" s="248"/>
      <c r="F862" s="248"/>
      <c r="G862" s="199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55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74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5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199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254"/>
      <c r="H886" s="202"/>
      <c r="I886" s="223"/>
      <c r="J886" s="345"/>
      <c r="K886" s="267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199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199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199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199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199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199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5"/>
      <c r="E998" s="248"/>
      <c r="F998" s="248"/>
      <c r="G998" s="26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5"/>
      <c r="E999" s="248"/>
      <c r="F999" s="248"/>
      <c r="G999" s="261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01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4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01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5"/>
      <c r="E1032" s="248"/>
      <c r="F1032" s="248"/>
      <c r="G1032" s="261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4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03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199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5"/>
      <c r="E1073" s="275"/>
      <c r="F1073" s="275"/>
      <c r="G1073" s="205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199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5"/>
      <c r="E1081" s="248"/>
      <c r="F1081" s="248"/>
      <c r="G1081" s="205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199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03"/>
      <c r="M1102" s="253"/>
      <c r="N1102" s="203"/>
    </row>
    <row r="1103" spans="2:14" x14ac:dyDescent="0.2">
      <c r="B1103" s="245"/>
      <c r="C1103" s="255"/>
      <c r="D1103" s="245"/>
      <c r="E1103" s="248"/>
      <c r="F1103" s="248"/>
      <c r="G1103" s="205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199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199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5"/>
      <c r="E1112" s="248"/>
      <c r="F1112" s="248"/>
      <c r="G1112" s="206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76"/>
      <c r="D1123" s="276"/>
      <c r="E1123" s="248"/>
      <c r="F1123" s="277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1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4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74"/>
      <c r="L1131" s="252"/>
      <c r="M1131" s="253"/>
      <c r="N1131" s="203"/>
    </row>
    <row r="1132" spans="2:14" x14ac:dyDescent="0.2">
      <c r="B1132" s="245"/>
      <c r="C1132" s="255"/>
      <c r="D1132" s="245"/>
      <c r="E1132" s="248"/>
      <c r="F1132" s="248"/>
      <c r="G1132" s="261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74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199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6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199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5"/>
      <c r="E1147" s="275"/>
      <c r="F1147" s="275"/>
      <c r="G1147" s="205"/>
      <c r="H1147" s="202"/>
      <c r="I1147" s="223"/>
      <c r="J1147" s="345"/>
      <c r="K1147" s="274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74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5"/>
      <c r="E1174" s="248"/>
      <c r="F1174" s="248"/>
      <c r="G1174" s="261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74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8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8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199"/>
      <c r="H1185" s="202"/>
      <c r="I1185" s="223"/>
      <c r="J1185" s="345"/>
      <c r="K1185" s="278"/>
      <c r="L1185" s="252"/>
      <c r="M1185" s="253"/>
      <c r="N1185" s="204"/>
    </row>
    <row r="1186" spans="2:14" x14ac:dyDescent="0.2">
      <c r="B1186" s="245"/>
      <c r="C1186" s="255"/>
      <c r="D1186" s="245"/>
      <c r="E1186" s="275"/>
      <c r="F1186" s="275"/>
      <c r="G1186" s="205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5"/>
      <c r="E1194" s="248"/>
      <c r="F1194" s="248"/>
      <c r="G1194" s="205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01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5"/>
      <c r="E1200" s="248"/>
      <c r="F1200" s="248"/>
      <c r="G1200" s="206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199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80"/>
      <c r="D1217" s="281"/>
      <c r="E1217" s="275"/>
      <c r="F1217" s="275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03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46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76"/>
      <c r="D1227" s="276"/>
      <c r="E1227" s="277"/>
      <c r="F1227" s="277"/>
      <c r="G1227" s="209"/>
      <c r="H1227" s="207"/>
      <c r="I1227" s="221"/>
      <c r="J1227" s="342"/>
      <c r="K1227" s="282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5"/>
      <c r="E1231" s="248"/>
      <c r="F1231" s="248"/>
      <c r="G1231" s="261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46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05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46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10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61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61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ht="15" x14ac:dyDescent="0.25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0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0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78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283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x14ac:dyDescent="0.2">
      <c r="B1250" s="37"/>
      <c r="C1250" s="286"/>
      <c r="D1250" s="37"/>
      <c r="E1250" s="60"/>
      <c r="F1250" s="60"/>
      <c r="G1250" s="213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78"/>
      <c r="D1251" s="109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7"/>
      <c r="C1252" s="283"/>
      <c r="D1252" s="109"/>
      <c r="E1252" s="68"/>
      <c r="F1252" s="68"/>
      <c r="G1252" s="284"/>
      <c r="H1252" s="211"/>
      <c r="I1252" s="224"/>
      <c r="J1252" s="347"/>
      <c r="K1252" s="69"/>
      <c r="L1252" s="285"/>
      <c r="M1252" s="116"/>
      <c r="N1252" s="212"/>
    </row>
    <row r="1253" spans="2:14" ht="15" x14ac:dyDescent="0.25">
      <c r="B1253" s="37"/>
      <c r="C1253" s="283"/>
      <c r="D1253" s="109"/>
      <c r="E1253" s="68"/>
      <c r="F1253" s="68"/>
      <c r="G1253" s="284"/>
      <c r="H1253" s="211"/>
      <c r="I1253" s="224"/>
      <c r="J1253" s="347"/>
      <c r="K1253" s="69"/>
      <c r="L1253" s="285"/>
      <c r="M1253" s="116"/>
      <c r="N1253" s="212"/>
    </row>
    <row r="1254" spans="2:14" ht="15" x14ac:dyDescent="0.25">
      <c r="B1254" s="37"/>
      <c r="C1254" s="66"/>
      <c r="D1254" s="287"/>
      <c r="E1254" s="68"/>
      <c r="F1254" s="68"/>
      <c r="G1254" s="214"/>
      <c r="H1254" s="211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283"/>
      <c r="D1255" s="109"/>
      <c r="E1255" s="68"/>
      <c r="F1255" s="68"/>
      <c r="G1255" s="288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78"/>
      <c r="D1260" s="109"/>
      <c r="E1260" s="68"/>
      <c r="F1260" s="68"/>
      <c r="G1260" s="21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78"/>
      <c r="D1266" s="109"/>
      <c r="E1266" s="68"/>
      <c r="F1266" s="68"/>
      <c r="G1266" s="21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78"/>
      <c r="D1267" s="109"/>
      <c r="E1267" s="68"/>
      <c r="F1267" s="68"/>
      <c r="G1267" s="21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16"/>
      <c r="M1274" s="116"/>
      <c r="N1274" s="212"/>
    </row>
    <row r="1275" spans="2:14" ht="15" x14ac:dyDescent="0.25">
      <c r="B1275" s="65"/>
      <c r="C1275" s="78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16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16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9"/>
      <c r="D1288" s="290"/>
      <c r="E1288" s="291"/>
      <c r="F1288" s="291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30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2">
      <c r="B1292" s="30"/>
      <c r="C1292" s="78"/>
      <c r="D1292" s="109"/>
      <c r="E1292" s="68"/>
      <c r="F1292" s="68"/>
      <c r="G1292" s="288"/>
      <c r="H1292" s="211"/>
      <c r="I1292" s="224"/>
      <c r="J1292" s="347"/>
      <c r="K1292" s="80"/>
      <c r="L1292" s="285"/>
      <c r="M1292" s="116"/>
      <c r="N1292" s="212"/>
    </row>
    <row r="1293" spans="2:14" ht="15" x14ac:dyDescent="0.25">
      <c r="B1293" s="30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1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1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30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30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292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1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1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65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1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1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8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13"/>
      <c r="H1337" s="215"/>
      <c r="I1337" s="293"/>
      <c r="J1337" s="348"/>
      <c r="K1337" s="69"/>
      <c r="L1337" s="285"/>
      <c r="M1337" s="116"/>
      <c r="N1337" s="212"/>
    </row>
    <row r="1338" spans="2:14" x14ac:dyDescent="0.2">
      <c r="B1338" s="292"/>
      <c r="C1338" s="78"/>
      <c r="D1338" s="109"/>
      <c r="E1338" s="68"/>
      <c r="F1338" s="68"/>
      <c r="G1338" s="288"/>
      <c r="H1338" s="211"/>
      <c r="I1338" s="224"/>
      <c r="J1338" s="347"/>
      <c r="K1338" s="80"/>
      <c r="L1338" s="216"/>
      <c r="M1338" s="116"/>
      <c r="N1338" s="212"/>
    </row>
    <row r="1339" spans="2:14" ht="15" x14ac:dyDescent="0.25">
      <c r="B1339" s="292"/>
      <c r="C1339" s="78"/>
      <c r="D1339" s="109"/>
      <c r="E1339" s="68"/>
      <c r="F1339" s="68"/>
      <c r="G1339" s="288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65"/>
      <c r="C1340" s="289"/>
      <c r="D1340" s="290"/>
      <c r="E1340" s="294"/>
      <c r="F1340" s="295"/>
      <c r="G1340" s="296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297"/>
      <c r="F1343" s="298"/>
      <c r="G1343" s="299"/>
      <c r="H1343" s="300"/>
      <c r="I1343" s="301"/>
      <c r="J1343" s="349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77"/>
      <c r="G1346" s="214"/>
      <c r="H1346" s="215"/>
      <c r="I1346" s="293"/>
      <c r="J1346" s="348"/>
      <c r="K1346" s="69"/>
      <c r="L1346" s="216"/>
      <c r="M1346" s="116"/>
      <c r="N1346" s="212"/>
    </row>
    <row r="1347" spans="2:14" ht="15" x14ac:dyDescent="0.25">
      <c r="B1347" s="292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289"/>
      <c r="D1349" s="290"/>
      <c r="E1349" s="291"/>
      <c r="F1349" s="284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66"/>
      <c r="D1350" s="109"/>
      <c r="E1350" s="68"/>
      <c r="F1350" s="77"/>
      <c r="G1350" s="296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65"/>
      <c r="C1352" s="78"/>
      <c r="D1352" s="109"/>
      <c r="E1352" s="68"/>
      <c r="F1352" s="77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78"/>
      <c r="D1353" s="109"/>
      <c r="E1353" s="68"/>
      <c r="F1353" s="77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66"/>
      <c r="D1358" s="109"/>
      <c r="E1358" s="68"/>
      <c r="F1358" s="77"/>
      <c r="G1358" s="296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8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91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91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1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77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66"/>
      <c r="D1370" s="109"/>
      <c r="E1370" s="68"/>
      <c r="F1370" s="68"/>
      <c r="G1370" s="296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14"/>
      <c r="H1371" s="215"/>
      <c r="I1371" s="293"/>
      <c r="J1371" s="348"/>
      <c r="K1371" s="69"/>
      <c r="L1371" s="285"/>
      <c r="M1371" s="116"/>
      <c r="N1371" s="212"/>
    </row>
    <row r="1372" spans="2:14" x14ac:dyDescent="0.2">
      <c r="B1372" s="65"/>
      <c r="C1372" s="78"/>
      <c r="D1372" s="109"/>
      <c r="E1372" s="68"/>
      <c r="F1372" s="77"/>
      <c r="G1372" s="302"/>
      <c r="H1372" s="211"/>
      <c r="I1372" s="224"/>
      <c r="J1372" s="347"/>
      <c r="K1372" s="80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65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289"/>
      <c r="D1379" s="290"/>
      <c r="E1379" s="291"/>
      <c r="F1379" s="304"/>
      <c r="G1379" s="284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65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78"/>
      <c r="D1385" s="109"/>
      <c r="E1385" s="68"/>
      <c r="F1385" s="68"/>
      <c r="G1385" s="21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91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78"/>
      <c r="D1398" s="109"/>
      <c r="E1398" s="68"/>
      <c r="F1398" s="77"/>
      <c r="G1398" s="214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78"/>
      <c r="D1399" s="109"/>
      <c r="E1399" s="68"/>
      <c r="F1399" s="77"/>
      <c r="G1399" s="214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68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68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23"/>
      <c r="D1417" s="37"/>
      <c r="E1417" s="60"/>
      <c r="F1417" s="26"/>
      <c r="G1417" s="2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65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65"/>
      <c r="C1419" s="78"/>
      <c r="D1419" s="109"/>
      <c r="E1419" s="68"/>
      <c r="F1419" s="77"/>
      <c r="G1419" s="305"/>
      <c r="H1419" s="215"/>
      <c r="I1419" s="293"/>
      <c r="J1419" s="348"/>
      <c r="K1419" s="69"/>
      <c r="L1419" s="216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302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78"/>
      <c r="D1423" s="109"/>
      <c r="E1423" s="68"/>
      <c r="F1423" s="77"/>
      <c r="G1423" s="21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78"/>
      <c r="D1424" s="109"/>
      <c r="E1424" s="68"/>
      <c r="F1424" s="77"/>
      <c r="G1424" s="21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23"/>
      <c r="D1427" s="37"/>
      <c r="E1427" s="60"/>
      <c r="F1427" s="26"/>
      <c r="G1427" s="10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290"/>
      <c r="E1430" s="291"/>
      <c r="F1430" s="304"/>
      <c r="G1430" s="28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80"/>
      <c r="L1433" s="285"/>
      <c r="M1433" s="116"/>
      <c r="N1433" s="212"/>
    </row>
    <row r="1434" spans="2:14" ht="15" x14ac:dyDescent="0.25">
      <c r="B1434" s="91"/>
      <c r="C1434" s="23"/>
      <c r="D1434" s="37"/>
      <c r="E1434" s="60"/>
      <c r="F1434" s="26"/>
      <c r="G1434" s="10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27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290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86"/>
      <c r="D1445" s="286"/>
      <c r="E1445" s="306"/>
      <c r="F1445" s="307"/>
      <c r="G1445" s="307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78"/>
      <c r="D1446" s="109"/>
      <c r="E1446" s="68"/>
      <c r="F1446" s="77"/>
      <c r="G1446" s="214"/>
      <c r="H1446" s="215"/>
      <c r="I1446" s="293"/>
      <c r="J1446" s="348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78"/>
      <c r="D1455" s="109"/>
      <c r="E1455" s="68"/>
      <c r="F1455" s="77"/>
      <c r="G1455" s="308"/>
      <c r="H1455" s="215"/>
      <c r="I1455" s="293"/>
      <c r="J1455" s="348"/>
      <c r="K1455" s="69"/>
      <c r="L1455" s="216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09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09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310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78"/>
      <c r="D1464" s="109"/>
      <c r="E1464" s="68"/>
      <c r="F1464" s="77"/>
      <c r="G1464" s="311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68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296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91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91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11"/>
      <c r="H1471" s="312"/>
      <c r="I1471" s="313"/>
      <c r="J1471" s="352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312"/>
      <c r="I1477" s="313"/>
      <c r="J1477" s="352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78"/>
      <c r="D1482" s="109"/>
      <c r="E1482" s="68"/>
      <c r="F1482" s="77"/>
      <c r="G1482" s="311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6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.75" x14ac:dyDescent="0.25">
      <c r="B1485" s="31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.75" x14ac:dyDescent="0.25">
      <c r="B1486" s="31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126"/>
      <c r="M1486" s="116"/>
      <c r="N1486" s="217"/>
    </row>
    <row r="1487" spans="2:14" ht="15.75" x14ac:dyDescent="0.25">
      <c r="B1487" s="314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1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7"/>
    </row>
    <row r="1489" spans="2:14" ht="15" x14ac:dyDescent="0.25">
      <c r="B1489" s="91"/>
      <c r="C1489" s="316"/>
      <c r="D1489" s="65"/>
      <c r="E1489" s="68"/>
      <c r="F1489" s="117"/>
      <c r="G1489" s="117"/>
      <c r="H1489" s="121"/>
      <c r="I1489" s="107"/>
      <c r="J1489" s="351"/>
      <c r="K1489" s="69"/>
      <c r="L1489" s="126"/>
      <c r="M1489" s="116"/>
      <c r="N1489" s="217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12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12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2"/>
    </row>
    <row r="1499" spans="2:14" ht="15" x14ac:dyDescent="0.25">
      <c r="B1499" s="6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107"/>
      <c r="J1502" s="351"/>
      <c r="K1502" s="69"/>
      <c r="L1502" s="285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ht="15" x14ac:dyDescent="0.25">
      <c r="B1507" s="65"/>
      <c r="C1507" s="78"/>
      <c r="D1507" s="109"/>
      <c r="E1507" s="68"/>
      <c r="F1507" s="77"/>
      <c r="G1507" s="311"/>
      <c r="H1507" s="312"/>
      <c r="I1507" s="313"/>
      <c r="J1507" s="352"/>
      <c r="K1507" s="69"/>
      <c r="L1507" s="21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313"/>
      <c r="J1508" s="352"/>
      <c r="K1508" s="69"/>
      <c r="L1508" s="216"/>
      <c r="M1508" s="116"/>
      <c r="N1508" s="212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91"/>
      <c r="C1510" s="66"/>
      <c r="D1510" s="109"/>
      <c r="E1510" s="68"/>
      <c r="F1510" s="77"/>
      <c r="G1510" s="104"/>
      <c r="H1510" s="123"/>
      <c r="I1510" s="107"/>
      <c r="J1510" s="351"/>
      <c r="K1510" s="69"/>
      <c r="L1510" s="126"/>
      <c r="M1510" s="116"/>
      <c r="N1510" s="217"/>
    </row>
    <row r="1511" spans="2:14" ht="15" x14ac:dyDescent="0.25">
      <c r="B1511" s="91"/>
      <c r="C1511" s="66"/>
      <c r="D1511" s="109"/>
      <c r="E1511" s="68"/>
      <c r="F1511" s="77"/>
      <c r="G1511" s="104"/>
      <c r="H1511" s="121"/>
      <c r="I1511" s="107"/>
      <c r="J1511" s="351"/>
      <c r="K1511" s="80"/>
      <c r="L1511" s="126"/>
      <c r="M1511" s="117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3"/>
      <c r="I1512" s="107"/>
      <c r="J1512" s="351"/>
      <c r="K1512" s="80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68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316"/>
      <c r="D1514" s="65"/>
      <c r="E1514" s="68"/>
      <c r="F1514" s="117"/>
      <c r="G1514" s="117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37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37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78"/>
      <c r="D1526" s="109"/>
      <c r="E1526" s="68"/>
      <c r="F1526" s="77"/>
      <c r="G1526" s="311"/>
      <c r="H1526" s="312"/>
      <c r="I1526" s="107"/>
      <c r="J1526" s="351"/>
      <c r="K1526" s="69"/>
      <c r="L1526" s="126"/>
      <c r="M1526" s="116"/>
      <c r="N1526" s="217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ht="15" x14ac:dyDescent="0.25">
      <c r="B1530" s="65"/>
      <c r="C1530" s="78"/>
      <c r="D1530" s="109"/>
      <c r="E1530" s="68"/>
      <c r="F1530" s="77"/>
      <c r="G1530" s="311"/>
      <c r="H1530" s="312"/>
      <c r="I1530" s="313"/>
      <c r="J1530" s="352"/>
      <c r="K1530" s="69"/>
      <c r="L1530" s="216"/>
      <c r="M1530" s="116"/>
      <c r="N1530" s="212"/>
    </row>
    <row r="1531" spans="2:14" ht="15" x14ac:dyDescent="0.25">
      <c r="B1531" s="65"/>
      <c r="C1531" s="78"/>
      <c r="D1531" s="109"/>
      <c r="E1531" s="68"/>
      <c r="F1531" s="77"/>
      <c r="G1531" s="311"/>
      <c r="H1531" s="312"/>
      <c r="I1531" s="313"/>
      <c r="J1531" s="352"/>
      <c r="K1531" s="69"/>
      <c r="L1531" s="216"/>
      <c r="M1531" s="116"/>
      <c r="N1531" s="212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68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123"/>
      <c r="I1544" s="107"/>
      <c r="J1544" s="351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2">
      <c r="B1546" s="91"/>
      <c r="C1546" s="66"/>
      <c r="D1546" s="109"/>
      <c r="E1546" s="68"/>
      <c r="F1546" s="77"/>
      <c r="G1546" s="104"/>
      <c r="H1546" s="121"/>
      <c r="I1546" s="129"/>
      <c r="J1546" s="353"/>
      <c r="K1546" s="80"/>
      <c r="L1546" s="126"/>
      <c r="M1546" s="116"/>
      <c r="N1546" s="217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3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3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2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ht="15" x14ac:dyDescent="0.25">
      <c r="B1556" s="65"/>
      <c r="C1556" s="78"/>
      <c r="D1556" s="109"/>
      <c r="E1556" s="68"/>
      <c r="F1556" s="77"/>
      <c r="G1556" s="311"/>
      <c r="H1556" s="312"/>
      <c r="I1556" s="313"/>
      <c r="J1556" s="352"/>
      <c r="K1556" s="69"/>
      <c r="L1556" s="216"/>
      <c r="M1556" s="116"/>
      <c r="N1556" s="212"/>
    </row>
    <row r="1557" spans="2:14" ht="15" x14ac:dyDescent="0.25">
      <c r="B1557" s="65"/>
      <c r="C1557" s="78"/>
      <c r="D1557" s="109"/>
      <c r="E1557" s="68"/>
      <c r="F1557" s="77"/>
      <c r="G1557" s="311"/>
      <c r="H1557" s="312"/>
      <c r="I1557" s="313"/>
      <c r="J1557" s="352"/>
      <c r="K1557" s="69"/>
      <c r="L1557" s="216"/>
      <c r="M1557" s="116"/>
      <c r="N1557" s="212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91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91"/>
      <c r="C1562" s="66"/>
      <c r="D1562" s="109"/>
      <c r="E1562" s="68"/>
      <c r="F1562" s="77"/>
      <c r="G1562" s="104"/>
      <c r="H1562" s="121"/>
      <c r="I1562" s="107"/>
      <c r="J1562" s="351"/>
      <c r="K1562" s="79"/>
      <c r="L1562" s="126"/>
      <c r="M1562" s="115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66"/>
      <c r="D1570" s="109"/>
      <c r="E1570" s="68"/>
      <c r="F1570" s="77"/>
      <c r="G1570" s="104"/>
      <c r="H1570" s="123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107"/>
      <c r="J1573" s="351"/>
      <c r="K1573" s="69"/>
      <c r="L1573" s="126"/>
      <c r="M1573" s="116"/>
      <c r="N1573" s="217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65"/>
      <c r="C1576" s="78"/>
      <c r="D1576" s="109"/>
      <c r="E1576" s="68"/>
      <c r="F1576" s="77"/>
      <c r="G1576" s="311"/>
      <c r="H1576" s="312"/>
      <c r="I1576" s="313"/>
      <c r="J1576" s="352"/>
      <c r="K1576" s="69"/>
      <c r="L1576" s="216"/>
      <c r="M1576" s="116"/>
      <c r="N1576" s="212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91"/>
      <c r="C1580" s="66"/>
      <c r="D1580" s="109"/>
      <c r="E1580" s="68"/>
      <c r="F1580" s="68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91"/>
      <c r="C1581" s="66"/>
      <c r="D1581" s="109"/>
      <c r="E1581" s="68"/>
      <c r="F1581" s="77"/>
      <c r="G1581" s="104"/>
      <c r="H1581" s="123"/>
      <c r="I1581" s="107"/>
      <c r="J1581" s="351"/>
      <c r="K1581" s="69"/>
      <c r="L1581" s="120"/>
      <c r="M1581" s="116"/>
      <c r="N1581" s="2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318"/>
      <c r="M1582" s="116"/>
      <c r="N1582" s="318"/>
    </row>
    <row r="1583" spans="2:14" ht="15" x14ac:dyDescent="0.25">
      <c r="B1583" s="91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0"/>
      <c r="M1583" s="116"/>
      <c r="N1583" s="2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118"/>
      <c r="M1585" s="116"/>
      <c r="N1585" s="3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18"/>
      <c r="M1586" s="116"/>
      <c r="N1586" s="3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318"/>
      <c r="M1588" s="116"/>
      <c r="N1588" s="318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318"/>
      <c r="M1589" s="116"/>
      <c r="N1589" s="318"/>
    </row>
    <row r="1590" spans="2:14" ht="15" x14ac:dyDescent="0.25">
      <c r="B1590" s="65"/>
      <c r="C1590" s="66"/>
      <c r="D1590" s="109"/>
      <c r="E1590" s="68"/>
      <c r="F1590" s="68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66"/>
      <c r="D1596" s="109"/>
      <c r="E1596" s="68"/>
      <c r="F1596" s="77"/>
      <c r="G1596" s="311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3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3"/>
      <c r="I1603" s="107"/>
      <c r="J1603" s="351"/>
      <c r="K1603" s="69"/>
      <c r="L1603" s="120"/>
      <c r="M1603" s="116"/>
      <c r="N1603" s="218"/>
    </row>
    <row r="1604" spans="2:14" ht="15" x14ac:dyDescent="0.25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91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91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318"/>
      <c r="M1606" s="116"/>
      <c r="N1606" s="318"/>
    </row>
    <row r="1607" spans="2:14" ht="15" x14ac:dyDescent="0.25">
      <c r="B1607" s="91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318"/>
      <c r="M1610" s="116"/>
      <c r="N1610" s="3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18"/>
      <c r="M1611" s="116"/>
      <c r="N1611" s="3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18"/>
      <c r="M1612" s="116"/>
      <c r="N1612" s="318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8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91"/>
      <c r="C1615" s="66"/>
      <c r="D1615" s="109"/>
      <c r="E1615" s="68"/>
      <c r="F1615" s="68"/>
      <c r="G1615" s="104"/>
      <c r="H1615" s="123"/>
      <c r="I1615" s="107"/>
      <c r="J1615" s="351"/>
      <c r="K1615" s="69"/>
      <c r="L1615" s="120"/>
      <c r="M1615" s="116"/>
      <c r="N1615" s="3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319"/>
    </row>
    <row r="1617" spans="2:14" ht="15" x14ac:dyDescent="0.25">
      <c r="B1617" s="91"/>
      <c r="C1617" s="78"/>
      <c r="D1617" s="109"/>
      <c r="E1617" s="68"/>
      <c r="F1617" s="77"/>
      <c r="G1617" s="311"/>
      <c r="H1617" s="123"/>
      <c r="I1617" s="107"/>
      <c r="J1617" s="351"/>
      <c r="K1617" s="69"/>
      <c r="L1617" s="120"/>
      <c r="M1617" s="116"/>
      <c r="N1617" s="319"/>
    </row>
    <row r="1618" spans="2:14" ht="15" x14ac:dyDescent="0.25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ht="15" x14ac:dyDescent="0.25">
      <c r="B1619" s="65"/>
      <c r="C1619" s="78"/>
      <c r="D1619" s="109"/>
      <c r="E1619" s="68"/>
      <c r="F1619" s="77"/>
      <c r="G1619" s="311"/>
      <c r="H1619" s="312"/>
      <c r="I1619" s="313"/>
      <c r="J1619" s="352"/>
      <c r="K1619" s="69"/>
      <c r="L1619" s="318"/>
      <c r="M1619" s="116"/>
      <c r="N1619" s="319"/>
    </row>
    <row r="1620" spans="2:14" ht="15" x14ac:dyDescent="0.25">
      <c r="B1620" s="65"/>
      <c r="C1620" s="78"/>
      <c r="D1620" s="109"/>
      <c r="E1620" s="68"/>
      <c r="F1620" s="77"/>
      <c r="G1620" s="311"/>
      <c r="H1620" s="312"/>
      <c r="I1620" s="313"/>
      <c r="J1620" s="352"/>
      <c r="K1620" s="69"/>
      <c r="L1620" s="318"/>
      <c r="M1620" s="116"/>
      <c r="N1620" s="3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311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91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91"/>
      <c r="C1628" s="66"/>
      <c r="D1628" s="109"/>
      <c r="E1628" s="68"/>
      <c r="F1628" s="77"/>
      <c r="G1628" s="104"/>
      <c r="H1628" s="121"/>
      <c r="I1628" s="107"/>
      <c r="J1628" s="351"/>
      <c r="K1628" s="69"/>
      <c r="L1628" s="120"/>
      <c r="M1628" s="116"/>
      <c r="N1628" s="2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37"/>
      <c r="C1635" s="66"/>
      <c r="D1635" s="109"/>
      <c r="E1635" s="68"/>
      <c r="F1635" s="68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318"/>
      <c r="M1637" s="116"/>
      <c r="N1637" s="319"/>
    </row>
    <row r="1638" spans="2:14" ht="15" x14ac:dyDescent="0.25">
      <c r="B1638" s="37"/>
      <c r="C1638" s="78"/>
      <c r="D1638" s="109"/>
      <c r="E1638" s="68"/>
      <c r="F1638" s="77"/>
      <c r="G1638" s="311"/>
      <c r="H1638" s="123"/>
      <c r="I1638" s="107"/>
      <c r="J1638" s="351"/>
      <c r="K1638" s="69"/>
      <c r="L1638" s="118"/>
      <c r="M1638" s="116"/>
      <c r="N1638" s="319"/>
    </row>
    <row r="1639" spans="2:14" ht="15" x14ac:dyDescent="0.25">
      <c r="B1639" s="37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37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18"/>
      <c r="M1640" s="116"/>
      <c r="N1640" s="3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65"/>
      <c r="C1643" s="78"/>
      <c r="D1643" s="109"/>
      <c r="E1643" s="68"/>
      <c r="F1643" s="77"/>
      <c r="G1643" s="311"/>
      <c r="H1643" s="312"/>
      <c r="I1643" s="313"/>
      <c r="J1643" s="352"/>
      <c r="K1643" s="69"/>
      <c r="L1643" s="318"/>
      <c r="M1643" s="116"/>
      <c r="N1643" s="3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1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104"/>
      <c r="H1648" s="121"/>
      <c r="I1648" s="107"/>
      <c r="J1648" s="351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65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79"/>
      <c r="L1655" s="120"/>
      <c r="M1655" s="115"/>
      <c r="N1655" s="219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1"/>
      <c r="I1658" s="107"/>
      <c r="J1658" s="351"/>
      <c r="K1658" s="114"/>
      <c r="L1658" s="118"/>
      <c r="M1658" s="117"/>
      <c r="N1658" s="320"/>
    </row>
    <row r="1659" spans="2:14" ht="15" x14ac:dyDescent="0.25">
      <c r="B1659" s="37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20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20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18"/>
      <c r="M1664" s="116"/>
      <c r="N1664" s="319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18"/>
      <c r="M1665" s="116"/>
      <c r="N1665" s="319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318"/>
      <c r="M1666" s="116"/>
      <c r="N1666" s="319"/>
    </row>
    <row r="1667" spans="2:14" ht="15" x14ac:dyDescent="0.25">
      <c r="B1667" s="91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91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91"/>
      <c r="C1669" s="66"/>
      <c r="D1669" s="109"/>
      <c r="E1669" s="68"/>
      <c r="F1669" s="68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91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19"/>
    </row>
    <row r="1671" spans="2:14" ht="15" x14ac:dyDescent="0.25">
      <c r="B1671" s="91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318"/>
      <c r="M1673" s="116"/>
      <c r="N1673" s="319"/>
    </row>
    <row r="1674" spans="2:14" ht="15" x14ac:dyDescent="0.25">
      <c r="B1674" s="65"/>
      <c r="C1674" s="78"/>
      <c r="D1674" s="109"/>
      <c r="E1674" s="68"/>
      <c r="F1674" s="77"/>
      <c r="G1674" s="311"/>
      <c r="H1674" s="312"/>
      <c r="I1674" s="313"/>
      <c r="J1674" s="352"/>
      <c r="K1674" s="69"/>
      <c r="L1674" s="216"/>
      <c r="M1674" s="116"/>
      <c r="N1674" s="319"/>
    </row>
    <row r="1675" spans="2:14" ht="15" x14ac:dyDescent="0.25">
      <c r="B1675" s="65"/>
      <c r="C1675" s="78"/>
      <c r="D1675" s="109"/>
      <c r="E1675" s="68"/>
      <c r="F1675" s="77"/>
      <c r="G1675" s="311"/>
      <c r="H1675" s="312"/>
      <c r="I1675" s="313"/>
      <c r="J1675" s="352"/>
      <c r="K1675" s="69"/>
      <c r="L1675" s="216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91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91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91"/>
      <c r="C1681" s="78"/>
      <c r="D1681" s="100"/>
      <c r="E1681" s="101"/>
      <c r="F1681" s="77"/>
      <c r="G1681" s="311"/>
      <c r="H1681" s="321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84"/>
      <c r="M1688" s="82"/>
      <c r="N1688" s="319"/>
    </row>
    <row r="1689" spans="2:14" ht="15" x14ac:dyDescent="0.25">
      <c r="B1689" s="65"/>
      <c r="C1689" s="66"/>
      <c r="D1689" s="109"/>
      <c r="E1689" s="101"/>
      <c r="F1689" s="77"/>
      <c r="G1689" s="104"/>
      <c r="H1689" s="106"/>
      <c r="I1689" s="107"/>
      <c r="J1689" s="351"/>
      <c r="K1689" s="69"/>
      <c r="L1689" s="322"/>
      <c r="M1689" s="82"/>
      <c r="N1689" s="319"/>
    </row>
    <row r="1690" spans="2:14" ht="15" x14ac:dyDescent="0.25">
      <c r="B1690" s="65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65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322"/>
      <c r="M1691" s="82"/>
      <c r="N1691" s="319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19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ht="15" x14ac:dyDescent="0.25">
      <c r="B1694" s="65"/>
      <c r="C1694" s="78"/>
      <c r="D1694" s="100"/>
      <c r="E1694" s="101"/>
      <c r="F1694" s="77"/>
      <c r="G1694" s="311"/>
      <c r="H1694" s="321"/>
      <c r="I1694" s="313"/>
      <c r="J1694" s="352"/>
      <c r="K1694" s="69"/>
      <c r="L1694" s="322"/>
      <c r="M1694" s="82"/>
      <c r="N1694" s="323"/>
    </row>
    <row r="1695" spans="2:14" ht="15" x14ac:dyDescent="0.25">
      <c r="B1695" s="65"/>
      <c r="C1695" s="78"/>
      <c r="D1695" s="100"/>
      <c r="E1695" s="101"/>
      <c r="F1695" s="77"/>
      <c r="G1695" s="311"/>
      <c r="H1695" s="321"/>
      <c r="I1695" s="313"/>
      <c r="J1695" s="352"/>
      <c r="K1695" s="69"/>
      <c r="L1695" s="322"/>
      <c r="M1695" s="82"/>
      <c r="N1695" s="323"/>
    </row>
    <row r="1696" spans="2:14" ht="15" x14ac:dyDescent="0.25">
      <c r="B1696" s="65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68"/>
      <c r="G1702" s="104"/>
      <c r="H1702" s="106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78"/>
      <c r="D1703" s="100"/>
      <c r="E1703" s="101"/>
      <c r="F1703" s="77"/>
      <c r="G1703" s="311"/>
      <c r="H1703" s="321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70"/>
      <c r="L1705" s="84"/>
      <c r="M1705" s="82"/>
      <c r="N1705" s="323"/>
    </row>
    <row r="1706" spans="2:14" ht="15" x14ac:dyDescent="0.25">
      <c r="B1706" s="91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91"/>
      <c r="C1707" s="78"/>
      <c r="D1707" s="100"/>
      <c r="E1707" s="101"/>
      <c r="F1707" s="68"/>
      <c r="G1707" s="311"/>
      <c r="H1707" s="321"/>
      <c r="I1707" s="107"/>
      <c r="J1707" s="351"/>
      <c r="K1707" s="69"/>
      <c r="L1707" s="84"/>
      <c r="M1707" s="82"/>
      <c r="N1707" s="323"/>
    </row>
    <row r="1708" spans="2:14" ht="15" x14ac:dyDescent="0.25">
      <c r="B1708" s="91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68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65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322"/>
      <c r="M1712" s="82"/>
      <c r="N1712" s="323"/>
    </row>
    <row r="1713" spans="2:14" ht="15" x14ac:dyDescent="0.25">
      <c r="B1713" s="65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322"/>
      <c r="M1713" s="82"/>
      <c r="N1713" s="323"/>
    </row>
    <row r="1714" spans="2:14" x14ac:dyDescent="0.2">
      <c r="B1714" s="65"/>
      <c r="C1714" s="78"/>
      <c r="D1714" s="100"/>
      <c r="E1714" s="101"/>
      <c r="F1714" s="77"/>
      <c r="G1714" s="311"/>
      <c r="H1714" s="321"/>
      <c r="I1714" s="324"/>
      <c r="J1714" s="354"/>
      <c r="K1714" s="69"/>
      <c r="L1714" s="84"/>
      <c r="M1714" s="82"/>
      <c r="N1714" s="323"/>
    </row>
    <row r="1715" spans="2:14" x14ac:dyDescent="0.2">
      <c r="B1715" s="65"/>
      <c r="C1715" s="78"/>
      <c r="D1715" s="100"/>
      <c r="E1715" s="101"/>
      <c r="F1715" s="77"/>
      <c r="G1715" s="311"/>
      <c r="H1715" s="321"/>
      <c r="I1715" s="324"/>
      <c r="J1715" s="354"/>
      <c r="K1715" s="69"/>
      <c r="L1715" s="84"/>
      <c r="M1715" s="82"/>
      <c r="N1715" s="323"/>
    </row>
    <row r="1716" spans="2:14" ht="15" x14ac:dyDescent="0.25">
      <c r="B1716" s="65"/>
      <c r="C1716" s="78"/>
      <c r="D1716" s="100"/>
      <c r="E1716" s="101"/>
      <c r="F1716" s="77"/>
      <c r="G1716" s="311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100"/>
      <c r="E1717" s="102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13"/>
      <c r="J1718" s="352"/>
      <c r="K1718" s="69"/>
      <c r="L1718" s="322"/>
      <c r="M1718" s="82"/>
      <c r="N1718" s="323"/>
    </row>
    <row r="1719" spans="2:14" ht="15" x14ac:dyDescent="0.25">
      <c r="B1719" s="65"/>
      <c r="C1719" s="78"/>
      <c r="D1719" s="97"/>
      <c r="E1719" s="67"/>
      <c r="F1719" s="77"/>
      <c r="G1719" s="325"/>
      <c r="H1719" s="321"/>
      <c r="I1719" s="313"/>
      <c r="J1719" s="352"/>
      <c r="K1719" s="69"/>
      <c r="L1719" s="322"/>
      <c r="M1719" s="82"/>
      <c r="N1719" s="323"/>
    </row>
    <row r="1720" spans="2:14" ht="15" x14ac:dyDescent="0.25">
      <c r="B1720" s="65"/>
      <c r="C1720" s="78"/>
      <c r="D1720" s="97"/>
      <c r="E1720" s="67"/>
      <c r="F1720" s="77"/>
      <c r="G1720" s="325"/>
      <c r="H1720" s="321"/>
      <c r="I1720" s="326"/>
      <c r="J1720" s="355"/>
      <c r="K1720" s="69"/>
      <c r="L1720" s="322"/>
      <c r="M1720" s="82"/>
      <c r="N1720" s="323"/>
    </row>
    <row r="1721" spans="2:14" ht="15" x14ac:dyDescent="0.25">
      <c r="B1721" s="65"/>
      <c r="C1721" s="78"/>
      <c r="D1721" s="97"/>
      <c r="E1721" s="67"/>
      <c r="F1721" s="77"/>
      <c r="G1721" s="325"/>
      <c r="H1721" s="321"/>
      <c r="I1721" s="326"/>
      <c r="J1721" s="355"/>
      <c r="K1721" s="69"/>
      <c r="L1721" s="322"/>
      <c r="M1721" s="82"/>
      <c r="N1721" s="323"/>
    </row>
    <row r="1722" spans="2:14" x14ac:dyDescent="0.2">
      <c r="B1722" s="65"/>
      <c r="C1722" s="66"/>
      <c r="D1722" s="90"/>
      <c r="E1722" s="67"/>
      <c r="F1722" s="77"/>
      <c r="G1722" s="77"/>
      <c r="H1722" s="106"/>
      <c r="I1722" s="94"/>
      <c r="J1722" s="356"/>
      <c r="K1722" s="80"/>
      <c r="L1722" s="84"/>
      <c r="M1722" s="82"/>
      <c r="N1722" s="327"/>
    </row>
    <row r="1723" spans="2:14" ht="15" x14ac:dyDescent="0.25">
      <c r="B1723" s="65"/>
      <c r="C1723" s="78"/>
      <c r="D1723" s="90"/>
      <c r="E1723" s="67"/>
      <c r="F1723" s="77"/>
      <c r="G1723" s="328"/>
      <c r="H1723" s="321"/>
      <c r="I1723" s="326"/>
      <c r="J1723" s="355"/>
      <c r="K1723" s="69"/>
      <c r="L1723" s="322"/>
      <c r="M1723" s="82"/>
      <c r="N1723" s="327"/>
    </row>
    <row r="1724" spans="2:14" ht="15" x14ac:dyDescent="0.25">
      <c r="B1724" s="65"/>
      <c r="C1724" s="66"/>
      <c r="D1724" s="90"/>
      <c r="E1724" s="67"/>
      <c r="F1724" s="77"/>
      <c r="G1724" s="77"/>
      <c r="H1724" s="106"/>
      <c r="I1724" s="95"/>
      <c r="J1724" s="357"/>
      <c r="K1724" s="80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x14ac:dyDescent="0.2">
      <c r="B1727" s="91"/>
      <c r="C1727" s="66"/>
      <c r="D1727" s="90"/>
      <c r="E1727" s="67"/>
      <c r="F1727" s="77"/>
      <c r="G1727" s="77"/>
      <c r="H1727" s="106"/>
      <c r="I1727" s="94"/>
      <c r="J1727" s="356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80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78"/>
      <c r="D1730" s="90"/>
      <c r="E1730" s="67"/>
      <c r="F1730" s="77"/>
      <c r="G1730" s="328"/>
      <c r="H1730" s="321"/>
      <c r="I1730" s="326"/>
      <c r="J1730" s="355"/>
      <c r="K1730" s="69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7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84"/>
      <c r="M1732" s="82"/>
      <c r="N1732" s="327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80"/>
      <c r="L1733" s="84"/>
      <c r="M1733" s="82"/>
      <c r="N1733" s="327"/>
    </row>
    <row r="1734" spans="2:14" x14ac:dyDescent="0.2">
      <c r="B1734" s="91"/>
      <c r="C1734" s="66"/>
      <c r="D1734" s="90"/>
      <c r="E1734" s="67"/>
      <c r="F1734" s="77"/>
      <c r="G1734" s="77"/>
      <c r="H1734" s="106"/>
      <c r="I1734" s="94"/>
      <c r="J1734" s="356"/>
      <c r="K1734" s="69"/>
      <c r="L1734" s="84"/>
      <c r="M1734" s="82"/>
      <c r="N1734" s="323"/>
    </row>
    <row r="1735" spans="2:14" ht="15" x14ac:dyDescent="0.25">
      <c r="B1735" s="91"/>
      <c r="C1735" s="66"/>
      <c r="D1735" s="90"/>
      <c r="E1735" s="67"/>
      <c r="F1735" s="77"/>
      <c r="G1735" s="77"/>
      <c r="H1735" s="106"/>
      <c r="I1735" s="95"/>
      <c r="J1735" s="357"/>
      <c r="K1735" s="69"/>
      <c r="L1735" s="322"/>
      <c r="M1735" s="82"/>
      <c r="N1735" s="323"/>
    </row>
    <row r="1736" spans="2:14" ht="15" x14ac:dyDescent="0.25">
      <c r="B1736" s="91"/>
      <c r="C1736" s="66"/>
      <c r="D1736" s="90"/>
      <c r="E1736" s="67"/>
      <c r="F1736" s="77"/>
      <c r="G1736" s="77"/>
      <c r="H1736" s="106"/>
      <c r="I1736" s="95"/>
      <c r="J1736" s="357"/>
      <c r="K1736" s="69"/>
      <c r="L1736" s="84"/>
      <c r="M1736" s="82"/>
      <c r="N1736" s="323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37"/>
      <c r="C1738" s="52"/>
      <c r="D1738" s="24"/>
      <c r="E1738" s="25"/>
      <c r="F1738" s="26"/>
      <c r="G1738" s="26"/>
      <c r="H1738" s="329"/>
      <c r="I1738" s="41"/>
      <c r="J1738" s="358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0"/>
      <c r="C1743" s="52"/>
      <c r="D1743" s="24"/>
      <c r="E1743" s="25"/>
      <c r="F1743" s="26"/>
      <c r="G1743" s="26"/>
      <c r="H1743" s="329"/>
      <c r="I1743" s="41"/>
      <c r="J1743" s="358"/>
      <c r="K1743" s="27"/>
      <c r="L1743" s="330"/>
      <c r="M1743" s="34"/>
      <c r="N1743" s="331"/>
    </row>
    <row r="1744" spans="2:14" ht="15" x14ac:dyDescent="0.25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31"/>
    </row>
    <row r="1745" spans="2:14" ht="15" x14ac:dyDescent="0.25">
      <c r="B1745" s="37"/>
      <c r="C1745" s="5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31"/>
    </row>
    <row r="1746" spans="2:14" ht="15" x14ac:dyDescent="0.25">
      <c r="B1746" s="37"/>
      <c r="C1746" s="53"/>
      <c r="D1746" s="24"/>
      <c r="E1746" s="25"/>
      <c r="F1746" s="26"/>
      <c r="G1746" s="325"/>
      <c r="H1746" s="332"/>
      <c r="I1746" s="333"/>
      <c r="J1746" s="359"/>
      <c r="K1746" s="27"/>
      <c r="L1746" s="330"/>
      <c r="M1746" s="34"/>
      <c r="N1746" s="35"/>
    </row>
    <row r="1747" spans="2:14" ht="15" x14ac:dyDescent="0.25">
      <c r="B1747" s="30"/>
      <c r="C1747" s="23"/>
      <c r="D1747" s="24"/>
      <c r="E1747" s="25"/>
      <c r="F1747" s="26"/>
      <c r="G1747" s="325"/>
      <c r="H1747" s="332"/>
      <c r="I1747" s="333"/>
      <c r="J1747" s="359"/>
      <c r="K1747" s="27"/>
      <c r="L1747" s="330"/>
      <c r="M1747" s="34"/>
      <c r="N1747" s="35"/>
    </row>
    <row r="1748" spans="2:14" ht="15" x14ac:dyDescent="0.25">
      <c r="B1748" s="30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60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5"/>
    </row>
    <row r="1758" spans="2:14" x14ac:dyDescent="0.2">
      <c r="B1758" s="37"/>
      <c r="C1758" s="23"/>
      <c r="D1758" s="24"/>
      <c r="E1758" s="25"/>
      <c r="F1758" s="60"/>
      <c r="G1758" s="26"/>
      <c r="H1758" s="329"/>
      <c r="I1758" s="42"/>
      <c r="J1758" s="360"/>
      <c r="K1758" s="27"/>
      <c r="L1758" s="33"/>
      <c r="M1758" s="34"/>
      <c r="N1758" s="35"/>
    </row>
    <row r="1759" spans="2:14" ht="15" x14ac:dyDescent="0.25">
      <c r="B1759" s="37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2"/>
      <c r="D1760" s="24"/>
      <c r="E1760" s="25"/>
      <c r="F1760" s="60"/>
      <c r="G1760" s="26"/>
      <c r="H1760" s="329"/>
      <c r="I1760" s="41"/>
      <c r="J1760" s="358"/>
      <c r="K1760" s="27"/>
      <c r="L1760" s="33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ht="15" x14ac:dyDescent="0.25">
      <c r="B1770" s="37"/>
      <c r="C1770" s="53"/>
      <c r="D1770" s="24"/>
      <c r="E1770" s="25"/>
      <c r="F1770" s="26"/>
      <c r="G1770" s="325"/>
      <c r="H1770" s="332"/>
      <c r="I1770" s="333"/>
      <c r="J1770" s="359"/>
      <c r="K1770" s="27"/>
      <c r="L1770" s="330"/>
      <c r="M1770" s="34"/>
      <c r="N1770" s="35"/>
    </row>
    <row r="1771" spans="2:14" ht="15" x14ac:dyDescent="0.25">
      <c r="B1771" s="37"/>
      <c r="C1771" s="53"/>
      <c r="D1771" s="24"/>
      <c r="E1771" s="25"/>
      <c r="F1771" s="26"/>
      <c r="G1771" s="325"/>
      <c r="H1771" s="332"/>
      <c r="I1771" s="333"/>
      <c r="J1771" s="359"/>
      <c r="K1771" s="27"/>
      <c r="L1771" s="330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0"/>
      <c r="C1773" s="23"/>
      <c r="D1773" s="24"/>
      <c r="E1773" s="25"/>
      <c r="F1773" s="26"/>
      <c r="G1773" s="26"/>
      <c r="H1773" s="329"/>
      <c r="I1773" s="41"/>
      <c r="J1773" s="358"/>
      <c r="K1773" s="36"/>
      <c r="L1773" s="33"/>
      <c r="M1773" s="34"/>
      <c r="N1773" s="35"/>
    </row>
    <row r="1774" spans="2:14" ht="15" x14ac:dyDescent="0.25">
      <c r="B1774" s="30"/>
      <c r="C1774" s="23"/>
      <c r="D1774" s="24"/>
      <c r="E1774" s="25"/>
      <c r="F1774" s="26"/>
      <c r="G1774" s="325"/>
      <c r="H1774" s="332"/>
      <c r="I1774" s="333"/>
      <c r="J1774" s="359"/>
      <c r="K1774" s="27"/>
      <c r="L1774" s="33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9"/>
      <c r="I1779" s="42"/>
      <c r="J1779" s="360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x14ac:dyDescent="0.2">
      <c r="B1781" s="37"/>
      <c r="C1781" s="52"/>
      <c r="D1781" s="24"/>
      <c r="E1781" s="25"/>
      <c r="F1781" s="26"/>
      <c r="G1781" s="26"/>
      <c r="H1781" s="329"/>
      <c r="I1781" s="42"/>
      <c r="J1781" s="360"/>
      <c r="K1781" s="27"/>
      <c r="L1781" s="33"/>
      <c r="M1781" s="34"/>
      <c r="N1781" s="35"/>
    </row>
    <row r="1782" spans="2:14" x14ac:dyDescent="0.2">
      <c r="B1782" s="37"/>
      <c r="C1782" s="23"/>
      <c r="D1782" s="24"/>
      <c r="E1782" s="25"/>
      <c r="F1782" s="26"/>
      <c r="G1782" s="325"/>
      <c r="H1782" s="332"/>
      <c r="I1782" s="334"/>
      <c r="J1782" s="361"/>
      <c r="K1782" s="27"/>
      <c r="L1782" s="33"/>
      <c r="M1782" s="34"/>
      <c r="N1782" s="35"/>
    </row>
    <row r="1783" spans="2:14" x14ac:dyDescent="0.2">
      <c r="B1783" s="37"/>
      <c r="C1783" s="52"/>
      <c r="D1783" s="24"/>
      <c r="E1783" s="25"/>
      <c r="F1783" s="26"/>
      <c r="G1783" s="26"/>
      <c r="H1783" s="329"/>
      <c r="I1783" s="42"/>
      <c r="J1783" s="360"/>
      <c r="K1783" s="36"/>
      <c r="L1783" s="33"/>
      <c r="M1783" s="34"/>
      <c r="N1783" s="35"/>
    </row>
    <row r="1784" spans="2:14" x14ac:dyDescent="0.2">
      <c r="B1784" s="37"/>
      <c r="C1784" s="53"/>
      <c r="D1784" s="24"/>
      <c r="E1784" s="25"/>
      <c r="F1784" s="26"/>
      <c r="G1784" s="26"/>
      <c r="H1784" s="329"/>
      <c r="I1784" s="334"/>
      <c r="J1784" s="361"/>
      <c r="K1784" s="36"/>
      <c r="L1784" s="330"/>
      <c r="M1784" s="34"/>
      <c r="N1784" s="35"/>
    </row>
    <row r="1785" spans="2:14" ht="15" x14ac:dyDescent="0.25">
      <c r="B1785" s="37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0"/>
      <c r="M1785" s="34"/>
      <c r="N1785" s="35"/>
    </row>
    <row r="1786" spans="2:14" ht="15" x14ac:dyDescent="0.25">
      <c r="B1786" s="37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26"/>
      <c r="H1787" s="329"/>
      <c r="I1787" s="333"/>
      <c r="J1787" s="359"/>
      <c r="K1787" s="36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36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36"/>
      <c r="L1798" s="33"/>
      <c r="M1798" s="34"/>
      <c r="N1798" s="35"/>
    </row>
    <row r="1799" spans="2:14" ht="15" x14ac:dyDescent="0.25">
      <c r="B1799" s="30"/>
      <c r="C1799" s="23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23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0"/>
      <c r="C1803" s="53"/>
      <c r="D1803" s="24"/>
      <c r="E1803" s="25"/>
      <c r="F1803" s="26"/>
      <c r="G1803" s="325"/>
      <c r="H1803" s="332"/>
      <c r="I1803" s="333"/>
      <c r="J1803" s="359"/>
      <c r="K1803" s="36"/>
      <c r="L1803" s="33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36"/>
      <c r="L1805" s="33"/>
      <c r="M1805" s="34"/>
      <c r="N1805" s="35"/>
    </row>
    <row r="1806" spans="2:14" ht="15" x14ac:dyDescent="0.25">
      <c r="B1806" s="37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23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x14ac:dyDescent="0.2">
      <c r="B1808" s="37"/>
      <c r="C1808" s="23"/>
      <c r="D1808" s="24"/>
      <c r="E1808" s="25"/>
      <c r="F1808" s="26"/>
      <c r="G1808" s="26"/>
      <c r="H1808" s="329"/>
      <c r="I1808" s="42"/>
      <c r="J1808" s="360"/>
      <c r="K1808" s="36"/>
      <c r="L1808" s="33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x14ac:dyDescent="0.2">
      <c r="B1810" s="37"/>
      <c r="C1810" s="52"/>
      <c r="D1810" s="24"/>
      <c r="E1810" s="25"/>
      <c r="F1810" s="26"/>
      <c r="G1810" s="26"/>
      <c r="H1810" s="329"/>
      <c r="I1810" s="42"/>
      <c r="J1810" s="360"/>
      <c r="K1810" s="36"/>
      <c r="L1810" s="33"/>
      <c r="M1810" s="34"/>
      <c r="N1810" s="35"/>
    </row>
    <row r="1811" spans="2:14" ht="15" x14ac:dyDescent="0.25">
      <c r="B1811" s="37"/>
      <c r="C1811" s="52"/>
      <c r="D1811" s="24"/>
      <c r="E1811" s="25"/>
      <c r="F1811" s="26"/>
      <c r="G1811" s="26"/>
      <c r="H1811" s="329"/>
      <c r="I1811" s="41"/>
      <c r="J1811" s="358"/>
      <c r="K1811" s="27"/>
      <c r="L1811" s="33"/>
      <c r="M1811" s="34"/>
      <c r="N1811" s="35"/>
    </row>
    <row r="1812" spans="2:14" x14ac:dyDescent="0.2">
      <c r="B1812" s="37"/>
      <c r="C1812" s="52"/>
      <c r="D1812" s="24"/>
      <c r="E1812" s="25"/>
      <c r="F1812" s="26"/>
      <c r="G1812" s="26"/>
      <c r="H1812" s="329"/>
      <c r="I1812" s="42"/>
      <c r="J1812" s="360"/>
      <c r="K1812" s="36"/>
      <c r="L1812" s="330"/>
      <c r="M1812" s="34"/>
      <c r="N1812" s="35"/>
    </row>
    <row r="1813" spans="2:14" ht="15" x14ac:dyDescent="0.25">
      <c r="B1813" s="37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0"/>
      <c r="M1813" s="34"/>
      <c r="N1813" s="35"/>
    </row>
    <row r="1814" spans="2:14" ht="15" x14ac:dyDescent="0.25">
      <c r="B1814" s="37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0"/>
      <c r="M1814" s="34"/>
      <c r="N1814" s="35"/>
    </row>
    <row r="1815" spans="2:14" x14ac:dyDescent="0.2">
      <c r="B1815" s="37"/>
      <c r="C1815" s="23"/>
      <c r="D1815" s="24"/>
      <c r="E1815" s="25"/>
      <c r="F1815" s="26"/>
      <c r="G1815" s="325"/>
      <c r="H1815" s="332"/>
      <c r="I1815" s="334"/>
      <c r="J1815" s="361"/>
      <c r="K1815" s="27"/>
      <c r="L1815" s="33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x14ac:dyDescent="0.2">
      <c r="B1819" s="37"/>
      <c r="C1819" s="23"/>
      <c r="D1819" s="24"/>
      <c r="E1819" s="25"/>
      <c r="F1819" s="26"/>
      <c r="G1819" s="325"/>
      <c r="H1819" s="332"/>
      <c r="I1819" s="334"/>
      <c r="J1819" s="361"/>
      <c r="K1819" s="27"/>
      <c r="L1819" s="33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7"/>
      <c r="C1822" s="53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ht="15" x14ac:dyDescent="0.25">
      <c r="B1823" s="37"/>
      <c r="C1823" s="53"/>
      <c r="D1823" s="24"/>
      <c r="E1823" s="25"/>
      <c r="F1823" s="26"/>
      <c r="G1823" s="325"/>
      <c r="H1823" s="332"/>
      <c r="I1823" s="333"/>
      <c r="J1823" s="359"/>
      <c r="K1823" s="27"/>
      <c r="L1823" s="330"/>
      <c r="M1823" s="34"/>
      <c r="N1823" s="35"/>
    </row>
    <row r="1824" spans="2:14" ht="15" x14ac:dyDescent="0.25">
      <c r="B1824" s="37"/>
      <c r="D1824" s="24"/>
      <c r="E1824" s="25"/>
      <c r="F1824" s="26"/>
      <c r="G1824" s="325"/>
      <c r="H1824" s="332"/>
      <c r="I1824" s="333"/>
      <c r="J1824" s="359"/>
      <c r="K1824" s="27"/>
      <c r="L1824" s="330"/>
      <c r="M1824" s="34"/>
      <c r="N1824" s="35"/>
    </row>
    <row r="1825" spans="2:14" ht="15" x14ac:dyDescent="0.25">
      <c r="B1825" s="30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26"/>
      <c r="H1826" s="329"/>
      <c r="I1826" s="41"/>
      <c r="J1826" s="358"/>
      <c r="K1826" s="36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325"/>
      <c r="H1827" s="332"/>
      <c r="I1827" s="333"/>
      <c r="J1827" s="359"/>
      <c r="K1827" s="27"/>
      <c r="L1827" s="33"/>
      <c r="M1827" s="34"/>
      <c r="N1827" s="35"/>
    </row>
    <row r="1828" spans="2:14" x14ac:dyDescent="0.2">
      <c r="B1828" s="30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26"/>
      <c r="H1830" s="329"/>
      <c r="I1830" s="42"/>
      <c r="J1830" s="360"/>
      <c r="K1830" s="36"/>
      <c r="L1830" s="33"/>
      <c r="M1830" s="34"/>
      <c r="N1830" s="35"/>
    </row>
    <row r="1831" spans="2:14" ht="15" x14ac:dyDescent="0.25">
      <c r="B1831" s="30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0"/>
      <c r="C1832" s="23"/>
      <c r="D1832" s="24"/>
      <c r="E1832" s="25"/>
      <c r="F1832" s="26"/>
      <c r="G1832" s="26"/>
      <c r="H1832" s="329"/>
      <c r="I1832" s="42"/>
      <c r="J1832" s="360"/>
      <c r="K1832" s="27"/>
      <c r="L1832" s="33"/>
      <c r="M1832" s="34"/>
      <c r="N1832" s="35"/>
    </row>
    <row r="1833" spans="2:14" ht="15" x14ac:dyDescent="0.25">
      <c r="B1833" s="30"/>
      <c r="C1833" s="23"/>
      <c r="D1833" s="24"/>
      <c r="E1833" s="25"/>
      <c r="F1833" s="26"/>
      <c r="G1833" s="325"/>
      <c r="H1833" s="332"/>
      <c r="I1833" s="333"/>
      <c r="J1833" s="359"/>
      <c r="K1833" s="27"/>
      <c r="L1833" s="33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26"/>
      <c r="H1836" s="329"/>
      <c r="I1836" s="41"/>
      <c r="J1836" s="358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26"/>
      <c r="H1837" s="329"/>
      <c r="I1837" s="41"/>
      <c r="J1837" s="358"/>
      <c r="K1837" s="27"/>
      <c r="L1837" s="330"/>
      <c r="M1837" s="34"/>
      <c r="N1837" s="35"/>
    </row>
    <row r="1838" spans="2:14" x14ac:dyDescent="0.2">
      <c r="B1838" s="37"/>
      <c r="C1838" s="23"/>
      <c r="D1838" s="24"/>
      <c r="E1838" s="25"/>
      <c r="F1838" s="26"/>
      <c r="G1838" s="26"/>
      <c r="H1838" s="329"/>
      <c r="I1838" s="42"/>
      <c r="J1838" s="360"/>
      <c r="K1838" s="27"/>
      <c r="L1838" s="33"/>
      <c r="M1838" s="34"/>
      <c r="N1838" s="35"/>
    </row>
    <row r="1839" spans="2:14" x14ac:dyDescent="0.2">
      <c r="B1839" s="30"/>
      <c r="C1839" s="23"/>
      <c r="D1839" s="24"/>
      <c r="E1839" s="25"/>
      <c r="F1839" s="26"/>
      <c r="G1839" s="26"/>
      <c r="H1839" s="329"/>
      <c r="I1839" s="42"/>
      <c r="J1839" s="360"/>
      <c r="K1839" s="27"/>
      <c r="L1839" s="33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0"/>
      <c r="M1844" s="34"/>
      <c r="N1844" s="35"/>
    </row>
    <row r="1845" spans="2:14" ht="15" x14ac:dyDescent="0.25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0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0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42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36"/>
      <c r="L1851" s="33"/>
      <c r="M1851" s="34"/>
      <c r="N1851" s="35"/>
    </row>
  </sheetData>
  <sortState xmlns:xlrd2="http://schemas.microsoft.com/office/spreadsheetml/2017/richdata2" ref="B7:I1048560">
    <sortCondition ref="C7:C30"/>
  </sortState>
  <mergeCells count="3">
    <mergeCell ref="D1:H1"/>
    <mergeCell ref="D2:K2"/>
    <mergeCell ref="B3:F4"/>
  </mergeCells>
  <phoneticPr fontId="19" type="noConversion"/>
  <conditionalFormatting sqref="H1824:H1847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4:H1846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4:H1845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4:E1851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4:E1851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4:E1851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4:E1851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4:E1851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4:E1851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4:E1851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4:E1851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4:H1851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4:H1851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4:H1851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4:E1851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4:H1851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4:E1851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4:H1851">
    <cfRule type="iconSet" priority="282941">
      <iconSet>
        <cfvo type="percent" val="0"/>
        <cfvo type="percent" val="23"/>
        <cfvo type="percent" val="70"/>
      </iconSet>
    </cfRule>
  </conditionalFormatting>
  <conditionalFormatting sqref="H1824:H1851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4:H1851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4:H1851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4:H1851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4:E1851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4:H1851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4:H1851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4:H1851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4:H1851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4:H1851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4:E1851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4:H1851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4:H1851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4:E1851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4:E1851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4:H1851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4:H1851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4:H1851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4:E1851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4:H1851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4:H1851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4:H1851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4:H1851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4:H1851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4:H1851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4:E1851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4:H1851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4:H1851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4:H1851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4:H1851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4:H1851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4:H1851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4:H1851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4:H1851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4:E1851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4:H1851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4:E1851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4:H1851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4:E1851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4:H1851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4:H1851">
    <cfRule type="iconSet" priority="283409">
      <iconSet>
        <cfvo type="percent" val="0"/>
        <cfvo type="num" val="22"/>
        <cfvo type="num" val="26"/>
      </iconSet>
    </cfRule>
  </conditionalFormatting>
  <conditionalFormatting sqref="H1824:H1851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4:H1851">
    <cfRule type="iconSet" priority="283415">
      <iconSet>
        <cfvo type="percent" val="0"/>
        <cfvo type="num" val="21"/>
        <cfvo type="num" val="25"/>
      </iconSet>
    </cfRule>
  </conditionalFormatting>
  <conditionalFormatting sqref="H1824:H1851">
    <cfRule type="iconSet" priority="283417">
      <iconSet>
        <cfvo type="percent" val="0"/>
        <cfvo type="num" val="19"/>
        <cfvo type="num" val="23"/>
      </iconSet>
    </cfRule>
  </conditionalFormatting>
  <conditionalFormatting sqref="H1824:H1851">
    <cfRule type="iconSet" priority="283419">
      <iconSet>
        <cfvo type="percent" val="0"/>
        <cfvo type="num" val="23"/>
        <cfvo type="num" val="27"/>
      </iconSet>
    </cfRule>
  </conditionalFormatting>
  <conditionalFormatting sqref="E1738:E1740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3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32:E1161 E7:E30">
    <cfRule type="cellIs" dxfId="19" priority="170" operator="greaterThan">
      <formula>7</formula>
    </cfRule>
  </conditionalFormatting>
  <conditionalFormatting sqref="E1471:E4749">
    <cfRule type="cellIs" dxfId="18" priority="137" operator="greaterThan">
      <formula>7</formula>
    </cfRule>
  </conditionalFormatting>
  <conditionalFormatting sqref="I32:I1233 G32:G34 I7:I30">
    <cfRule type="cellIs" dxfId="17" priority="41" operator="lessThan">
      <formula>E7</formula>
    </cfRule>
  </conditionalFormatting>
  <conditionalFormatting sqref="I1824:I1851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4:I1851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4:I1851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4:I1851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4:I1851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4:I1851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4:I1851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4:I1851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4:I1851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4:I1851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4:I1851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4:I1851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4:I1851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4:I1851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20:H1457 H1244:H1418 H32:H1233 H7:H30">
    <cfRule type="cellIs" dxfId="16" priority="297748" operator="greaterThan">
      <formula>$H$31</formula>
    </cfRule>
  </conditionalFormatting>
  <conditionalFormatting sqref="L7:L1233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8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E1824:E1851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H1824:H1851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E1738:E1740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I1824:I1851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H1824:H1851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H1824:H1851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L1824:L1851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H1824:H1851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E1718:E1737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$H$31</xm:f>
              </x14:cfvo>
              <x14:cfIcon iconSet="NoIcons" iconId="0"/>
              <x14:cfIcon iconSet="NoIcons" iconId="0"/>
              <x14:cfIcon iconSet="3Stars" iconId="2"/>
            </x14:iconSet>
          </x14:cfRule>
          <xm:sqref>H1244:H1254 H32:H1233 H7:H30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2026-01-13T06:33:23Z</cp:lastPrinted>
  <dcterms:created xsi:type="dcterms:W3CDTF">2021-05-05T13:25:05Z</dcterms:created>
  <dcterms:modified xsi:type="dcterms:W3CDTF">2026-01-13T06:34:13Z</dcterms:modified>
</cp:coreProperties>
</file>