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939949FA-9923-4BAE-BA07-3DEE26909F4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H13" i="1"/>
  <c r="M13" i="1"/>
  <c r="C48" i="1"/>
  <c r="G48" i="1"/>
  <c r="F48" i="1"/>
  <c r="E4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O47" i="1"/>
  <c r="Q47" i="1" s="1"/>
  <c r="M7" i="1"/>
  <c r="M8" i="1"/>
  <c r="M9" i="1"/>
  <c r="M10" i="1"/>
  <c r="M11" i="1"/>
  <c r="M12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H29" i="1"/>
  <c r="H31" i="1"/>
  <c r="H32" i="1"/>
  <c r="H10" i="1"/>
  <c r="H17" i="1"/>
  <c r="H34" i="1"/>
  <c r="H35" i="1"/>
  <c r="H36" i="1"/>
  <c r="H7" i="1"/>
  <c r="H11" i="1"/>
  <c r="H37" i="1"/>
  <c r="H40" i="1"/>
  <c r="H41" i="1"/>
  <c r="H42" i="1"/>
  <c r="H43" i="1"/>
  <c r="H44" i="1"/>
  <c r="H46" i="1"/>
  <c r="H39" i="1"/>
  <c r="H12" i="1"/>
  <c r="H19" i="1"/>
  <c r="H8" i="1"/>
  <c r="H9" i="1"/>
  <c r="H21" i="1"/>
  <c r="H14" i="1"/>
  <c r="H26" i="1"/>
  <c r="H27" i="1"/>
  <c r="H16" i="1"/>
  <c r="H20" i="1"/>
  <c r="H22" i="1"/>
  <c r="H24" i="1"/>
  <c r="H25" i="1"/>
  <c r="H30" i="1"/>
  <c r="H28" i="1"/>
  <c r="H23" i="1"/>
  <c r="H47" i="1"/>
  <c r="H15" i="1"/>
  <c r="H45" i="1"/>
  <c r="H18" i="1"/>
  <c r="H33" i="1"/>
  <c r="H38" i="1"/>
  <c r="P3" i="6"/>
  <c r="T48" i="1"/>
  <c r="O48" i="1"/>
  <c r="Q48" i="1" s="1"/>
  <c r="M9" i="6"/>
  <c r="H10" i="3"/>
  <c r="S152" i="6"/>
  <c r="V11" i="6"/>
  <c r="I11" i="6"/>
  <c r="H11" i="6"/>
  <c r="V10" i="6"/>
  <c r="V9" i="6"/>
  <c r="V8" i="6"/>
  <c r="V7" i="6"/>
  <c r="M7" i="6"/>
  <c r="T68" i="1"/>
  <c r="O68" i="1"/>
  <c r="P68" i="1" s="1"/>
  <c r="T67" i="1"/>
  <c r="O67" i="1"/>
  <c r="P67" i="1" s="1"/>
  <c r="T66" i="1"/>
  <c r="O66" i="1"/>
  <c r="Q66" i="1" s="1"/>
  <c r="T65" i="1"/>
  <c r="O65" i="1"/>
  <c r="Q65" i="1" s="1"/>
  <c r="T64" i="1"/>
  <c r="O64" i="1"/>
  <c r="P64" i="1" s="1"/>
  <c r="U63" i="1"/>
  <c r="T63" i="1"/>
  <c r="O63" i="1"/>
  <c r="P63" i="1" s="1"/>
  <c r="U62" i="1"/>
  <c r="T62" i="1"/>
  <c r="O62" i="1"/>
  <c r="P62" i="1" s="1"/>
  <c r="U61" i="1"/>
  <c r="T61" i="1"/>
  <c r="O61" i="1"/>
  <c r="Q61" i="1" s="1"/>
  <c r="U60" i="1"/>
  <c r="T60" i="1"/>
  <c r="O60" i="1"/>
  <c r="Q60" i="1" s="1"/>
  <c r="U59" i="1"/>
  <c r="T59" i="1"/>
  <c r="O59" i="1"/>
  <c r="P59" i="1" s="1"/>
  <c r="U58" i="1"/>
  <c r="T58" i="1"/>
  <c r="O58" i="1"/>
  <c r="P58" i="1" s="1"/>
  <c r="U57" i="1"/>
  <c r="T57" i="1"/>
  <c r="O57" i="1"/>
  <c r="Q57" i="1" s="1"/>
  <c r="U56" i="1"/>
  <c r="T56" i="1"/>
  <c r="O56" i="1"/>
  <c r="Q56" i="1" s="1"/>
  <c r="U55" i="1"/>
  <c r="T55" i="1"/>
  <c r="O55" i="1"/>
  <c r="P55" i="1" s="1"/>
  <c r="T54" i="1"/>
  <c r="O54" i="1"/>
  <c r="P54" i="1" s="1"/>
  <c r="T53" i="1"/>
  <c r="O53" i="1"/>
  <c r="Q53" i="1" s="1"/>
  <c r="T52" i="1"/>
  <c r="O52" i="1"/>
  <c r="Q52" i="1" s="1"/>
  <c r="T51" i="1"/>
  <c r="O51" i="1"/>
  <c r="P51" i="1" s="1"/>
  <c r="T50" i="1"/>
  <c r="O50" i="1"/>
  <c r="Q50" i="1" s="1"/>
  <c r="T49" i="1"/>
  <c r="O49" i="1"/>
  <c r="Q49" i="1" s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D13" i="3"/>
  <c r="H11" i="3"/>
  <c r="D12" i="3"/>
  <c r="E13" i="3"/>
  <c r="AP6" i="3"/>
  <c r="H48" i="1" l="1"/>
  <c r="I11" i="1"/>
  <c r="I26" i="1"/>
  <c r="J26" i="1" s="1"/>
  <c r="I13" i="1"/>
  <c r="J13" i="1" s="1"/>
  <c r="U15" i="1"/>
  <c r="I45" i="1"/>
  <c r="P45" i="1" s="1"/>
  <c r="L45" i="1" s="1"/>
  <c r="I9" i="1"/>
  <c r="J9" i="1" s="1"/>
  <c r="I34" i="1"/>
  <c r="J34" i="1" s="1"/>
  <c r="U33" i="1"/>
  <c r="I28" i="1"/>
  <c r="P28" i="1" s="1"/>
  <c r="L28" i="1" s="1"/>
  <c r="I39" i="1"/>
  <c r="P39" i="1" s="1"/>
  <c r="L39" i="1" s="1"/>
  <c r="I31" i="1"/>
  <c r="J31" i="1" s="1"/>
  <c r="I22" i="1"/>
  <c r="I42" i="1"/>
  <c r="P42" i="1" s="1"/>
  <c r="L42" i="1" s="1"/>
  <c r="I38" i="1"/>
  <c r="J38" i="1" s="1"/>
  <c r="I15" i="1"/>
  <c r="J15" i="1" s="1"/>
  <c r="I30" i="1"/>
  <c r="J30" i="1" s="1"/>
  <c r="I20" i="1"/>
  <c r="J20" i="1" s="1"/>
  <c r="I14" i="1"/>
  <c r="J14" i="1" s="1"/>
  <c r="I8" i="1"/>
  <c r="P8" i="1" s="1"/>
  <c r="L8" i="1" s="1"/>
  <c r="I46" i="1"/>
  <c r="I41" i="1"/>
  <c r="P41" i="1" s="1"/>
  <c r="L41" i="1" s="1"/>
  <c r="I7" i="1"/>
  <c r="P7" i="1" s="1"/>
  <c r="L7" i="1" s="1"/>
  <c r="I17" i="1"/>
  <c r="P17" i="1" s="1"/>
  <c r="L17" i="1" s="1"/>
  <c r="I29" i="1"/>
  <c r="U20" i="1"/>
  <c r="U8" i="1"/>
  <c r="I33" i="1"/>
  <c r="J46" i="1" s="1"/>
  <c r="I47" i="1"/>
  <c r="I25" i="1"/>
  <c r="J25" i="1" s="1"/>
  <c r="I16" i="1"/>
  <c r="J16" i="1" s="1"/>
  <c r="I21" i="1"/>
  <c r="J29" i="1" s="1"/>
  <c r="I19" i="1"/>
  <c r="I44" i="1"/>
  <c r="P44" i="1" s="1"/>
  <c r="L44" i="1" s="1"/>
  <c r="I40" i="1"/>
  <c r="I36" i="1"/>
  <c r="P36" i="1" s="1"/>
  <c r="L36" i="1" s="1"/>
  <c r="I10" i="1"/>
  <c r="J10" i="1" s="1"/>
  <c r="U30" i="1"/>
  <c r="U14" i="1"/>
  <c r="I18" i="1"/>
  <c r="P18" i="1" s="1"/>
  <c r="L18" i="1" s="1"/>
  <c r="I23" i="1"/>
  <c r="I24" i="1"/>
  <c r="J24" i="1" s="1"/>
  <c r="I27" i="1"/>
  <c r="J27" i="1" s="1"/>
  <c r="I12" i="1"/>
  <c r="J12" i="1" s="1"/>
  <c r="I43" i="1"/>
  <c r="J43" i="1" s="1"/>
  <c r="I37" i="1"/>
  <c r="J37" i="1" s="1"/>
  <c r="I35" i="1"/>
  <c r="P35" i="1" s="1"/>
  <c r="L35" i="1" s="1"/>
  <c r="I32" i="1"/>
  <c r="P32" i="1" s="1"/>
  <c r="L32" i="1" s="1"/>
  <c r="U47" i="1"/>
  <c r="U16" i="1"/>
  <c r="U21" i="1"/>
  <c r="U19" i="1"/>
  <c r="U44" i="1"/>
  <c r="U40" i="1"/>
  <c r="U36" i="1"/>
  <c r="U10" i="1"/>
  <c r="U25" i="1"/>
  <c r="U18" i="1"/>
  <c r="U23" i="1"/>
  <c r="U24" i="1"/>
  <c r="U27" i="1"/>
  <c r="U13" i="1"/>
  <c r="U12" i="1"/>
  <c r="U43" i="1"/>
  <c r="U37" i="1"/>
  <c r="U35" i="1"/>
  <c r="U32" i="1"/>
  <c r="U46" i="1"/>
  <c r="U41" i="1"/>
  <c r="U7" i="1"/>
  <c r="U17" i="1"/>
  <c r="U29" i="1"/>
  <c r="U38" i="1"/>
  <c r="U45" i="1"/>
  <c r="U28" i="1"/>
  <c r="U22" i="1"/>
  <c r="U26" i="1"/>
  <c r="U9" i="1"/>
  <c r="U39" i="1"/>
  <c r="U42" i="1"/>
  <c r="U11" i="1"/>
  <c r="U34" i="1"/>
  <c r="U31" i="1"/>
  <c r="J23" i="1"/>
  <c r="J19" i="1"/>
  <c r="J22" i="1"/>
  <c r="J11" i="1"/>
  <c r="J45" i="1"/>
  <c r="P47" i="1"/>
  <c r="L47" i="1" s="1"/>
  <c r="P43" i="1"/>
  <c r="L43" i="1" s="1"/>
  <c r="P23" i="1"/>
  <c r="L23" i="1" s="1"/>
  <c r="P19" i="1"/>
  <c r="L19" i="1" s="1"/>
  <c r="P46" i="1"/>
  <c r="L46" i="1" s="1"/>
  <c r="P30" i="1"/>
  <c r="L30" i="1" s="1"/>
  <c r="P22" i="1"/>
  <c r="L22" i="1" s="1"/>
  <c r="P11" i="1"/>
  <c r="L11" i="1" s="1"/>
  <c r="P29" i="1"/>
  <c r="L29" i="1" s="1"/>
  <c r="P25" i="1"/>
  <c r="L25" i="1" s="1"/>
  <c r="P10" i="1"/>
  <c r="L10" i="1" s="1"/>
  <c r="P48" i="1"/>
  <c r="U48" i="1"/>
  <c r="Q59" i="1"/>
  <c r="P60" i="1"/>
  <c r="Q3" i="1"/>
  <c r="Q55" i="1"/>
  <c r="P56" i="1"/>
  <c r="Q63" i="1"/>
  <c r="R3" i="1"/>
  <c r="Q58" i="1"/>
  <c r="Q62" i="1"/>
  <c r="P57" i="1"/>
  <c r="P61" i="1"/>
  <c r="M10" i="6"/>
  <c r="M8" i="6"/>
  <c r="M11" i="6" s="1"/>
  <c r="Q3" i="6"/>
  <c r="R3" i="6" s="1"/>
  <c r="S3" i="6" s="1"/>
  <c r="AO7" i="3"/>
  <c r="H12" i="3"/>
  <c r="I12" i="3" s="1"/>
  <c r="I11" i="3"/>
  <c r="P52" i="1"/>
  <c r="Q68" i="1"/>
  <c r="Q67" i="1"/>
  <c r="Q54" i="1"/>
  <c r="P50" i="1"/>
  <c r="Q64" i="1"/>
  <c r="Q51" i="1"/>
  <c r="P66" i="1"/>
  <c r="P49" i="1"/>
  <c r="P53" i="1"/>
  <c r="P65" i="1"/>
  <c r="P38" i="1" l="1"/>
  <c r="L38" i="1" s="1"/>
  <c r="P34" i="1"/>
  <c r="L34" i="1" s="1"/>
  <c r="J28" i="1"/>
  <c r="P33" i="1"/>
  <c r="L33" i="1" s="1"/>
  <c r="P13" i="1"/>
  <c r="L13" i="1" s="1"/>
  <c r="P26" i="1"/>
  <c r="L26" i="1" s="1"/>
  <c r="P27" i="1"/>
  <c r="L27" i="1" s="1"/>
  <c r="J7" i="1"/>
  <c r="I48" i="1"/>
  <c r="P12" i="1"/>
  <c r="L12" i="1" s="1"/>
  <c r="P15" i="1"/>
  <c r="L15" i="1" s="1"/>
  <c r="P31" i="1"/>
  <c r="L31" i="1" s="1"/>
  <c r="J17" i="1"/>
  <c r="J8" i="1"/>
  <c r="J21" i="1"/>
  <c r="P20" i="1"/>
  <c r="L20" i="1" s="1"/>
  <c r="J42" i="1"/>
  <c r="J41" i="1"/>
  <c r="P24" i="1"/>
  <c r="L24" i="1" s="1"/>
  <c r="J44" i="1"/>
  <c r="P37" i="1"/>
  <c r="L37" i="1" s="1"/>
  <c r="J39" i="1"/>
  <c r="P9" i="1"/>
  <c r="L9" i="1" s="1"/>
  <c r="J40" i="1"/>
  <c r="P14" i="1"/>
  <c r="L14" i="1" s="1"/>
  <c r="P16" i="1"/>
  <c r="L16" i="1" s="1"/>
  <c r="P40" i="1"/>
  <c r="L40" i="1" s="1"/>
  <c r="P21" i="1"/>
  <c r="L21" i="1" s="1"/>
  <c r="J32" i="1"/>
  <c r="J35" i="1"/>
  <c r="J33" i="1"/>
  <c r="J18" i="1"/>
  <c r="J36" i="1"/>
  <c r="J47" i="1"/>
  <c r="N48" i="1"/>
  <c r="S3" i="1"/>
  <c r="T3" i="1" s="1"/>
  <c r="U68" i="1"/>
  <c r="U67" i="1"/>
  <c r="U51" i="1"/>
  <c r="U64" i="1"/>
  <c r="U53" i="1"/>
  <c r="U50" i="1"/>
  <c r="U65" i="1"/>
  <c r="U52" i="1"/>
  <c r="U66" i="1"/>
  <c r="U49" i="1"/>
  <c r="U54" i="1"/>
  <c r="J48" i="1" l="1"/>
  <c r="R10" i="1"/>
  <c r="S10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7" i="1"/>
  <c r="S7" i="1" s="1"/>
  <c r="R11" i="1"/>
  <c r="S11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8" i="1"/>
  <c r="S8" i="1" s="1"/>
  <c r="R12" i="1"/>
  <c r="S12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47" i="1"/>
  <c r="S47" i="1" s="1"/>
  <c r="R9" i="1"/>
  <c r="S9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48" i="1"/>
  <c r="S48" i="1" s="1"/>
  <c r="R58" i="1"/>
  <c r="S58" i="1" s="1"/>
  <c r="R50" i="1"/>
  <c r="S50" i="1" s="1"/>
  <c r="R57" i="1"/>
  <c r="S57" i="1" s="1"/>
  <c r="R52" i="1"/>
  <c r="S52" i="1" s="1"/>
  <c r="R61" i="1"/>
  <c r="S61" i="1" s="1"/>
  <c r="R53" i="1"/>
  <c r="S53" i="1" s="1"/>
  <c r="R63" i="1"/>
  <c r="S63" i="1" s="1"/>
  <c r="R54" i="1"/>
  <c r="S54" i="1" s="1"/>
  <c r="R49" i="1"/>
  <c r="S49" i="1" s="1"/>
  <c r="R60" i="1"/>
  <c r="S60" i="1" s="1"/>
  <c r="R65" i="1"/>
  <c r="S65" i="1" s="1"/>
  <c r="R59" i="1"/>
  <c r="S59" i="1" s="1"/>
  <c r="R66" i="1"/>
  <c r="S66" i="1" s="1"/>
  <c r="R64" i="1"/>
  <c r="S64" i="1" s="1"/>
  <c r="R62" i="1"/>
  <c r="S62" i="1" s="1"/>
  <c r="R56" i="1"/>
  <c r="S56" i="1" s="1"/>
  <c r="R68" i="1"/>
  <c r="S68" i="1" s="1"/>
  <c r="R67" i="1"/>
  <c r="S67" i="1" s="1"/>
  <c r="R51" i="1"/>
  <c r="S51" i="1" s="1"/>
  <c r="R55" i="1"/>
  <c r="S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<sst xmlns="http://schemas.openxmlformats.org/spreadsheetml/2006/main" count="322" uniqueCount="206">
  <si>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</si>
  <si>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</si>
  <si>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</si>
  <si>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</si>
  <si>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</si>
  <si>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</si>
  <si>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</si>
  <si>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</si>
  <si>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</si>
  <si>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</si>
  <si>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</si>
  <si>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</si>
  <si>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</si>
  <si>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</si>
  <si>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</si>
  <si>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</si>
  <si>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</si>
  <si>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</si>
  <si>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</si>
  <si>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</si>
  <si>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</si>
  <si>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</si>
  <si>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</si>
  <si>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</si>
  <si>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</si>
  <si>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</si>
  <si>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</si>
  <si>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</si>
  <si>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</si>
  <si>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</si>
  <si>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</si>
  <si>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</si>
  <si>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</si>
  <si>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</si>
  <si>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</si>
  <si>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</si>
  <si>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</si>
  <si>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</si>
  <si>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</si>
  <si>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</si>
  <si>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</si>
  <si>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</si>
  <si>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</si>
  <si>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</si>
  <si>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</si>
  <si>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</si>
  <si>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</si>
  <si>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</si>
  <si>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</si>
  <si>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</si>
  <si>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</si>
  <si>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</si>
  <si>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</si>
  <si>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</si>
  <si>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</si>
  <si>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</si>
  <si>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</si>
  <si>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</si>
  <si>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</si>
  <si>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</si>
  <si>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</si>
  <si>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</si>
  <si>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</si>
  <si>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</si>
  <si>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</si>
  <si>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</si>
  <si>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</si>
  <si>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</si>
  <si>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</si>
  <si>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</si>
  <si>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</si>
  <si>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</si>
  <si>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</si>
  <si>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</si>
  <si>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</si>
  <si>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</si>
  <si>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</si>
  <si>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</si>
  <si>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</si>
  <si>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</si>
  <si>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</si>
  <si>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</si>
  <si>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</si>
  <si>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</si>
  <si>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</si>
  <si>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</si>
  <si>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</si>
  <si>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</si>
  <si>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</si>
  <si>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</si>
  <si>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</si>
  <si>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</si>
  <si>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</si>
  <si>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</si>
  <si>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</si>
  <si>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</si>
  <si>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</si>
  <si>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</si>
  <si>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</si>
  <si>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</si>
  <si>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</si>
  <si>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</si>
  <si>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</si>
  <si>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</si>
  <si>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</si>
  <si>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</si>
  <si>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</si>
  <si>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</si>
  <si>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</si>
  <si>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</si>
  <si>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</si>
  <si>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</si>
  <si>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</si>
  <si>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</si>
  <si>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</si>
  <si>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</si>
  <si>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</si>
  <si>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</si>
  <si>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</si>
  <si>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</si>
  <si>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</si>
  <si>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</si>
  <si>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</si>
  <si>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</si>
  <si>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</si>
  <si>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</si>
  <si>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</si>
  <si>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</si>
  <si>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</si>
  <si>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</si>
  <si>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</si>
  <si>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</si>
  <si>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</si>
  <si>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</si>
  <si>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</si>
  <si>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</si>
  <si>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</si>
  <si>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</si>
  <si>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</si>
  <si>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</si>
  <si>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</si>
  <si>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</si>
  <si>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</si>
  <si>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</si>
  <si>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</si>
  <si>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</si>
  <si>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SANCHEZ BETANCOURT FRANSCISCO</t>
  </si>
  <si>
    <t>PALMAR PANA EDIXON JOSUE</t>
  </si>
  <si>
    <t>ALBERTO ARISTIZABAL RAFAEL</t>
  </si>
  <si>
    <t>MURILLO  YORMAN ANDRES</t>
  </si>
  <si>
    <t>DAVID  HENRY GIOVANNY</t>
  </si>
  <si>
    <t>CIRO MARIN RODRIGO ALBERTO</t>
  </si>
  <si>
    <t>AGUDELO GARCIA DENIN ANGELO</t>
  </si>
  <si>
    <t>LOPEZ PINEDA DANIEL ESTIVEN</t>
  </si>
  <si>
    <t>GONZALEZ IPUANA RENE</t>
  </si>
  <si>
    <t>AGUDELO GARCIA LLORDIN ELIAS</t>
  </si>
  <si>
    <t>OSORIO URREGO SANTIAGO</t>
  </si>
  <si>
    <t>FRANCO CARVAJAL GERARDO ANTONIO</t>
  </si>
  <si>
    <t>TSJ935</t>
  </si>
  <si>
    <t>TSJ338</t>
  </si>
  <si>
    <t>OCAMPO OCAMPO ANTONIO JOSE</t>
  </si>
  <si>
    <t>FLORES RINCON JORGE ALBERTO</t>
  </si>
  <si>
    <t>MARTINEZ CHAVERRA LUIS NORBERTO</t>
  </si>
  <si>
    <t>MARIN ALZATE KEVIN ANDRES</t>
  </si>
  <si>
    <t>MIRANDA MACHADO ALVARO</t>
  </si>
  <si>
    <t>IBARGUEN GARRIDO JUAN ESTEBAN</t>
  </si>
  <si>
    <t>LAYOS JIMENEZ JOHAN CAMILO</t>
  </si>
  <si>
    <t>SUAREZ ESCUDERO JONATAN</t>
  </si>
  <si>
    <t>LONDOÑO LOPERA DUVAN ANDRES</t>
  </si>
  <si>
    <t>MARULANDA JARAMILLO DAWER ANDRES</t>
  </si>
  <si>
    <t>TABORDA ROJAS DIEGO ALEJANDRO</t>
  </si>
  <si>
    <t>MACEA ARBELAEZ MATEO</t>
  </si>
  <si>
    <t>ARAQUE ARROYAVE JOSE ALBEIRO</t>
  </si>
  <si>
    <t>HENAO MUÑOZ FERNEY</t>
  </si>
  <si>
    <t>PARIAS MURIEL JHON FREDY</t>
  </si>
  <si>
    <t>ESPINOZA CHAVARRIA GUILLERMO LEON</t>
  </si>
  <si>
    <t>JARAMILLO JARAMILLO FRANCISCO WBEIMAR</t>
  </si>
  <si>
    <t>PARRA VILLA YUBER ALONSO</t>
  </si>
  <si>
    <t>CARTAGENA RAMIREZ FREDY ALONSO</t>
  </si>
  <si>
    <t>QUIRAMA CASTAÑEDA JHON JADER</t>
  </si>
  <si>
    <t>SALDARRIAGA PARRA LUIS ALBERTO</t>
  </si>
  <si>
    <t>MACIAS HERNANDEZ JULIAN DAVID</t>
  </si>
  <si>
    <t>CALLE BOTERO ANDRES CAMILO</t>
  </si>
  <si>
    <t>YEPES TORRES JHON ALEXANDER</t>
  </si>
  <si>
    <t>GARCIA DAVID WILSON ALBERTO</t>
  </si>
  <si>
    <t>VERENZUELA MARTINEZ ALEXANDER</t>
  </si>
  <si>
    <t>LEON PEREZ RAUL ENRIQUE</t>
  </si>
  <si>
    <t>MONTOYA OSPINA GILBERTO ANTONIO</t>
  </si>
  <si>
    <t xml:space="preserve">HINCAPIE VILLA JUAN ESTIVEN </t>
  </si>
  <si>
    <t>2 Descuentos (Transbordo)</t>
  </si>
  <si>
    <t xml:space="preserve">1 Descuento (Transbordo) </t>
  </si>
  <si>
    <t xml:space="preserve">5 Descuentos (Transbordo y despachador) </t>
  </si>
  <si>
    <t xml:space="preserve">5 Descuentos (Transbordo) </t>
  </si>
  <si>
    <t xml:space="preserve">17 Descuentos (Transbordo, jefe de ruta y usuarios desubicados) </t>
  </si>
  <si>
    <t>3 Descuentos (Transbordo)</t>
  </si>
  <si>
    <t xml:space="preserve">10 Descuentos (Transbordo) </t>
  </si>
  <si>
    <t xml:space="preserve">11 Descuentos (Transbordo y usuarios desubicados) </t>
  </si>
  <si>
    <t xml:space="preserve">1 Descuento (Usuario desubicado) </t>
  </si>
  <si>
    <t xml:space="preserve">1 Descuento (Despachador) </t>
  </si>
  <si>
    <t xml:space="preserve">13 Descuentos (Transbordo) </t>
  </si>
  <si>
    <t xml:space="preserve">8 Descuentos (Transbordo) </t>
  </si>
  <si>
    <t xml:space="preserve">5 Descuentos (transbordo) </t>
  </si>
  <si>
    <t xml:space="preserve">15 Descuentos (Transbordo) </t>
  </si>
  <si>
    <t xml:space="preserve">16 Descuentos (Transbordo)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</si>
  <si>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 USUARIOS</t>
    </r>
  </si>
  <si>
    <t xml:space="preserve">Se descuenta 0.5 viaje de 3 05 pm ya que NO  ingresa a la minorista. 13 Descuentos (transbordo, usuario desubicado y despachador)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</si>
</sst>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0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Gill Sans MT"/>
      <family val="2"/>
      <scheme val="minor"/>
    </font>
    <font>
      <sz val="11"/>
      <color rgb="FFFF0000"/>
      <name val="Gill Sans MT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Gill Sans MT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sz val="8"/>
      <name val="Gill Sans MT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 formatCode="General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 formatCode="General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 formatCode="General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 formatCode="General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 formatCode="General">
                  <c:v>43</c:v>
                </c:pt>
              </c:numCache>
            </c:numRef>
          </c:cat>
          <c:val>
            <c:numRef>
              <c:f>Import!$H$7:$H$48</c:f>
              <c:numCache>
                <c:formatCode>_-* #,##0.0_-;\-* #,##0.0_-;_-* "-"??_-;_-@_-</c:formatCode>
                <c:ptCount val="41"/>
                <c:pt idx="0">
                  <c:v>21.8</c:v>
                </c:pt>
                <c:pt idx="1">
                  <c:v>25</c:v>
                </c:pt>
                <c:pt idx="2">
                  <c:v>23.625</c:v>
                </c:pt>
                <c:pt idx="3">
                  <c:v>18.5</c:v>
                </c:pt>
                <c:pt idx="4">
                  <c:v>22.1</c:v>
                </c:pt>
                <c:pt idx="5">
                  <c:v>22.777777777777779</c:v>
                </c:pt>
                <c:pt idx="6">
                  <c:v>13.8</c:v>
                </c:pt>
                <c:pt idx="7">
                  <c:v>21.777777777777779</c:v>
                </c:pt>
                <c:pt idx="8">
                  <c:v>21.111111111111111</c:v>
                </c:pt>
                <c:pt idx="9">
                  <c:v>24.777777777777779</c:v>
                </c:pt>
                <c:pt idx="10">
                  <c:v>25.555555555555557</c:v>
                </c:pt>
                <c:pt idx="11">
                  <c:v>25.7</c:v>
                </c:pt>
                <c:pt idx="12">
                  <c:v>26</c:v>
                </c:pt>
                <c:pt idx="13">
                  <c:v>19.2</c:v>
                </c:pt>
                <c:pt idx="14">
                  <c:v>23.5</c:v>
                </c:pt>
                <c:pt idx="15">
                  <c:v>21.8</c:v>
                </c:pt>
                <c:pt idx="16">
                  <c:v>17.8</c:v>
                </c:pt>
                <c:pt idx="17">
                  <c:v>21</c:v>
                </c:pt>
                <c:pt idx="18">
                  <c:v>15.454545454545455</c:v>
                </c:pt>
                <c:pt idx="19">
                  <c:v>23.272727272727273</c:v>
                </c:pt>
                <c:pt idx="20">
                  <c:v>23.2</c:v>
                </c:pt>
                <c:pt idx="21">
                  <c:v>22.777777777777779</c:v>
                </c:pt>
                <c:pt idx="22">
                  <c:v>22.75</c:v>
                </c:pt>
                <c:pt idx="23">
                  <c:v>17.222222222222221</c:v>
                </c:pt>
                <c:pt idx="24">
                  <c:v>22</c:v>
                </c:pt>
                <c:pt idx="25">
                  <c:v>18.666666666666668</c:v>
                </c:pt>
                <c:pt idx="26">
                  <c:v>22.2</c:v>
                </c:pt>
                <c:pt idx="27">
                  <c:v>20.363636363636363</c:v>
                </c:pt>
                <c:pt idx="28">
                  <c:v>18</c:v>
                </c:pt>
                <c:pt idx="29">
                  <c:v>17</c:v>
                </c:pt>
                <c:pt idx="30">
                  <c:v>19.818181818181817</c:v>
                </c:pt>
                <c:pt idx="31">
                  <c:v>20.75</c:v>
                </c:pt>
                <c:pt idx="32">
                  <c:v>21</c:v>
                </c:pt>
                <c:pt idx="33">
                  <c:v>25.1</c:v>
                </c:pt>
                <c:pt idx="34">
                  <c:v>17.666666666666668</c:v>
                </c:pt>
                <c:pt idx="35">
                  <c:v>23.9</c:v>
                </c:pt>
                <c:pt idx="36">
                  <c:v>17.5</c:v>
                </c:pt>
                <c:pt idx="37">
                  <c:v>21.09090909090909</c:v>
                </c:pt>
                <c:pt idx="38">
                  <c:v>17.2</c:v>
                </c:pt>
                <c:pt idx="39">
                  <c:v>22.4</c:v>
                </c:pt>
                <c:pt idx="40">
                  <c:v>20.625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23850" y="4336"/>
    <xdr:ext cx="2581275" cy="1524507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323850" y="4336"/>
          <a:ext cx="2581275" cy="1524507"/>
        </a:xfrm>
        <a:prstGeom prst="ellipse">
          <a:avLst/>
        </a:prstGeom>
        <a:ln w="63500" cap="rnd">
          <a:solidFill>
            <a:schemeClr val="accent4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117</xdr:row>
      <xdr:rowOff>5161</xdr:rowOff>
    </xdr:from>
    <xdr:to>
      <xdr:col>20</xdr:col>
      <xdr:colOff>148828</xdr:colOff>
      <xdr:row>151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709863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26">
    <sortCondition descending="1" ref="H7:H26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1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Galería">
  <a:themeElements>
    <a:clrScheme name="Galería">
      <a:dk1>
        <a:sysClr val="windowText" lastClr="000000"/>
      </a:dk1>
      <a:lt1>
        <a:sysClr val="window" lastClr="FFFFFF"/>
      </a:lt1>
      <a:dk2>
        <a:srgbClr val="454545"/>
      </a:dk2>
      <a:lt2>
        <a:srgbClr val="DFDBD5"/>
      </a:lt2>
      <a:accent1>
        <a:srgbClr val="B71E42"/>
      </a:accent1>
      <a:accent2>
        <a:srgbClr val="DE478E"/>
      </a:accent2>
      <a:accent3>
        <a:srgbClr val="BC72F0"/>
      </a:accent3>
      <a:accent4>
        <a:srgbClr val="795FAF"/>
      </a:accent4>
      <a:accent5>
        <a:srgbClr val="586EA6"/>
      </a:accent5>
      <a:accent6>
        <a:srgbClr val="6892A0"/>
      </a:accent6>
      <a:hlink>
        <a:srgbClr val="FA2B5C"/>
      </a:hlink>
      <a:folHlink>
        <a:srgbClr val="BC658E"/>
      </a:folHlink>
    </a:clrScheme>
    <a:fontScheme name="Galería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alería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activeCell="B48" sqref="B48"/>
    </sheetView>
  </sheetViews>
  <sheetFormatPr baseColWidth="10" defaultColWidth="11.375" defaultRowHeight="17.25" x14ac:dyDescent="0.35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6" customWidth="1"/>
    <col min="8" max="8" width="10.625" style="337" customWidth="1"/>
    <col min="9" max="9" width="10.375" style="149" customWidth="1"/>
    <col min="10" max="10" width="10.375" style="363" customWidth="1"/>
    <col min="11" max="11" width="56.75" customWidth="1"/>
    <col min="12" max="12" width="10.5" style="338" customWidth="1"/>
    <col min="13" max="13" width="9.625" customWidth="1"/>
    <col min="14" max="14" width="11.375" hidden="1" customWidth="1"/>
    <col min="15" max="15" width="9.375" hidden="1" customWidth="1"/>
    <col min="16" max="16" width="7.5" hidden="1" customWidth="1"/>
    <col min="17" max="17" width="16.25" style="11" hidden="1" customWidth="1"/>
    <col min="18" max="18" width="11.875" hidden="1" customWidth="1"/>
    <col min="19" max="19" width="21.25" hidden="1" customWidth="1"/>
    <col min="20" max="20" width="105.2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9"/>
      <c r="K1" s="195"/>
      <c r="L1"/>
    </row>
    <row r="2" spans="1:32" ht="49.5" thickBot="1" x14ac:dyDescent="0.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33" thickBot="1" x14ac:dyDescent="0.45">
      <c r="B3" s="370"/>
      <c r="C3" s="370"/>
      <c r="D3" s="370"/>
      <c r="E3" s="370"/>
      <c r="F3" s="370"/>
      <c r="G3" s="242"/>
      <c r="H3" s="244"/>
      <c r="I3" s="19"/>
      <c r="J3" s="339"/>
      <c r="K3" s="195"/>
      <c r="L3" s="197"/>
      <c r="Q3" s="55">
        <f>+SUM(G6:G1859)/2</f>
        <v>7812</v>
      </c>
      <c r="R3" s="55">
        <f>+SUM(E6:E1859)/2</f>
        <v>371</v>
      </c>
      <c r="S3" s="55">
        <f>+Q3-R3</f>
        <v>7441</v>
      </c>
      <c r="T3" s="56">
        <f>+S3/R3</f>
        <v>20.056603773584907</v>
      </c>
      <c r="V3" s="15"/>
      <c r="X3" s="15"/>
      <c r="Z3" s="15"/>
      <c r="AB3" s="15"/>
      <c r="AD3" s="15"/>
      <c r="AF3" s="15"/>
    </row>
    <row r="4" spans="1:32" x14ac:dyDescent="0.35">
      <c r="B4" s="370"/>
      <c r="C4" s="370"/>
      <c r="D4" s="370"/>
      <c r="E4" s="370"/>
      <c r="F4" s="370"/>
      <c r="G4" s="194">
        <v>45985</v>
      </c>
      <c r="H4" s="244"/>
      <c r="I4" s="19"/>
      <c r="J4" s="339"/>
      <c r="K4" s="195"/>
      <c r="L4" s="197"/>
    </row>
    <row r="5" spans="1:32" ht="18" thickBot="1" x14ac:dyDescent="0.4">
      <c r="G5" s="243"/>
      <c r="H5" s="244"/>
      <c r="I5" s="20"/>
      <c r="J5" s="340"/>
      <c r="L5" s="197"/>
    </row>
    <row r="6" spans="1:32" ht="40.5" x14ac:dyDescent="0.35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1" t="s">
        <v>113</v>
      </c>
      <c r="J6" s="341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5">
      <c r="B7" s="136" t="s">
        <v>121</v>
      </c>
      <c r="C7" s="166">
        <v>1</v>
      </c>
      <c r="D7" s="151" t="s">
        <v>167</v>
      </c>
      <c r="E7" s="150">
        <v>10</v>
      </c>
      <c r="F7" s="150">
        <v>0</v>
      </c>
      <c r="G7" s="165">
        <v>218</v>
      </c>
      <c r="H7" s="227">
        <f t="shared" ref="H7:H47" si="0">+G7/E7</f>
        <v>21.8</v>
      </c>
      <c r="I7" s="228">
        <f>+(SUM($G$7:$G$1048576)/SUM($E$7:$E$1048576))*E7</f>
        <v>210.56603773584908</v>
      </c>
      <c r="J7" s="364">
        <f>+Tabla2[[#This Row],[PROM DE USUARIOS]]-Tabla2[[#This Row],[USUARIOS]]</f>
        <v>-7.4339622641509209</v>
      </c>
      <c r="K7" s="151" t="s">
        <v>189</v>
      </c>
      <c r="L7" s="163">
        <f t="shared" ref="L7:L12" si="1">P7*585</f>
        <v>117331.13207547172</v>
      </c>
      <c r="M7" s="162" t="str">
        <f>+VLOOKUP(C7,Lista!B:D,3,0)</f>
        <v>MICRO</v>
      </c>
      <c r="N7" s="367">
        <f t="shared" ref="N7:N47" si="2">+(SUMIFS(G:G,M:M,"MICRO",E:E,"&gt;0")*100)/COUNTIF($E$7:$E$47,"&gt;0")</f>
        <v>11263.414634146342</v>
      </c>
      <c r="O7" s="50">
        <f t="shared" ref="O7:O12" si="3">+(E7*1)-V7</f>
        <v>10</v>
      </c>
      <c r="P7" s="47">
        <f t="shared" ref="P7:P12" si="4">+I7-O7-W7</f>
        <v>200.56603773584908</v>
      </c>
      <c r="Q7" s="49">
        <f t="shared" ref="Q7:Q12" si="5">+G7-O7</f>
        <v>208</v>
      </c>
      <c r="R7" s="51">
        <f t="shared" ref="R7:R12" si="6">+E7*$T$3</f>
        <v>200.56603773584908</v>
      </c>
      <c r="S7" s="46">
        <f t="shared" ref="S7:S47" si="7">+R7*550</f>
        <v>110311.32075471699</v>
      </c>
      <c r="T7" t="str">
        <f t="shared" ref="T7:T12" si="8">+IF(K7&lt;&gt;"",K7,"")</f>
        <v>2 Descuentos (Transbordo)</v>
      </c>
      <c r="U7">
        <f>+RANK(H7,$H$6:$H$1048576,1)</f>
        <v>23</v>
      </c>
      <c r="V7"/>
      <c r="W7"/>
      <c r="Y7" t="str">
        <f>TRIM(Tabla2[[#This Row],[CONDUCTOR]])</f>
        <v>SUAREZ ESCUDERO JONATAN</v>
      </c>
    </row>
    <row r="8" spans="1:32" x14ac:dyDescent="0.35">
      <c r="B8" s="136" t="s">
        <v>122</v>
      </c>
      <c r="C8" s="166">
        <v>2</v>
      </c>
      <c r="D8" s="151" t="s">
        <v>174</v>
      </c>
      <c r="E8" s="150">
        <v>9</v>
      </c>
      <c r="F8" s="150">
        <v>0</v>
      </c>
      <c r="G8" s="165">
        <v>225</v>
      </c>
      <c r="H8" s="227">
        <f t="shared" si="0"/>
        <v>25</v>
      </c>
      <c r="I8" s="228">
        <f>+(SUM($G$7:$G$1048576)/SUM($E$7:$E$1048576))*E8</f>
        <v>189.50943396226415</v>
      </c>
      <c r="J8" s="364">
        <f>+Tabla2[[#This Row],[PROM DE USUARIOS]]-Tabla2[[#This Row],[USUARIOS]]</f>
        <v>-35.490566037735846</v>
      </c>
      <c r="K8" s="151"/>
      <c r="L8" s="163">
        <f t="shared" si="1"/>
        <v>105598.01886792453</v>
      </c>
      <c r="M8" s="162">
        <f>+VLOOKUP(C8,Lista!B:D,3,0)</f>
        <v>0</v>
      </c>
      <c r="N8" s="367">
        <f t="shared" si="2"/>
        <v>11263.414634146342</v>
      </c>
      <c r="O8" s="50">
        <f t="shared" si="3"/>
        <v>9</v>
      </c>
      <c r="P8" s="47">
        <f t="shared" si="4"/>
        <v>180.50943396226415</v>
      </c>
      <c r="Q8" s="49">
        <f t="shared" si="5"/>
        <v>216</v>
      </c>
      <c r="R8" s="51">
        <f t="shared" si="6"/>
        <v>180.50943396226415</v>
      </c>
      <c r="S8" s="46">
        <f t="shared" si="7"/>
        <v>99280.188679245286</v>
      </c>
      <c r="T8" t="str">
        <f t="shared" si="8"/>
        <v/>
      </c>
      <c r="U8">
        <f>+RANK(H8,$H$6:$H$1048576,1)</f>
        <v>38</v>
      </c>
      <c r="Y8" t="str">
        <f>TRIM(Tabla2[[#This Row],[CONDUCTOR]])</f>
        <v>PARIAS MURIEL JHON FREDY</v>
      </c>
    </row>
    <row r="9" spans="1:32" x14ac:dyDescent="0.35">
      <c r="B9" s="136" t="s">
        <v>121</v>
      </c>
      <c r="C9" s="166">
        <v>3</v>
      </c>
      <c r="D9" s="151" t="s">
        <v>175</v>
      </c>
      <c r="E9" s="150">
        <v>8</v>
      </c>
      <c r="F9" s="150">
        <v>0</v>
      </c>
      <c r="G9" s="165">
        <v>189</v>
      </c>
      <c r="H9" s="227">
        <f t="shared" si="0"/>
        <v>23.625</v>
      </c>
      <c r="I9" s="228">
        <f>+(SUM($G$7:$G$1048576)/SUM($E$7:$E$1048576))*E9</f>
        <v>168.45283018867926</v>
      </c>
      <c r="J9" s="364">
        <f>+Tabla2[[#This Row],[PROM DE USUARIOS]]-Tabla2[[#This Row],[USUARIOS]]</f>
        <v>-20.547169811320742</v>
      </c>
      <c r="K9" s="151" t="s">
        <v>190</v>
      </c>
      <c r="L9" s="163">
        <f t="shared" si="1"/>
        <v>93864.905660377364</v>
      </c>
      <c r="M9" s="162" t="str">
        <f>+VLOOKUP(C9,Lista!B:D,3,0)</f>
        <v>MICRO</v>
      </c>
      <c r="N9" s="367">
        <f t="shared" si="2"/>
        <v>11263.414634146342</v>
      </c>
      <c r="O9" s="50">
        <f t="shared" si="3"/>
        <v>8</v>
      </c>
      <c r="P9" s="47">
        <f t="shared" si="4"/>
        <v>160.45283018867926</v>
      </c>
      <c r="Q9" s="49">
        <f t="shared" si="5"/>
        <v>181</v>
      </c>
      <c r="R9" s="51">
        <f t="shared" si="6"/>
        <v>160.45283018867926</v>
      </c>
      <c r="S9" s="46">
        <f t="shared" si="7"/>
        <v>88249.056603773599</v>
      </c>
      <c r="T9" t="str">
        <f t="shared" si="8"/>
        <v xml:space="preserve">1 Descuento (Transbordo) </v>
      </c>
      <c r="U9">
        <f>+RANK(H9,$H$6:$H$1048576,1)</f>
        <v>35</v>
      </c>
      <c r="Y9" t="str">
        <f>TRIM(Tabla2[[#This Row],[CONDUCTOR]])</f>
        <v>ESPINOZA CHAVARRIA GUILLERMO LEON</v>
      </c>
    </row>
    <row r="10" spans="1:32" x14ac:dyDescent="0.35">
      <c r="B10" s="136" t="s">
        <v>122</v>
      </c>
      <c r="C10" s="166">
        <v>4</v>
      </c>
      <c r="D10" s="151" t="s">
        <v>146</v>
      </c>
      <c r="E10" s="150">
        <v>8</v>
      </c>
      <c r="F10" s="150">
        <v>0</v>
      </c>
      <c r="G10" s="146">
        <v>148</v>
      </c>
      <c r="H10" s="227">
        <f t="shared" si="0"/>
        <v>18.5</v>
      </c>
      <c r="I10" s="365">
        <f>+(SUM($G$7:$G$1048576)/SUM($E$7:$E$1048576))*E10</f>
        <v>168.45283018867926</v>
      </c>
      <c r="J10" s="364">
        <f>+Tabla2[[#This Row],[PROM DE USUARIOS]]-Tabla2[[#This Row],[USUARIOS]]</f>
        <v>20.452830188679258</v>
      </c>
      <c r="K10" s="151" t="s">
        <v>191</v>
      </c>
      <c r="L10" s="163">
        <f t="shared" si="1"/>
        <v>93864.905660377364</v>
      </c>
      <c r="M10" s="162" t="str">
        <f>+VLOOKUP(C10,Lista!B:D,3,0)</f>
        <v>MICRO</v>
      </c>
      <c r="N10" s="367">
        <f t="shared" si="2"/>
        <v>11263.414634146342</v>
      </c>
      <c r="O10" s="50">
        <f t="shared" si="3"/>
        <v>8</v>
      </c>
      <c r="P10" s="47">
        <f t="shared" si="4"/>
        <v>160.45283018867926</v>
      </c>
      <c r="Q10" s="49">
        <f t="shared" si="5"/>
        <v>140</v>
      </c>
      <c r="R10" s="51">
        <f t="shared" si="6"/>
        <v>160.45283018867926</v>
      </c>
      <c r="S10" s="46">
        <f t="shared" si="7"/>
        <v>88249.056603773599</v>
      </c>
      <c r="T10" t="str">
        <f t="shared" si="8"/>
        <v xml:space="preserve">5 Descuentos (Transbordo y despachador) </v>
      </c>
      <c r="U10">
        <f>+RANK(H10,$H$6:$H$1048576,1)</f>
        <v>10</v>
      </c>
      <c r="Y10" t="str">
        <f>TRIM(Tabla2[[#This Row],[CONDUCTOR]])</f>
        <v>SANCHEZ BETANCOURT FRANSCISCO</v>
      </c>
    </row>
    <row r="11" spans="1:32" x14ac:dyDescent="0.35">
      <c r="B11" s="136" t="s">
        <v>121</v>
      </c>
      <c r="C11" s="137">
        <v>5</v>
      </c>
      <c r="D11" s="151" t="s">
        <v>168</v>
      </c>
      <c r="E11" s="150">
        <v>10</v>
      </c>
      <c r="F11" s="150">
        <v>0</v>
      </c>
      <c r="G11" s="146">
        <v>221</v>
      </c>
      <c r="H11" s="227">
        <f t="shared" si="0"/>
        <v>22.1</v>
      </c>
      <c r="I11" s="228">
        <f>+(SUM($G$7:$G$1048576)/SUM($E$7:$E$1048576))*E11</f>
        <v>210.56603773584908</v>
      </c>
      <c r="J11" s="364">
        <f>+Tabla2[[#This Row],[PROM DE USUARIOS]]-Tabla2[[#This Row],[USUARIOS]]</f>
        <v>-10.433962264150921</v>
      </c>
      <c r="K11" s="151"/>
      <c r="L11" s="163">
        <f t="shared" si="1"/>
        <v>117331.13207547172</v>
      </c>
      <c r="M11" s="162">
        <f>+VLOOKUP(C11,Lista!B:D,3,0)</f>
        <v>0</v>
      </c>
      <c r="N11" s="367">
        <f t="shared" si="2"/>
        <v>11263.414634146342</v>
      </c>
      <c r="O11" s="50">
        <f t="shared" si="3"/>
        <v>10</v>
      </c>
      <c r="P11" s="47">
        <f t="shared" si="4"/>
        <v>200.56603773584908</v>
      </c>
      <c r="Q11" s="49">
        <f t="shared" si="5"/>
        <v>211</v>
      </c>
      <c r="R11" s="51">
        <f t="shared" si="6"/>
        <v>200.56603773584908</v>
      </c>
      <c r="S11" s="46">
        <f t="shared" si="7"/>
        <v>110311.32075471699</v>
      </c>
      <c r="T11" t="str">
        <f t="shared" si="8"/>
        <v/>
      </c>
      <c r="U11">
        <f>+RANK(H11,$H$6:$H$1048576,1)</f>
        <v>26</v>
      </c>
      <c r="Y11" t="str">
        <f>TRIM(Tabla2[[#This Row],[CONDUCTOR]])</f>
        <v>LONDOÑO LOPERA DUVAN ANDRES</v>
      </c>
    </row>
    <row r="12" spans="1:32" x14ac:dyDescent="0.35">
      <c r="B12" s="136" t="s">
        <v>122</v>
      </c>
      <c r="C12" s="166">
        <v>6</v>
      </c>
      <c r="D12" s="151" t="s">
        <v>153</v>
      </c>
      <c r="E12" s="150">
        <v>9</v>
      </c>
      <c r="F12" s="150">
        <v>0</v>
      </c>
      <c r="G12" s="165">
        <v>205</v>
      </c>
      <c r="H12" s="227">
        <f t="shared" si="0"/>
        <v>22.777777777777779</v>
      </c>
      <c r="I12" s="228">
        <f>+(SUM($G$7:$G$1048576)/SUM($E$7:$E$1048576))*E12</f>
        <v>189.50943396226415</v>
      </c>
      <c r="J12" s="364">
        <f>+Tabla2[[#This Row],[PROM DE USUARIOS]]-Tabla2[[#This Row],[USUARIOS]]</f>
        <v>-15.490566037735846</v>
      </c>
      <c r="K12" s="151" t="s">
        <v>189</v>
      </c>
      <c r="L12" s="163">
        <f t="shared" si="1"/>
        <v>105598.01886792453</v>
      </c>
      <c r="M12" s="162" t="str">
        <f>+VLOOKUP(C12,Lista!B:D,3,0)</f>
        <v>MICRO</v>
      </c>
      <c r="N12" s="367">
        <f t="shared" si="2"/>
        <v>11263.414634146342</v>
      </c>
      <c r="O12" s="50">
        <f t="shared" si="3"/>
        <v>9</v>
      </c>
      <c r="P12" s="47">
        <f t="shared" si="4"/>
        <v>180.50943396226415</v>
      </c>
      <c r="Q12" s="49">
        <f t="shared" si="5"/>
        <v>196</v>
      </c>
      <c r="R12" s="51">
        <f t="shared" si="6"/>
        <v>180.50943396226415</v>
      </c>
      <c r="S12" s="46">
        <f t="shared" si="7"/>
        <v>99280.188679245286</v>
      </c>
      <c r="T12" t="str">
        <f t="shared" si="8"/>
        <v>2 Descuentos (Transbordo)</v>
      </c>
      <c r="U12">
        <f>+RANK(H12,$H$6:$H$1048576,1)</f>
        <v>30</v>
      </c>
      <c r="Y12" t="str">
        <f>TRIM(Tabla2[[#This Row],[CONDUCTOR]])</f>
        <v>LOPEZ PINEDA DANIEL ESTIVEN</v>
      </c>
    </row>
    <row r="13" spans="1:32" x14ac:dyDescent="0.35">
      <c r="B13" s="136" t="s">
        <v>122</v>
      </c>
      <c r="C13" s="166">
        <v>8</v>
      </c>
      <c r="D13" s="151" t="s">
        <v>176</v>
      </c>
      <c r="E13" s="150">
        <v>5</v>
      </c>
      <c r="F13" s="150">
        <v>0</v>
      </c>
      <c r="G13" s="165">
        <v>69</v>
      </c>
      <c r="H13" s="227">
        <f t="shared" si="0"/>
        <v>13.8</v>
      </c>
      <c r="I13" s="228">
        <f>+(SUM($G$7:$G$1048576)/SUM($E$7:$E$1048576))*E13</f>
        <v>105.28301886792454</v>
      </c>
      <c r="J13" s="364">
        <f>+Tabla2[[#This Row],[PROM DE USUARIOS]]-Tabla2[[#This Row],[USUARIOS]]</f>
        <v>36.28301886792454</v>
      </c>
      <c r="K13" s="151"/>
      <c r="L13" s="163">
        <f>P13*585</f>
        <v>58665.566037735858</v>
      </c>
      <c r="M13" s="162">
        <f>+VLOOKUP(C13,Lista!B:D,3,0)</f>
        <v>0</v>
      </c>
      <c r="N13" s="367">
        <f t="shared" si="2"/>
        <v>11263.414634146342</v>
      </c>
      <c r="O13" s="50">
        <f>+(E13*1)-V13</f>
        <v>5</v>
      </c>
      <c r="P13" s="47">
        <f>+I13-O13-W13</f>
        <v>100.28301886792454</v>
      </c>
      <c r="Q13" s="49">
        <f>+G13-O13</f>
        <v>64</v>
      </c>
      <c r="R13" s="51">
        <f>+E13*$T$3</f>
        <v>100.28301886792454</v>
      </c>
      <c r="S13" s="46">
        <f t="shared" si="7"/>
        <v>55155.660377358494</v>
      </c>
      <c r="T13" t="str">
        <f>+IF(K13&lt;&gt;"",K13,"")</f>
        <v/>
      </c>
      <c r="U13">
        <f>+RANK(H13,$H$6:$H$1048576,1)</f>
        <v>1</v>
      </c>
      <c r="Y13" t="str">
        <f>TRIM(Tabla2[[#This Row],[CONDUCTOR]])</f>
        <v>JARAMILLO JARAMILLO FRANCISCO WBEIMAR</v>
      </c>
    </row>
    <row r="14" spans="1:32" x14ac:dyDescent="0.35">
      <c r="B14" s="136" t="s">
        <v>121</v>
      </c>
      <c r="C14" s="166">
        <v>9</v>
      </c>
      <c r="D14" s="151" t="s">
        <v>178</v>
      </c>
      <c r="E14" s="150">
        <v>9</v>
      </c>
      <c r="F14" s="150">
        <v>0</v>
      </c>
      <c r="G14" s="165">
        <v>196</v>
      </c>
      <c r="H14" s="227">
        <f t="shared" si="0"/>
        <v>21.777777777777779</v>
      </c>
      <c r="I14" s="228">
        <f>+(SUM($G$7:$G$1048576)/SUM($E$7:$E$1048576))*E14</f>
        <v>189.50943396226415</v>
      </c>
      <c r="J14" s="364">
        <f>+Tabla2[[#This Row],[PROM DE USUARIOS]]-Tabla2[[#This Row],[USUARIOS]]</f>
        <v>-6.4905660377358458</v>
      </c>
      <c r="K14" s="151"/>
      <c r="L14" s="163">
        <f>P14*585</f>
        <v>105598.01886792453</v>
      </c>
      <c r="M14" s="162" t="str">
        <f>+VLOOKUP(C14,Lista!B:D,3,0)</f>
        <v>MICRO</v>
      </c>
      <c r="N14" s="367">
        <f t="shared" si="2"/>
        <v>11263.414634146342</v>
      </c>
      <c r="O14" s="50">
        <f>+(E14*1)-V14</f>
        <v>9</v>
      </c>
      <c r="P14" s="47">
        <f>+I14-O14-W14</f>
        <v>180.50943396226415</v>
      </c>
      <c r="Q14" s="49">
        <f>+G14-O14</f>
        <v>187</v>
      </c>
      <c r="R14" s="51">
        <f>+E14*$T$3</f>
        <v>180.50943396226415</v>
      </c>
      <c r="S14" s="46">
        <f t="shared" si="7"/>
        <v>99280.188679245286</v>
      </c>
      <c r="T14" t="str">
        <f>+IF(K14&lt;&gt;"",K14,"")</f>
        <v/>
      </c>
      <c r="U14">
        <f>+RANK(H14,$H$6:$H$1048576,1)</f>
        <v>22</v>
      </c>
      <c r="Y14" t="str">
        <f>TRIM(Tabla2[[#This Row],[CONDUCTOR]])</f>
        <v>CARTAGENA RAMIREZ FREDY ALONSO</v>
      </c>
    </row>
    <row r="15" spans="1:32" x14ac:dyDescent="0.35">
      <c r="B15" s="136" t="s">
        <v>122</v>
      </c>
      <c r="C15" s="166">
        <v>11</v>
      </c>
      <c r="D15" s="151" t="s">
        <v>183</v>
      </c>
      <c r="E15" s="150">
        <v>9</v>
      </c>
      <c r="F15" s="150">
        <v>0</v>
      </c>
      <c r="G15" s="146">
        <v>190</v>
      </c>
      <c r="H15" s="227">
        <f t="shared" si="0"/>
        <v>21.111111111111111</v>
      </c>
      <c r="I15" s="228">
        <f>+(SUM($G$7:$G$1048576)/SUM($E$7:$E$1048576))*E15</f>
        <v>189.50943396226415</v>
      </c>
      <c r="J15" s="364">
        <f>+Tabla2[[#This Row],[PROM DE USUARIOS]]-Tabla2[[#This Row],[USUARIOS]]</f>
        <v>-0.49056603773584584</v>
      </c>
      <c r="K15" s="151" t="s">
        <v>192</v>
      </c>
      <c r="L15" s="163">
        <f>P15*585</f>
        <v>105598.01886792453</v>
      </c>
      <c r="M15" s="162" t="str">
        <f>+VLOOKUP(C15,Lista!B:D,3,0)</f>
        <v>MICRO</v>
      </c>
      <c r="N15" s="367">
        <f t="shared" si="2"/>
        <v>11263.414634146342</v>
      </c>
      <c r="O15" s="50">
        <f>+(E15*1)-V15</f>
        <v>9</v>
      </c>
      <c r="P15" s="47">
        <f>+I15-O15-W15</f>
        <v>180.50943396226415</v>
      </c>
      <c r="Q15" s="49">
        <f>+G15-O15</f>
        <v>181</v>
      </c>
      <c r="R15" s="51">
        <f>+E15*$T$3</f>
        <v>180.50943396226415</v>
      </c>
      <c r="S15" s="46">
        <f t="shared" si="7"/>
        <v>99280.188679245286</v>
      </c>
      <c r="T15" t="str">
        <f>+IF(K15&lt;&gt;"",K15,"")</f>
        <v xml:space="preserve">5 Descuentos (Transbordo) </v>
      </c>
      <c r="U15">
        <f>+RANK(H15,$H$6:$H$1048576,1)</f>
        <v>21</v>
      </c>
      <c r="Y15" t="str">
        <f>TRIM(Tabla2[[#This Row],[CONDUCTOR]])</f>
        <v>YEPES TORRES JHON ALEXANDER</v>
      </c>
    </row>
    <row r="16" spans="1:32" x14ac:dyDescent="0.35">
      <c r="B16" s="136" t="s">
        <v>121</v>
      </c>
      <c r="C16" s="166">
        <v>12</v>
      </c>
      <c r="D16" s="151" t="s">
        <v>150</v>
      </c>
      <c r="E16" s="150">
        <v>9</v>
      </c>
      <c r="F16" s="150">
        <v>0</v>
      </c>
      <c r="G16" s="165">
        <v>223</v>
      </c>
      <c r="H16" s="227">
        <f t="shared" si="0"/>
        <v>24.777777777777779</v>
      </c>
      <c r="I16" s="228">
        <f>+(SUM($G$7:$G$1048576)/SUM($E$7:$E$1048576))*E16</f>
        <v>189.50943396226415</v>
      </c>
      <c r="J16" s="364">
        <f>+Tabla2[[#This Row],[PROM DE USUARIOS]]-Tabla2[[#This Row],[USUARIOS]]</f>
        <v>-33.490566037735846</v>
      </c>
      <c r="K16" s="151" t="s">
        <v>193</v>
      </c>
      <c r="L16" s="163">
        <f>P16*585</f>
        <v>105598.01886792453</v>
      </c>
      <c r="M16" s="162">
        <f>+VLOOKUP(C16,Lista!B:D,3,0)</f>
        <v>0</v>
      </c>
      <c r="N16" s="367">
        <f t="shared" si="2"/>
        <v>11263.414634146342</v>
      </c>
      <c r="O16" s="50">
        <f>+(E16*1)-V16</f>
        <v>9</v>
      </c>
      <c r="P16" s="47">
        <f>+I16-O16-W16</f>
        <v>180.50943396226415</v>
      </c>
      <c r="Q16" s="49">
        <f>+G16-O16</f>
        <v>214</v>
      </c>
      <c r="R16" s="51">
        <f>+E16*$T$3</f>
        <v>180.50943396226415</v>
      </c>
      <c r="S16" s="46">
        <f t="shared" si="7"/>
        <v>99280.188679245286</v>
      </c>
      <c r="T16" t="str">
        <f>+IF(K16&lt;&gt;"",K16,"")</f>
        <v xml:space="preserve">17 Descuentos (Transbordo, jefe de ruta y usuarios desubicados) </v>
      </c>
      <c r="U16">
        <f>+RANK(H16,$H$6:$H$1048576,1)</f>
        <v>37</v>
      </c>
      <c r="Y16" t="str">
        <f>TRIM(Tabla2[[#This Row],[CONDUCTOR]])</f>
        <v>DAVID HENRY GIOVANNY</v>
      </c>
    </row>
    <row r="17" spans="2:25" x14ac:dyDescent="0.35">
      <c r="B17" s="136" t="s">
        <v>122</v>
      </c>
      <c r="C17" s="166">
        <v>13</v>
      </c>
      <c r="D17" s="151" t="s">
        <v>164</v>
      </c>
      <c r="E17" s="150">
        <v>4.5</v>
      </c>
      <c r="F17" s="150">
        <v>0.5</v>
      </c>
      <c r="G17" s="165">
        <v>115</v>
      </c>
      <c r="H17" s="227">
        <f t="shared" si="0"/>
        <v>25.555555555555557</v>
      </c>
      <c r="I17" s="228">
        <f>+(SUM($G$7:$G$1048576)/SUM($E$7:$E$1048576))*E17</f>
        <v>94.754716981132077</v>
      </c>
      <c r="J17" s="364">
        <f>+Tabla2[[#This Row],[PROM DE USUARIOS]]-Tabla2[[#This Row],[USUARIOS]]</f>
        <v>-20.245283018867923</v>
      </c>
      <c r="K17" s="151"/>
      <c r="L17" s="163">
        <f>P17*585</f>
        <v>52799.009433962266</v>
      </c>
      <c r="M17" s="162" t="str">
        <f>+VLOOKUP(C17,Lista!B:D,3,0)</f>
        <v>MICRO</v>
      </c>
      <c r="N17" s="367">
        <f t="shared" si="2"/>
        <v>11263.414634146342</v>
      </c>
      <c r="O17" s="50">
        <f>+(E17*1)-V17</f>
        <v>4.5</v>
      </c>
      <c r="P17" s="47">
        <f>+I17-O17-W17</f>
        <v>90.254716981132077</v>
      </c>
      <c r="Q17" s="49">
        <f>+G17-O17</f>
        <v>110.5</v>
      </c>
      <c r="R17" s="51">
        <f>+E17*$T$3</f>
        <v>90.254716981132077</v>
      </c>
      <c r="S17" s="46">
        <f t="shared" si="7"/>
        <v>49640.094339622643</v>
      </c>
      <c r="T17" t="str">
        <f>+IF(K17&lt;&gt;"",K17,"")</f>
        <v/>
      </c>
      <c r="U17">
        <f>+RANK(H17,$H$6:$H$1048576,1)</f>
        <v>40</v>
      </c>
      <c r="Y17" t="str">
        <f>TRIM(Tabla2[[#This Row],[CONDUCTOR]])</f>
        <v>MIRANDA MACHADO ALVARO</v>
      </c>
    </row>
    <row r="18" spans="2:25" x14ac:dyDescent="0.35">
      <c r="B18" s="136" t="s">
        <v>121</v>
      </c>
      <c r="C18" s="137">
        <v>14</v>
      </c>
      <c r="D18" s="151" t="s">
        <v>185</v>
      </c>
      <c r="E18" s="150">
        <v>10</v>
      </c>
      <c r="F18" s="150">
        <v>0</v>
      </c>
      <c r="G18" s="165">
        <v>257</v>
      </c>
      <c r="H18" s="227">
        <f t="shared" si="0"/>
        <v>25.7</v>
      </c>
      <c r="I18" s="228">
        <f>+(SUM($G$7:$G$1048576)/SUM($E$7:$E$1048576))*E18</f>
        <v>210.56603773584908</v>
      </c>
      <c r="J18" s="364">
        <f>+Tabla2[[#This Row],[PROM DE USUARIOS]]-Tabla2[[#This Row],[USUARIOS]]</f>
        <v>-46.433962264150921</v>
      </c>
      <c r="K18" s="151"/>
      <c r="L18" s="163">
        <f>P18*585</f>
        <v>117331.13207547172</v>
      </c>
      <c r="M18" s="162">
        <f>+VLOOKUP(C18,Lista!B:D,3,0)</f>
        <v>0</v>
      </c>
      <c r="N18" s="367">
        <f t="shared" si="2"/>
        <v>11263.414634146342</v>
      </c>
      <c r="O18" s="50">
        <f>+(E18*1)-V18</f>
        <v>10</v>
      </c>
      <c r="P18" s="47">
        <f>+I18-O18-W18</f>
        <v>200.56603773584908</v>
      </c>
      <c r="Q18" s="49">
        <f>+G18-O18</f>
        <v>247</v>
      </c>
      <c r="R18" s="51">
        <f>+E18*$T$3</f>
        <v>200.56603773584908</v>
      </c>
      <c r="S18" s="46">
        <f t="shared" si="7"/>
        <v>110311.32075471699</v>
      </c>
      <c r="T18" t="str">
        <f>+IF(K18&lt;&gt;"",K18,"")</f>
        <v/>
      </c>
      <c r="U18">
        <f>+RANK(H18,$H$6:$H$1048576,1)</f>
        <v>41</v>
      </c>
      <c r="Y18" t="str">
        <f>TRIM(Tabla2[[#This Row],[CONDUCTOR]])</f>
        <v>VERENZUELA MARTINEZ ALEXANDER</v>
      </c>
    </row>
    <row r="19" spans="2:25" x14ac:dyDescent="0.35">
      <c r="B19" s="136" t="s">
        <v>122</v>
      </c>
      <c r="C19" s="166">
        <v>15</v>
      </c>
      <c r="D19" s="151" t="s">
        <v>173</v>
      </c>
      <c r="E19" s="150">
        <v>10</v>
      </c>
      <c r="F19" s="150">
        <v>0</v>
      </c>
      <c r="G19" s="165">
        <v>260</v>
      </c>
      <c r="H19" s="227">
        <f t="shared" si="0"/>
        <v>26</v>
      </c>
      <c r="I19" s="228">
        <f>+(SUM($G$7:$G$1048576)/SUM($E$7:$E$1048576))*E19</f>
        <v>210.56603773584908</v>
      </c>
      <c r="J19" s="364">
        <f>+Tabla2[[#This Row],[PROM DE USUARIOS]]-Tabla2[[#This Row],[USUARIOS]]</f>
        <v>-49.433962264150921</v>
      </c>
      <c r="K19" s="151" t="s">
        <v>194</v>
      </c>
      <c r="L19" s="163">
        <f>P19*585</f>
        <v>117331.13207547172</v>
      </c>
      <c r="M19" s="162">
        <f>+VLOOKUP(C19,Lista!B:D,3,0)</f>
        <v>0</v>
      </c>
      <c r="N19" s="367">
        <f t="shared" si="2"/>
        <v>11263.414634146342</v>
      </c>
      <c r="O19" s="50">
        <f>+(E19*1)-V19</f>
        <v>10</v>
      </c>
      <c r="P19" s="47">
        <f>+I19-O19-W19</f>
        <v>200.56603773584908</v>
      </c>
      <c r="Q19" s="49">
        <f>+G19-O19</f>
        <v>250</v>
      </c>
      <c r="R19" s="51">
        <f>+E19*$T$3</f>
        <v>200.56603773584908</v>
      </c>
      <c r="S19" s="46">
        <f t="shared" si="7"/>
        <v>110311.32075471699</v>
      </c>
      <c r="T19" t="str">
        <f>+IF(K19&lt;&gt;"",K19,"")</f>
        <v>3 Descuentos (Transbordo)</v>
      </c>
      <c r="U19">
        <f>+RANK(H19,$H$6:$H$1048576,1)</f>
        <v>42</v>
      </c>
      <c r="Y19" t="str">
        <f>TRIM(Tabla2[[#This Row],[CONDUCTOR]])</f>
        <v>HENAO MUÑOZ FERNEY</v>
      </c>
    </row>
    <row r="20" spans="2:25" x14ac:dyDescent="0.35">
      <c r="B20" s="136" t="s">
        <v>121</v>
      </c>
      <c r="C20" s="166">
        <v>16</v>
      </c>
      <c r="D20" s="151" t="s">
        <v>188</v>
      </c>
      <c r="E20" s="150">
        <v>10</v>
      </c>
      <c r="F20" s="150">
        <v>0</v>
      </c>
      <c r="G20" s="165">
        <v>192</v>
      </c>
      <c r="H20" s="227">
        <f t="shared" si="0"/>
        <v>19.2</v>
      </c>
      <c r="I20" s="228">
        <f>+(SUM($G$7:$G$1048576)/SUM($E$7:$E$1048576))*E20</f>
        <v>210.56603773584908</v>
      </c>
      <c r="J20" s="364">
        <f>+Tabla2[[#This Row],[PROM DE USUARIOS]]-Tabla2[[#This Row],[USUARIOS]]</f>
        <v>18.566037735849079</v>
      </c>
      <c r="K20" s="151" t="s">
        <v>195</v>
      </c>
      <c r="L20" s="163">
        <f>P20*585</f>
        <v>117331.13207547172</v>
      </c>
      <c r="M20" s="162" t="str">
        <f>+VLOOKUP(C20,Lista!B:D,3,0)</f>
        <v>MICRO</v>
      </c>
      <c r="N20" s="367">
        <f t="shared" si="2"/>
        <v>11263.414634146342</v>
      </c>
      <c r="O20" s="50">
        <f>+(E20*1)-V20</f>
        <v>10</v>
      </c>
      <c r="P20" s="47">
        <f>+I20-O20-W20</f>
        <v>200.56603773584908</v>
      </c>
      <c r="Q20" s="49">
        <f>+G20-O20</f>
        <v>182</v>
      </c>
      <c r="R20" s="51">
        <f>+E20*$T$3</f>
        <v>200.56603773584908</v>
      </c>
      <c r="S20" s="46">
        <f t="shared" si="7"/>
        <v>110311.32075471699</v>
      </c>
      <c r="T20" t="str">
        <f>+IF(K20&lt;&gt;"",K20,"")</f>
        <v xml:space="preserve">10 Descuentos (Transbordo) </v>
      </c>
      <c r="U20">
        <f>+RANK(H20,$H$6:$H$1048576,1)</f>
        <v>12</v>
      </c>
      <c r="Y20" t="str">
        <f>TRIM(Tabla2[[#This Row],[CONDUCTOR]])</f>
        <v>HINCAPIE VILLA JUAN ESTIVEN</v>
      </c>
    </row>
    <row r="21" spans="2:25" x14ac:dyDescent="0.35">
      <c r="B21" s="136" t="s">
        <v>122</v>
      </c>
      <c r="C21" s="166">
        <v>17</v>
      </c>
      <c r="D21" s="151" t="s">
        <v>177</v>
      </c>
      <c r="E21" s="150">
        <v>4</v>
      </c>
      <c r="F21" s="150">
        <v>0</v>
      </c>
      <c r="G21" s="165">
        <v>94</v>
      </c>
      <c r="H21" s="227">
        <f t="shared" si="0"/>
        <v>23.5</v>
      </c>
      <c r="I21" s="228">
        <f>+(SUM($G$7:$G$1048576)/SUM($E$7:$E$1048576))*E21</f>
        <v>84.226415094339629</v>
      </c>
      <c r="J21" s="364">
        <f>+Tabla2[[#This Row],[PROM DE USUARIOS]]-Tabla2[[#This Row],[USUARIOS]]</f>
        <v>-9.7735849056603712</v>
      </c>
      <c r="K21" s="151" t="s">
        <v>190</v>
      </c>
      <c r="L21" s="163">
        <f>P21*585</f>
        <v>46932.452830188682</v>
      </c>
      <c r="M21" s="162" t="str">
        <f>+VLOOKUP(C21,Lista!B:D,3,0)</f>
        <v>MICRO</v>
      </c>
      <c r="N21" s="367">
        <f t="shared" si="2"/>
        <v>11263.414634146342</v>
      </c>
      <c r="O21" s="50">
        <f>+(E21*1)-V21</f>
        <v>4</v>
      </c>
      <c r="P21" s="47">
        <f>+I21-O21-W21</f>
        <v>80.226415094339629</v>
      </c>
      <c r="Q21" s="49">
        <f>+G21-O21</f>
        <v>90</v>
      </c>
      <c r="R21" s="51">
        <f>+E21*$T$3</f>
        <v>80.226415094339629</v>
      </c>
      <c r="S21" s="46">
        <f t="shared" si="7"/>
        <v>44124.528301886799</v>
      </c>
      <c r="T21" t="str">
        <f>+IF(K21&lt;&gt;"",K21,"")</f>
        <v xml:space="preserve">1 Descuento (Transbordo) </v>
      </c>
      <c r="U21">
        <f>+RANK(H21,$H$6:$H$1048576,1)</f>
        <v>34</v>
      </c>
      <c r="Y21" t="str">
        <f>TRIM(Tabla2[[#This Row],[CONDUCTOR]])</f>
        <v>PARRA VILLA YUBER ALONSO</v>
      </c>
    </row>
    <row r="22" spans="2:25" x14ac:dyDescent="0.35">
      <c r="B22" s="136" t="s">
        <v>121</v>
      </c>
      <c r="C22" s="166">
        <v>18</v>
      </c>
      <c r="D22" s="151" t="s">
        <v>148</v>
      </c>
      <c r="E22" s="150">
        <v>10</v>
      </c>
      <c r="F22" s="150">
        <v>0</v>
      </c>
      <c r="G22" s="165">
        <v>218</v>
      </c>
      <c r="H22" s="227">
        <f t="shared" si="0"/>
        <v>21.8</v>
      </c>
      <c r="I22" s="228">
        <f>+(SUM($G$7:$G$1048576)/SUM($E$7:$E$1048576))*E22</f>
        <v>210.56603773584908</v>
      </c>
      <c r="J22" s="364">
        <f>+Tabla2[[#This Row],[PROM DE USUARIOS]]-Tabla2[[#This Row],[USUARIOS]]</f>
        <v>-7.4339622641509209</v>
      </c>
      <c r="K22" s="151" t="s">
        <v>196</v>
      </c>
      <c r="L22" s="163">
        <f>P22*585</f>
        <v>117331.13207547172</v>
      </c>
      <c r="M22" s="162" t="str">
        <f>+VLOOKUP(C22,Lista!B:D,3,0)</f>
        <v>MICRO</v>
      </c>
      <c r="N22" s="367">
        <f t="shared" si="2"/>
        <v>11263.414634146342</v>
      </c>
      <c r="O22" s="50">
        <f>+(E22*1)-V22</f>
        <v>10</v>
      </c>
      <c r="P22" s="47">
        <f>+I22-O22-W22</f>
        <v>200.56603773584908</v>
      </c>
      <c r="Q22" s="49">
        <f>+G22-O22</f>
        <v>208</v>
      </c>
      <c r="R22" s="51">
        <f>+E22*$T$3</f>
        <v>200.56603773584908</v>
      </c>
      <c r="S22" s="46">
        <f t="shared" si="7"/>
        <v>110311.32075471699</v>
      </c>
      <c r="T22" t="str">
        <f>+IF(K22&lt;&gt;"",K22,"")</f>
        <v xml:space="preserve">11 Descuentos (Transbordo y usuarios desubicados) </v>
      </c>
      <c r="U22">
        <f>+RANK(H22,$H$6:$H$1048576,1)</f>
        <v>23</v>
      </c>
      <c r="Y22" t="str">
        <f>TRIM(Tabla2[[#This Row],[CONDUCTOR]])</f>
        <v>ALBERTO ARISTIZABAL RAFAEL</v>
      </c>
    </row>
    <row r="23" spans="2:25" x14ac:dyDescent="0.35">
      <c r="B23" s="136" t="s">
        <v>122</v>
      </c>
      <c r="C23" s="166">
        <v>19</v>
      </c>
      <c r="D23" s="151" t="s">
        <v>147</v>
      </c>
      <c r="E23" s="150">
        <v>10</v>
      </c>
      <c r="F23" s="150">
        <v>0</v>
      </c>
      <c r="G23" s="165">
        <v>178</v>
      </c>
      <c r="H23" s="227">
        <f t="shared" si="0"/>
        <v>17.8</v>
      </c>
      <c r="I23" s="228">
        <f>+(SUM($G$7:$G$1048576)/SUM($E$7:$E$1048576))*E23</f>
        <v>210.56603773584908</v>
      </c>
      <c r="J23" s="364">
        <f>+Tabla2[[#This Row],[PROM DE USUARIOS]]-Tabla2[[#This Row],[USUARIOS]]</f>
        <v>32.566037735849079</v>
      </c>
      <c r="K23" s="151"/>
      <c r="L23" s="163">
        <f>P23*585</f>
        <v>117331.13207547172</v>
      </c>
      <c r="M23" s="162" t="str">
        <f>+VLOOKUP(C23,Lista!B:D,3,0)</f>
        <v>MICRO</v>
      </c>
      <c r="N23" s="367">
        <f t="shared" si="2"/>
        <v>11263.414634146342</v>
      </c>
      <c r="O23" s="50">
        <f>+(E23*1)-V23</f>
        <v>10</v>
      </c>
      <c r="P23" s="47">
        <f>+I23-O23-W23</f>
        <v>200.56603773584908</v>
      </c>
      <c r="Q23" s="49">
        <f>+G23-O23</f>
        <v>168</v>
      </c>
      <c r="R23" s="51">
        <f>+E23*$T$3</f>
        <v>200.56603773584908</v>
      </c>
      <c r="S23" s="46">
        <f t="shared" si="7"/>
        <v>110311.32075471699</v>
      </c>
      <c r="T23" t="str">
        <f>+IF(K23&lt;&gt;"",K23,"")</f>
        <v/>
      </c>
      <c r="U23">
        <f>+RANK(H23,$H$6:$H$1048576,1)</f>
        <v>8</v>
      </c>
      <c r="Y23" t="str">
        <f>TRIM(Tabla2[[#This Row],[CONDUCTOR]])</f>
        <v>PALMAR PANA EDIXON JOSUE</v>
      </c>
    </row>
    <row r="24" spans="2:25" x14ac:dyDescent="0.35">
      <c r="B24" s="136" t="s">
        <v>121</v>
      </c>
      <c r="C24" s="166">
        <v>20</v>
      </c>
      <c r="D24" s="151" t="s">
        <v>149</v>
      </c>
      <c r="E24" s="150">
        <v>9</v>
      </c>
      <c r="F24" s="150">
        <v>0</v>
      </c>
      <c r="G24" s="146">
        <v>189</v>
      </c>
      <c r="H24" s="227">
        <f t="shared" si="0"/>
        <v>21</v>
      </c>
      <c r="I24" s="228">
        <f>+(SUM($G$7:$G$1048576)/SUM($E$7:$E$1048576))*E24</f>
        <v>189.50943396226415</v>
      </c>
      <c r="J24" s="364">
        <f>+Tabla2[[#This Row],[PROM DE USUARIOS]]-Tabla2[[#This Row],[USUARIOS]]</f>
        <v>0.50943396226415416</v>
      </c>
      <c r="K24" s="151" t="s">
        <v>197</v>
      </c>
      <c r="L24" s="163">
        <f>P24*585</f>
        <v>105598.01886792453</v>
      </c>
      <c r="M24" s="162" t="str">
        <f>+VLOOKUP(C24,Lista!B:D,3,0)</f>
        <v>MICRO</v>
      </c>
      <c r="N24" s="367">
        <f t="shared" si="2"/>
        <v>11263.414634146342</v>
      </c>
      <c r="O24" s="50">
        <f>+(E24*1)-V24</f>
        <v>9</v>
      </c>
      <c r="P24" s="47">
        <f>+I24-O24-W24</f>
        <v>180.50943396226415</v>
      </c>
      <c r="Q24" s="49">
        <f>+G24-O24</f>
        <v>180</v>
      </c>
      <c r="R24" s="51">
        <f>+E24*$T$3</f>
        <v>180.50943396226415</v>
      </c>
      <c r="S24" s="46">
        <f t="shared" si="7"/>
        <v>99280.188679245286</v>
      </c>
      <c r="T24" t="str">
        <f>+IF(K24&lt;&gt;"",K24,"")</f>
        <v xml:space="preserve">1 Descuento (Usuario desubicado) </v>
      </c>
      <c r="U24">
        <f>+RANK(H24,$H$6:$H$1048576,1)</f>
        <v>17</v>
      </c>
      <c r="Y24" t="str">
        <f>TRIM(Tabla2[[#This Row],[CONDUCTOR]])</f>
        <v>MURILLO YORMAN ANDRES</v>
      </c>
    </row>
    <row r="25" spans="2:25" x14ac:dyDescent="0.35">
      <c r="B25" s="136" t="s">
        <v>122</v>
      </c>
      <c r="C25" s="166">
        <v>21</v>
      </c>
      <c r="D25" s="151" t="s">
        <v>181</v>
      </c>
      <c r="E25" s="150">
        <v>11</v>
      </c>
      <c r="F25" s="150"/>
      <c r="G25" s="165">
        <v>170</v>
      </c>
      <c r="H25" s="227">
        <f t="shared" si="0"/>
        <v>15.454545454545455</v>
      </c>
      <c r="I25" s="228">
        <f>+(SUM($G$7:$G$1048576)/SUM($E$7:$E$1048576))*E25</f>
        <v>231.62264150943398</v>
      </c>
      <c r="J25" s="364">
        <f>+Tabla2[[#This Row],[PROM DE USUARIOS]]-Tabla2[[#This Row],[USUARIOS]]</f>
        <v>61.622641509433976</v>
      </c>
      <c r="K25" s="151"/>
      <c r="L25" s="163">
        <f>P25*585</f>
        <v>129064.24528301887</v>
      </c>
      <c r="M25" s="162" t="str">
        <f>+VLOOKUP(C25,Lista!B:D,3,0)</f>
        <v>MICRO</v>
      </c>
      <c r="N25" s="367">
        <f t="shared" si="2"/>
        <v>11263.414634146342</v>
      </c>
      <c r="O25" s="50">
        <f>+(E25*1)-V25</f>
        <v>11</v>
      </c>
      <c r="P25" s="47">
        <f>+I25-O25-W25</f>
        <v>220.62264150943398</v>
      </c>
      <c r="Q25" s="49">
        <f>+G25-O25</f>
        <v>159</v>
      </c>
      <c r="R25" s="51">
        <f>+E25*$T$3</f>
        <v>220.62264150943398</v>
      </c>
      <c r="S25" s="46">
        <f t="shared" si="7"/>
        <v>121342.45283018869</v>
      </c>
      <c r="T25" t="str">
        <f>+IF(K25&lt;&gt;"",K25,"")</f>
        <v/>
      </c>
      <c r="U25">
        <f>+RANK(H25,$H$6:$H$1048576,1)</f>
        <v>2</v>
      </c>
      <c r="Y25" t="str">
        <f>TRIM(Tabla2[[#This Row],[CONDUCTOR]])</f>
        <v>MACIAS HERNANDEZ JULIAN DAVID</v>
      </c>
    </row>
    <row r="26" spans="2:25" x14ac:dyDescent="0.35">
      <c r="B26" s="136" t="s">
        <v>121</v>
      </c>
      <c r="C26" s="137">
        <v>22</v>
      </c>
      <c r="D26" s="151" t="s">
        <v>179</v>
      </c>
      <c r="E26" s="150">
        <v>11</v>
      </c>
      <c r="F26" s="150">
        <v>0</v>
      </c>
      <c r="G26" s="146">
        <v>256</v>
      </c>
      <c r="H26" s="227">
        <f t="shared" si="0"/>
        <v>23.272727272727273</v>
      </c>
      <c r="I26" s="228">
        <f>+(SUM($G$7:$G$1048576)/SUM($E$7:$E$1048576))*E26</f>
        <v>231.62264150943398</v>
      </c>
      <c r="J26" s="364">
        <f>+Tabla2[[#This Row],[PROM DE USUARIOS]]-Tabla2[[#This Row],[USUARIOS]]</f>
        <v>-24.377358490566024</v>
      </c>
      <c r="K26" s="151"/>
      <c r="L26" s="163">
        <f>P26*585</f>
        <v>129064.24528301887</v>
      </c>
      <c r="M26" s="162">
        <f>+VLOOKUP(C26,Lista!B:D,3,0)</f>
        <v>0</v>
      </c>
      <c r="N26" s="367">
        <f t="shared" si="2"/>
        <v>11263.414634146342</v>
      </c>
      <c r="O26" s="50">
        <f>+(E26*1)-V26</f>
        <v>11</v>
      </c>
      <c r="P26" s="47">
        <f>+I26-O26-W26</f>
        <v>220.62264150943398</v>
      </c>
      <c r="Q26" s="49">
        <f>+G26-O26</f>
        <v>245</v>
      </c>
      <c r="R26" s="51">
        <f>+E26*$T$3</f>
        <v>220.62264150943398</v>
      </c>
      <c r="S26" s="46">
        <f t="shared" si="7"/>
        <v>121342.45283018869</v>
      </c>
      <c r="T26" t="str">
        <f>+IF(K26&lt;&gt;"",K26,"")</f>
        <v/>
      </c>
      <c r="U26">
        <f>+RANK(H26,$H$6:$H$1048576,1)</f>
        <v>33</v>
      </c>
      <c r="Y26" t="str">
        <f>TRIM(Tabla2[[#This Row],[CONDUCTOR]])</f>
        <v>QUIRAMA CASTAÑEDA JHON JADER</v>
      </c>
    </row>
    <row r="27" spans="2:25" x14ac:dyDescent="0.35">
      <c r="B27" s="136" t="s">
        <v>122</v>
      </c>
      <c r="C27" s="166">
        <v>23</v>
      </c>
      <c r="D27" s="151" t="s">
        <v>180</v>
      </c>
      <c r="E27" s="150">
        <v>5</v>
      </c>
      <c r="F27" s="150">
        <v>0</v>
      </c>
      <c r="G27" s="146">
        <v>116</v>
      </c>
      <c r="H27" s="227">
        <f t="shared" si="0"/>
        <v>23.2</v>
      </c>
      <c r="I27" s="365">
        <f>+(SUM($G$7:$G$1048576)/SUM($E$7:$E$1048576))*E27</f>
        <v>105.28301886792454</v>
      </c>
      <c r="J27" s="364">
        <f>+Tabla2[[#This Row],[PROM DE USUARIOS]]-Tabla2[[#This Row],[USUARIOS]]</f>
        <v>-10.71698113207546</v>
      </c>
      <c r="K27" s="151" t="s">
        <v>198</v>
      </c>
      <c r="L27" s="163">
        <f>P27*585</f>
        <v>58665.566037735858</v>
      </c>
      <c r="M27" s="162" t="str">
        <f>+VLOOKUP(C27,Lista!B:D,3,0)</f>
        <v xml:space="preserve">MICRO </v>
      </c>
      <c r="N27" s="367">
        <f t="shared" si="2"/>
        <v>11263.414634146342</v>
      </c>
      <c r="O27" s="50">
        <f>+(E27*1)-V27</f>
        <v>5</v>
      </c>
      <c r="P27" s="47">
        <f>+I27-O27-W27</f>
        <v>100.28301886792454</v>
      </c>
      <c r="Q27" s="49">
        <f>+G27-O27</f>
        <v>111</v>
      </c>
      <c r="R27" s="51">
        <f>+E27*$T$3</f>
        <v>100.28301886792454</v>
      </c>
      <c r="S27" s="46">
        <f t="shared" si="7"/>
        <v>55155.660377358494</v>
      </c>
      <c r="T27" t="str">
        <f>+IF(K27&lt;&gt;"",K27,"")</f>
        <v xml:space="preserve">1 Descuento (Despachador) </v>
      </c>
      <c r="U27">
        <f>+RANK(H27,$H$6:$H$1048576,1)</f>
        <v>32</v>
      </c>
      <c r="Y27" t="str">
        <f>TRIM(Tabla2[[#This Row],[CONDUCTOR]])</f>
        <v>SALDARRIAGA PARRA LUIS ALBERTO</v>
      </c>
    </row>
    <row r="28" spans="2:25" x14ac:dyDescent="0.35">
      <c r="B28" s="136" t="s">
        <v>121</v>
      </c>
      <c r="C28" s="166">
        <v>24</v>
      </c>
      <c r="D28" s="151" t="s">
        <v>157</v>
      </c>
      <c r="E28" s="150">
        <v>9</v>
      </c>
      <c r="F28" s="150">
        <v>0</v>
      </c>
      <c r="G28" s="146">
        <v>205</v>
      </c>
      <c r="H28" s="227">
        <f t="shared" si="0"/>
        <v>22.777777777777779</v>
      </c>
      <c r="I28" s="365">
        <f>+(SUM($G$7:$G$1048576)/SUM($E$7:$E$1048576))*E28</f>
        <v>189.50943396226415</v>
      </c>
      <c r="J28" s="364">
        <f>+Tabla2[[#This Row],[PROM DE USUARIOS]]-Tabla2[[#This Row],[USUARIOS]]</f>
        <v>-15.490566037735846</v>
      </c>
      <c r="K28" s="151" t="s">
        <v>199</v>
      </c>
      <c r="L28" s="163">
        <f>P28*585</f>
        <v>105598.01886792453</v>
      </c>
      <c r="M28" s="162" t="str">
        <f>+VLOOKUP(C28,Lista!B:D,3,0)</f>
        <v>MICRO</v>
      </c>
      <c r="N28" s="367">
        <f t="shared" si="2"/>
        <v>11263.414634146342</v>
      </c>
      <c r="O28" s="50">
        <f>+(E28*1)-V28</f>
        <v>9</v>
      </c>
      <c r="P28" s="47">
        <f>+I28-O28-W28</f>
        <v>180.50943396226415</v>
      </c>
      <c r="Q28" s="49">
        <f>+G28-O28</f>
        <v>196</v>
      </c>
      <c r="R28" s="51">
        <f>+E28*$T$3</f>
        <v>180.50943396226415</v>
      </c>
      <c r="S28" s="46">
        <f t="shared" si="7"/>
        <v>99280.188679245286</v>
      </c>
      <c r="T28" t="str">
        <f>+IF(K28&lt;&gt;"",K28,"")</f>
        <v xml:space="preserve">13 Descuentos (Transbordo) </v>
      </c>
      <c r="U28">
        <f>+RANK(H28,$H$6:$H$1048576,1)</f>
        <v>30</v>
      </c>
      <c r="Y28" t="str">
        <f>TRIM(Tabla2[[#This Row],[CONDUCTOR]])</f>
        <v>FRANCO CARVAJAL GERARDO ANTONIO</v>
      </c>
    </row>
    <row r="29" spans="2:25" s="2" customFormat="1" x14ac:dyDescent="0.35">
      <c r="B29" s="136" t="s">
        <v>122</v>
      </c>
      <c r="C29" s="166">
        <v>25</v>
      </c>
      <c r="D29" s="151" t="s">
        <v>156</v>
      </c>
      <c r="E29" s="150">
        <v>12</v>
      </c>
      <c r="F29" s="150">
        <v>0</v>
      </c>
      <c r="G29" s="165">
        <v>273</v>
      </c>
      <c r="H29" s="227">
        <f t="shared" si="0"/>
        <v>22.75</v>
      </c>
      <c r="I29" s="228">
        <f>+(SUM($G$7:$G$1048576)/SUM($E$7:$E$1048576))*E29</f>
        <v>252.67924528301887</v>
      </c>
      <c r="J29" s="364">
        <f>+Tabla2[[#This Row],[PROM DE USUARIOS]]-Tabla2[[#This Row],[USUARIOS]]</f>
        <v>-20.320754716981128</v>
      </c>
      <c r="K29" s="151" t="s">
        <v>190</v>
      </c>
      <c r="L29" s="163">
        <f>P29*585</f>
        <v>140797.35849056605</v>
      </c>
      <c r="M29" s="162">
        <f>+VLOOKUP(C29,Lista!B:D,3,0)</f>
        <v>0</v>
      </c>
      <c r="N29" s="367">
        <f t="shared" si="2"/>
        <v>11263.414634146342</v>
      </c>
      <c r="O29" s="50">
        <f>+(E29*1)-V29</f>
        <v>12</v>
      </c>
      <c r="P29" s="47">
        <f>+I29-O29-W29</f>
        <v>240.67924528301887</v>
      </c>
      <c r="Q29" s="49">
        <f>+G29-O29</f>
        <v>261</v>
      </c>
      <c r="R29" s="51">
        <f>+E29*$T$3</f>
        <v>240.67924528301887</v>
      </c>
      <c r="S29" s="46">
        <f t="shared" si="7"/>
        <v>132373.58490566039</v>
      </c>
      <c r="T29" t="str">
        <f>+IF(K29&lt;&gt;"",K29,"")</f>
        <v xml:space="preserve">1 Descuento (Transbordo) </v>
      </c>
      <c r="U29">
        <f>+RANK(H29,$H$6:$H$1048576,1)</f>
        <v>29</v>
      </c>
      <c r="Y29" t="str">
        <f>TRIM(Tabla2[[#This Row],[CONDUCTOR]])</f>
        <v>OSORIO URREGO SANTIAGO</v>
      </c>
    </row>
    <row r="30" spans="2:25" x14ac:dyDescent="0.35">
      <c r="B30" s="136" t="s">
        <v>121</v>
      </c>
      <c r="C30" s="166">
        <v>26</v>
      </c>
      <c r="D30" s="151" t="s">
        <v>151</v>
      </c>
      <c r="E30" s="150">
        <v>9</v>
      </c>
      <c r="F30" s="150">
        <v>0</v>
      </c>
      <c r="G30" s="165">
        <v>155</v>
      </c>
      <c r="H30" s="227">
        <f t="shared" si="0"/>
        <v>17.222222222222221</v>
      </c>
      <c r="I30" s="228">
        <f>+(SUM($G$7:$G$1048576)/SUM($E$7:$E$1048576))*E30</f>
        <v>189.50943396226415</v>
      </c>
      <c r="J30" s="364">
        <f>+Tabla2[[#This Row],[PROM DE USUARIOS]]-Tabla2[[#This Row],[USUARIOS]]</f>
        <v>34.509433962264154</v>
      </c>
      <c r="K30" s="151" t="s">
        <v>200</v>
      </c>
      <c r="L30" s="163">
        <f>P30*585</f>
        <v>105598.01886792453</v>
      </c>
      <c r="M30" s="162" t="str">
        <f>+VLOOKUP(C30,Lista!B:D,3,0)</f>
        <v>MICRO</v>
      </c>
      <c r="N30" s="367">
        <f t="shared" si="2"/>
        <v>11263.414634146342</v>
      </c>
      <c r="O30" s="50">
        <f>+(E30*1)-V30</f>
        <v>9</v>
      </c>
      <c r="P30" s="47">
        <f>+I30-O30-W30</f>
        <v>180.50943396226415</v>
      </c>
      <c r="Q30" s="49">
        <f>+G30-O30</f>
        <v>146</v>
      </c>
      <c r="R30" s="51">
        <f>+E30*$T$3</f>
        <v>180.50943396226415</v>
      </c>
      <c r="S30" s="46">
        <f t="shared" si="7"/>
        <v>99280.188679245286</v>
      </c>
      <c r="T30" t="str">
        <f>+IF(K30&lt;&gt;"",K30,"")</f>
        <v xml:space="preserve">8 Descuentos (Transbordo) </v>
      </c>
      <c r="U30">
        <f>+RANK(H30,$H$6:$H$1048576,1)</f>
        <v>5</v>
      </c>
      <c r="Y30" t="str">
        <f>TRIM(Tabla2[[#This Row],[CONDUCTOR]])</f>
        <v>CIRO MARIN RODRIGO ALBERTO</v>
      </c>
    </row>
    <row r="31" spans="2:25" x14ac:dyDescent="0.35">
      <c r="B31" s="136" t="s">
        <v>122</v>
      </c>
      <c r="C31" s="166">
        <v>27</v>
      </c>
      <c r="D31" s="151" t="s">
        <v>161</v>
      </c>
      <c r="E31" s="150">
        <v>10</v>
      </c>
      <c r="F31" s="150">
        <v>0</v>
      </c>
      <c r="G31" s="146">
        <v>220</v>
      </c>
      <c r="H31" s="227">
        <f t="shared" si="0"/>
        <v>22</v>
      </c>
      <c r="I31" s="228">
        <f>+(SUM($G$7:$G$1048576)/SUM($E$7:$E$1048576))*E31</f>
        <v>210.56603773584908</v>
      </c>
      <c r="J31" s="364">
        <f>+Tabla2[[#This Row],[PROM DE USUARIOS]]-Tabla2[[#This Row],[USUARIOS]]</f>
        <v>-9.4339622641509209</v>
      </c>
      <c r="K31" s="151" t="s">
        <v>198</v>
      </c>
      <c r="L31" s="163">
        <f>P31*585</f>
        <v>117331.13207547172</v>
      </c>
      <c r="M31" s="162">
        <f>+VLOOKUP(C31,Lista!B:D,3,0)</f>
        <v>0</v>
      </c>
      <c r="N31" s="367">
        <f t="shared" si="2"/>
        <v>11263.414634146342</v>
      </c>
      <c r="O31" s="50">
        <f>+(E31*1)-V31</f>
        <v>10</v>
      </c>
      <c r="P31" s="47">
        <f>+I31-O31-W31</f>
        <v>200.56603773584908</v>
      </c>
      <c r="Q31" s="49">
        <f>+G31-O31</f>
        <v>210</v>
      </c>
      <c r="R31" s="51">
        <f>+E31*$T$3</f>
        <v>200.56603773584908</v>
      </c>
      <c r="S31" s="46">
        <f t="shared" si="7"/>
        <v>110311.32075471699</v>
      </c>
      <c r="T31" t="str">
        <f>+IF(K31&lt;&gt;"",K31,"")</f>
        <v xml:space="preserve">1 Descuento (Despachador) </v>
      </c>
      <c r="U31">
        <f>+RANK(H31,$H$6:$H$1048576,1)</f>
        <v>25</v>
      </c>
      <c r="Y31" t="str">
        <f>TRIM(Tabla2[[#This Row],[CONDUCTOR]])</f>
        <v>FLORES RINCON JORGE ALBERTO</v>
      </c>
    </row>
    <row r="32" spans="2:25" x14ac:dyDescent="0.35">
      <c r="B32" s="136" t="s">
        <v>121</v>
      </c>
      <c r="C32" s="137">
        <v>28</v>
      </c>
      <c r="D32" s="151" t="s">
        <v>163</v>
      </c>
      <c r="E32" s="150">
        <v>9</v>
      </c>
      <c r="F32" s="150">
        <v>0</v>
      </c>
      <c r="G32" s="165">
        <v>168</v>
      </c>
      <c r="H32" s="227">
        <f t="shared" si="0"/>
        <v>18.666666666666668</v>
      </c>
      <c r="I32" s="228">
        <f>+(SUM($G$7:$G$1048576)/SUM($E$7:$E$1048576))*E32</f>
        <v>189.50943396226415</v>
      </c>
      <c r="J32" s="364">
        <f>+Tabla2[[#This Row],[PROM DE USUARIOS]]-Tabla2[[#This Row],[USUARIOS]]</f>
        <v>21.509433962264154</v>
      </c>
      <c r="K32" s="151"/>
      <c r="L32" s="163">
        <f>P32*585</f>
        <v>105598.01886792453</v>
      </c>
      <c r="M32" s="162" t="str">
        <f>+VLOOKUP(C32,Lista!B:D,3,0)</f>
        <v>MICRO</v>
      </c>
      <c r="N32" s="367">
        <f t="shared" si="2"/>
        <v>11263.414634146342</v>
      </c>
      <c r="O32" s="50">
        <f>+(E32*1)-V32</f>
        <v>9</v>
      </c>
      <c r="P32" s="47">
        <f>+I32-O32-W32</f>
        <v>180.50943396226415</v>
      </c>
      <c r="Q32" s="49">
        <f>+G32-O32</f>
        <v>159</v>
      </c>
      <c r="R32" s="51">
        <f>+E32*$T$3</f>
        <v>180.50943396226415</v>
      </c>
      <c r="S32" s="46">
        <f t="shared" si="7"/>
        <v>99280.188679245286</v>
      </c>
      <c r="T32" t="str">
        <f>+IF(K32&lt;&gt;"",K32,"")</f>
        <v/>
      </c>
      <c r="U32">
        <f>+RANK(H32,$H$6:$H$1048576,1)</f>
        <v>11</v>
      </c>
      <c r="Y32" t="str">
        <f>TRIM(Tabla2[[#This Row],[CONDUCTOR]])</f>
        <v>MARIN ALZATE KEVIN ANDRES</v>
      </c>
    </row>
    <row r="33" spans="2:25" x14ac:dyDescent="0.35">
      <c r="B33" s="136" t="s">
        <v>122</v>
      </c>
      <c r="C33" s="166">
        <v>29</v>
      </c>
      <c r="D33" s="151" t="s">
        <v>186</v>
      </c>
      <c r="E33" s="150">
        <v>10</v>
      </c>
      <c r="F33" s="150">
        <v>0</v>
      </c>
      <c r="G33" s="165">
        <v>222</v>
      </c>
      <c r="H33" s="227">
        <f t="shared" si="0"/>
        <v>22.2</v>
      </c>
      <c r="I33" s="228">
        <f>+(SUM($G$7:$G$1048576)/SUM($E$7:$E$1048576))*E33</f>
        <v>210.56603773584908</v>
      </c>
      <c r="J33" s="364">
        <f>+Tabla2[[#This Row],[PROM DE USUARIOS]]-Tabla2[[#This Row],[USUARIOS]]</f>
        <v>-11.433962264150921</v>
      </c>
      <c r="K33" s="151" t="s">
        <v>190</v>
      </c>
      <c r="L33" s="163">
        <f>P33*585</f>
        <v>117331.13207547172</v>
      </c>
      <c r="M33" s="162" t="str">
        <f>+VLOOKUP(C33,Lista!B:D,3,0)</f>
        <v>MICRO</v>
      </c>
      <c r="N33" s="367">
        <f t="shared" si="2"/>
        <v>11263.414634146342</v>
      </c>
      <c r="O33" s="50">
        <f>+(E33*1)-V33</f>
        <v>10</v>
      </c>
      <c r="P33" s="47">
        <f>+I33-O33-W33</f>
        <v>200.56603773584908</v>
      </c>
      <c r="Q33" s="49">
        <f>+G33-O33</f>
        <v>212</v>
      </c>
      <c r="R33" s="51">
        <f>+E33*$T$3</f>
        <v>200.56603773584908</v>
      </c>
      <c r="S33" s="46">
        <f t="shared" si="7"/>
        <v>110311.32075471699</v>
      </c>
      <c r="T33" t="str">
        <f>+IF(K33&lt;&gt;"",K33,"")</f>
        <v xml:space="preserve">1 Descuento (Transbordo) </v>
      </c>
      <c r="U33">
        <f>+RANK(H33,$H$6:$H$1048576,1)</f>
        <v>27</v>
      </c>
      <c r="Y33" t="str">
        <f>TRIM(Tabla2[[#This Row],[CONDUCTOR]])</f>
        <v>LEON PEREZ RAUL ENRIQUE</v>
      </c>
    </row>
    <row r="34" spans="2:25" x14ac:dyDescent="0.35">
      <c r="B34" s="136" t="s">
        <v>121</v>
      </c>
      <c r="C34" s="166">
        <v>30</v>
      </c>
      <c r="D34" s="151" t="s">
        <v>155</v>
      </c>
      <c r="E34" s="150">
        <v>5.5</v>
      </c>
      <c r="F34" s="150">
        <v>0.5</v>
      </c>
      <c r="G34" s="165">
        <v>112</v>
      </c>
      <c r="H34" s="227">
        <f t="shared" si="0"/>
        <v>20.363636363636363</v>
      </c>
      <c r="I34" s="228">
        <f>+(SUM($G$7:$G$1048576)/SUM($E$7:$E$1048576))*E34</f>
        <v>115.81132075471699</v>
      </c>
      <c r="J34" s="364">
        <f>+Tabla2[[#This Row],[PROM DE USUARIOS]]-Tabla2[[#This Row],[USUARIOS]]</f>
        <v>3.8113207547169878</v>
      </c>
      <c r="K34" s="151"/>
      <c r="L34" s="163">
        <f>P34*585</f>
        <v>64532.122641509435</v>
      </c>
      <c r="M34" s="162">
        <f>+VLOOKUP(C34,Lista!B:D,3,0)</f>
        <v>0</v>
      </c>
      <c r="N34" s="367">
        <f t="shared" si="2"/>
        <v>11263.414634146342</v>
      </c>
      <c r="O34" s="50">
        <f>+(E34*1)-V34</f>
        <v>5.5</v>
      </c>
      <c r="P34" s="47">
        <f>+I34-O34-W34</f>
        <v>110.31132075471699</v>
      </c>
      <c r="Q34" s="49">
        <f>+G34-O34</f>
        <v>106.5</v>
      </c>
      <c r="R34" s="51">
        <f>+E34*$T$3</f>
        <v>110.31132075471699</v>
      </c>
      <c r="S34" s="46">
        <f t="shared" si="7"/>
        <v>60671.226415094345</v>
      </c>
      <c r="T34" t="str">
        <f>+IF(K34&lt;&gt;"",K34,"")</f>
        <v/>
      </c>
      <c r="U34">
        <f>+RANK(H34,$H$6:$H$1048576,1)</f>
        <v>14</v>
      </c>
      <c r="Y34" t="str">
        <f>TRIM(Tabla2[[#This Row],[CONDUCTOR]])</f>
        <v>AGUDELO GARCIA LLORDIN ELIAS</v>
      </c>
    </row>
    <row r="35" spans="2:25" s="2" customFormat="1" ht="33.75" x14ac:dyDescent="0.35">
      <c r="B35" s="136" t="s">
        <v>122</v>
      </c>
      <c r="C35" s="166">
        <v>31</v>
      </c>
      <c r="D35" s="136" t="s">
        <v>165</v>
      </c>
      <c r="E35" s="150">
        <v>10</v>
      </c>
      <c r="F35" s="150">
        <v>0.5</v>
      </c>
      <c r="G35" s="376">
        <v>180</v>
      </c>
      <c r="H35" s="377">
        <f t="shared" si="0"/>
        <v>18</v>
      </c>
      <c r="I35" s="378">
        <f>+(SUM($G$7:$G$1048576)/SUM($E$7:$E$1048576))*E35</f>
        <v>210.56603773584908</v>
      </c>
      <c r="J35" s="379">
        <f>+Tabla2[[#This Row],[PROM DE USUARIOS]]-Tabla2[[#This Row],[USUARIOS]]</f>
        <v>30.566037735849079</v>
      </c>
      <c r="K35" s="380" t="s">
        <v>205</v>
      </c>
      <c r="L35" s="163">
        <f>P35*585</f>
        <v>111464.4595754717</v>
      </c>
      <c r="M35" s="162" t="str">
        <f>+VLOOKUP(C35,Lista!B:D,3,0)</f>
        <v>MICRO</v>
      </c>
      <c r="N35" s="367">
        <f t="shared" si="2"/>
        <v>11263.414634146342</v>
      </c>
      <c r="O35" s="50">
        <f>+(E35*1)-V35</f>
        <v>9.5</v>
      </c>
      <c r="P35" s="47">
        <f>+I35-O35-W35</f>
        <v>190.53753773584907</v>
      </c>
      <c r="Q35" s="49">
        <f>+G35-O35</f>
        <v>170.5</v>
      </c>
      <c r="R35" s="51">
        <f>+E35*$T$3</f>
        <v>200.56603773584908</v>
      </c>
      <c r="S35" s="46">
        <f t="shared" si="7"/>
        <v>110311.32075471699</v>
      </c>
      <c r="T35" s="2" t="str">
        <f>+IF(K35&lt;&gt;"",K35,"")</f>
        <v xml:space="preserve">Se descuenta 0.5 viaje de 3 05 pm ya que NO  ingresa a la minorista. 13 Descuentos (transbordo, usuario desubicado y despachador) </v>
      </c>
      <c r="U35" s="2">
        <f>+RANK(H35,$H$6:$H$1048576,1)</f>
        <v>9</v>
      </c>
      <c r="V35" s="2">
        <v>0.5</v>
      </c>
      <c r="W35" s="2">
        <v>10.528499999999999</v>
      </c>
      <c r="Y35" s="2" t="str">
        <f>TRIM(Tabla2[[#This Row],[CONDUCTOR]])</f>
        <v>IBARGUEN GARRIDO JUAN ESTEBAN</v>
      </c>
    </row>
    <row r="36" spans="2:25" x14ac:dyDescent="0.35">
      <c r="B36" s="136" t="s">
        <v>121</v>
      </c>
      <c r="C36" s="166">
        <v>32</v>
      </c>
      <c r="D36" s="151" t="s">
        <v>166</v>
      </c>
      <c r="E36" s="150">
        <v>9</v>
      </c>
      <c r="F36" s="150">
        <v>0</v>
      </c>
      <c r="G36" s="165">
        <v>153</v>
      </c>
      <c r="H36" s="227">
        <f t="shared" si="0"/>
        <v>17</v>
      </c>
      <c r="I36" s="228">
        <f>+(SUM($G$7:$G$1048576)/SUM($E$7:$E$1048576))*E36</f>
        <v>189.50943396226415</v>
      </c>
      <c r="J36" s="364">
        <f>+Tabla2[[#This Row],[PROM DE USUARIOS]]-Tabla2[[#This Row],[USUARIOS]]</f>
        <v>36.509433962264154</v>
      </c>
      <c r="K36" s="151" t="s">
        <v>201</v>
      </c>
      <c r="L36" s="163">
        <f>P36*585</f>
        <v>105598.01886792453</v>
      </c>
      <c r="M36" s="162" t="str">
        <f>+VLOOKUP(C36,Lista!B:D,3,0)</f>
        <v>MICRO</v>
      </c>
      <c r="N36" s="367">
        <f t="shared" si="2"/>
        <v>11263.414634146342</v>
      </c>
      <c r="O36" s="50">
        <f>+(E36*1)-V36</f>
        <v>9</v>
      </c>
      <c r="P36" s="47">
        <f>+I36-O36-W36</f>
        <v>180.50943396226415</v>
      </c>
      <c r="Q36" s="49">
        <f>+G36-O36</f>
        <v>144</v>
      </c>
      <c r="R36" s="51">
        <f>+E36*$T$3</f>
        <v>180.50943396226415</v>
      </c>
      <c r="S36" s="46">
        <f t="shared" si="7"/>
        <v>99280.188679245286</v>
      </c>
      <c r="T36" t="str">
        <f>+IF(K36&lt;&gt;"",K36,"")</f>
        <v xml:space="preserve">5 Descuentos (transbordo) </v>
      </c>
      <c r="U36">
        <f>+RANK(H36,$H$6:$H$1048576,1)</f>
        <v>3</v>
      </c>
      <c r="Y36" t="str">
        <f>TRIM(Tabla2[[#This Row],[CONDUCTOR]])</f>
        <v>LAYOS JIMENEZ JOHAN CAMILO</v>
      </c>
    </row>
    <row r="37" spans="2:25" x14ac:dyDescent="0.35">
      <c r="B37" s="136" t="s">
        <v>122</v>
      </c>
      <c r="C37" s="166">
        <v>33</v>
      </c>
      <c r="D37" s="151" t="s">
        <v>169</v>
      </c>
      <c r="E37" s="150">
        <v>11</v>
      </c>
      <c r="F37" s="150">
        <v>0</v>
      </c>
      <c r="G37" s="165">
        <v>218</v>
      </c>
      <c r="H37" s="227">
        <f t="shared" si="0"/>
        <v>19.818181818181817</v>
      </c>
      <c r="I37" s="228">
        <f>+(SUM($G$7:$G$1048576)/SUM($E$7:$E$1048576))*E37</f>
        <v>231.62264150943398</v>
      </c>
      <c r="J37" s="364">
        <f>+Tabla2[[#This Row],[PROM DE USUARIOS]]-Tabla2[[#This Row],[USUARIOS]]</f>
        <v>13.622641509433976</v>
      </c>
      <c r="K37" s="151" t="s">
        <v>200</v>
      </c>
      <c r="L37" s="163">
        <f>P37*585</f>
        <v>129064.24528301887</v>
      </c>
      <c r="M37" s="162" t="str">
        <f>+VLOOKUP(C37,Lista!B:D,3,0)</f>
        <v>MICRO</v>
      </c>
      <c r="N37" s="367">
        <f t="shared" si="2"/>
        <v>11263.414634146342</v>
      </c>
      <c r="O37" s="50">
        <f>+(E37*1)-V37</f>
        <v>11</v>
      </c>
      <c r="P37" s="47">
        <f>+I37-O37-W37</f>
        <v>220.62264150943398</v>
      </c>
      <c r="Q37" s="49">
        <f>+G37-O37</f>
        <v>207</v>
      </c>
      <c r="R37" s="51">
        <f>+E37*$T$3</f>
        <v>220.62264150943398</v>
      </c>
      <c r="S37" s="46">
        <f t="shared" si="7"/>
        <v>121342.45283018869</v>
      </c>
      <c r="T37" t="str">
        <f>+IF(K37&lt;&gt;"",K37,"")</f>
        <v xml:space="preserve">8 Descuentos (Transbordo) </v>
      </c>
      <c r="U37">
        <f>+RANK(H37,$H$6:$H$1048576,1)</f>
        <v>13</v>
      </c>
      <c r="Y37" t="str">
        <f>TRIM(Tabla2[[#This Row],[CONDUCTOR]])</f>
        <v>MARULANDA JARAMILLO DAWER ANDRES</v>
      </c>
    </row>
    <row r="38" spans="2:25" x14ac:dyDescent="0.35">
      <c r="B38" s="136" t="s">
        <v>121</v>
      </c>
      <c r="C38" s="166">
        <v>34</v>
      </c>
      <c r="D38" s="151" t="s">
        <v>187</v>
      </c>
      <c r="E38" s="150">
        <v>4</v>
      </c>
      <c r="F38" s="150">
        <v>0</v>
      </c>
      <c r="G38" s="165">
        <v>83</v>
      </c>
      <c r="H38" s="227">
        <f t="shared" si="0"/>
        <v>20.75</v>
      </c>
      <c r="I38" s="228">
        <f>+(SUM($G$7:$G$1048576)/SUM($E$7:$E$1048576))*E38</f>
        <v>84.226415094339629</v>
      </c>
      <c r="J38" s="364">
        <f>+Tabla2[[#This Row],[PROM DE USUARIOS]]-Tabla2[[#This Row],[USUARIOS]]</f>
        <v>1.2264150943396288</v>
      </c>
      <c r="K38" s="151"/>
      <c r="L38" s="163">
        <f>P38*585</f>
        <v>46932.452830188682</v>
      </c>
      <c r="M38" s="162" t="str">
        <f>+VLOOKUP(C38,Lista!B:D,3,0)</f>
        <v>MICRO</v>
      </c>
      <c r="N38" s="367">
        <f t="shared" si="2"/>
        <v>11263.414634146342</v>
      </c>
      <c r="O38" s="50">
        <f>+(E38*1)-V38</f>
        <v>4</v>
      </c>
      <c r="P38" s="47">
        <f>+I38-O38-W38</f>
        <v>80.226415094339629</v>
      </c>
      <c r="Q38" s="49">
        <f>+G38-O38</f>
        <v>79</v>
      </c>
      <c r="R38" s="51">
        <f>+E38*$T$3</f>
        <v>80.226415094339629</v>
      </c>
      <c r="S38" s="46">
        <f t="shared" si="7"/>
        <v>44124.528301886799</v>
      </c>
      <c r="T38" t="str">
        <f>+IF(K38&lt;&gt;"",K38,"")</f>
        <v/>
      </c>
      <c r="U38">
        <f>+RANK(H38,$H$6:$H$1048576,1)</f>
        <v>16</v>
      </c>
      <c r="Y38" t="str">
        <f>TRIM(Tabla2[[#This Row],[CONDUCTOR]])</f>
        <v>MONTOYA OSPINA GILBERTO ANTONIO</v>
      </c>
    </row>
    <row r="39" spans="2:25" x14ac:dyDescent="0.35">
      <c r="B39" s="136" t="s">
        <v>122</v>
      </c>
      <c r="C39" s="166">
        <v>35</v>
      </c>
      <c r="D39" s="151" t="s">
        <v>172</v>
      </c>
      <c r="E39" s="150">
        <v>9</v>
      </c>
      <c r="F39" s="150">
        <v>0</v>
      </c>
      <c r="G39" s="165">
        <v>189</v>
      </c>
      <c r="H39" s="227">
        <f t="shared" si="0"/>
        <v>21</v>
      </c>
      <c r="I39" s="228">
        <f>+(SUM($G$7:$G$1048576)/SUM($E$7:$E$1048576))*E39</f>
        <v>189.50943396226415</v>
      </c>
      <c r="J39" s="364">
        <f>+Tabla2[[#This Row],[PROM DE USUARIOS]]-Tabla2[[#This Row],[USUARIOS]]</f>
        <v>0.50943396226415416</v>
      </c>
      <c r="K39" s="151"/>
      <c r="L39" s="163">
        <f>P39*585</f>
        <v>105598.01886792453</v>
      </c>
      <c r="M39" s="162">
        <f>+VLOOKUP(C39,Lista!B:D,3,0)</f>
        <v>0</v>
      </c>
      <c r="N39" s="367">
        <f t="shared" si="2"/>
        <v>11263.414634146342</v>
      </c>
      <c r="O39" s="50">
        <f>+(E39*1)-V39</f>
        <v>9</v>
      </c>
      <c r="P39" s="47">
        <f>+I39-O39-W39</f>
        <v>180.50943396226415</v>
      </c>
      <c r="Q39" s="49">
        <f>+G39-O39</f>
        <v>180</v>
      </c>
      <c r="R39" s="51">
        <f>+E39*$T$3</f>
        <v>180.50943396226415</v>
      </c>
      <c r="S39" s="46">
        <f t="shared" si="7"/>
        <v>99280.188679245286</v>
      </c>
      <c r="T39" t="str">
        <f>+IF(K39&lt;&gt;"",K39,"")</f>
        <v/>
      </c>
      <c r="U39">
        <f>+RANK(H39,$H$6:$H$1048576,1)</f>
        <v>17</v>
      </c>
      <c r="Y39" t="str">
        <f>TRIM(Tabla2[[#This Row],[CONDUCTOR]])</f>
        <v>ARAQUE ARROYAVE JOSE ALBEIRO</v>
      </c>
    </row>
    <row r="40" spans="2:25" x14ac:dyDescent="0.35">
      <c r="B40" s="136" t="s">
        <v>121</v>
      </c>
      <c r="C40" s="166">
        <v>36</v>
      </c>
      <c r="D40" s="151" t="s">
        <v>162</v>
      </c>
      <c r="E40" s="150">
        <v>10</v>
      </c>
      <c r="F40" s="150">
        <v>0</v>
      </c>
      <c r="G40" s="165">
        <v>251</v>
      </c>
      <c r="H40" s="227">
        <f t="shared" si="0"/>
        <v>25.1</v>
      </c>
      <c r="I40" s="228">
        <f>+(SUM($G$7:$G$1048576)/SUM($E$7:$E$1048576))*E40</f>
        <v>210.56603773584908</v>
      </c>
      <c r="J40" s="364">
        <f>+Tabla2[[#This Row],[PROM DE USUARIOS]]-Tabla2[[#This Row],[USUARIOS]]</f>
        <v>-40.433962264150921</v>
      </c>
      <c r="K40" s="151" t="s">
        <v>202</v>
      </c>
      <c r="L40" s="163">
        <f>P40*585</f>
        <v>117331.13207547172</v>
      </c>
      <c r="M40" s="162" t="str">
        <f>+VLOOKUP(C40,Lista!B:D,3,0)</f>
        <v>MICRO</v>
      </c>
      <c r="N40" s="367">
        <f t="shared" si="2"/>
        <v>11263.414634146342</v>
      </c>
      <c r="O40" s="50">
        <f>+(E40*1)-V40</f>
        <v>10</v>
      </c>
      <c r="P40" s="47">
        <f>+I40-O40-W40</f>
        <v>200.56603773584908</v>
      </c>
      <c r="Q40" s="49">
        <f>+G40-O40</f>
        <v>241</v>
      </c>
      <c r="R40" s="51">
        <f>+E40*$T$3</f>
        <v>200.56603773584908</v>
      </c>
      <c r="S40" s="46">
        <f t="shared" si="7"/>
        <v>110311.32075471699</v>
      </c>
      <c r="T40" t="str">
        <f>+IF(K40&lt;&gt;"",K40,"")</f>
        <v xml:space="preserve">15 Descuentos (Transbordo) </v>
      </c>
      <c r="U40">
        <f>+RANK(H40,$H$6:$H$1048576,1)</f>
        <v>39</v>
      </c>
      <c r="Y40" t="str">
        <f>TRIM(Tabla2[[#This Row],[CONDUCTOR]])</f>
        <v>MARTINEZ CHAVERRA LUIS NORBERTO</v>
      </c>
    </row>
    <row r="41" spans="2:25" x14ac:dyDescent="0.35">
      <c r="B41" s="136" t="s">
        <v>122</v>
      </c>
      <c r="C41" s="166">
        <v>37</v>
      </c>
      <c r="D41" s="151" t="s">
        <v>170</v>
      </c>
      <c r="E41" s="150">
        <v>12</v>
      </c>
      <c r="F41" s="150">
        <v>0</v>
      </c>
      <c r="G41" s="146">
        <v>212</v>
      </c>
      <c r="H41" s="227">
        <f t="shared" si="0"/>
        <v>17.666666666666668</v>
      </c>
      <c r="I41" s="365">
        <f>+(SUM($G$7:$G$1048576)/SUM($E$7:$E$1048576))*E41</f>
        <v>252.67924528301887</v>
      </c>
      <c r="J41" s="364">
        <f>+Tabla2[[#This Row],[PROM DE USUARIOS]]-Tabla2[[#This Row],[USUARIOS]]</f>
        <v>40.679245283018872</v>
      </c>
      <c r="K41" s="151"/>
      <c r="L41" s="163">
        <f>P41*585</f>
        <v>140797.35849056605</v>
      </c>
      <c r="M41" s="162">
        <f>+VLOOKUP(C41,Lista!B:D,3,0)</f>
        <v>0</v>
      </c>
      <c r="N41" s="367">
        <f t="shared" si="2"/>
        <v>11263.414634146342</v>
      </c>
      <c r="O41" s="50">
        <f>+(E41*1)-V41</f>
        <v>12</v>
      </c>
      <c r="P41" s="47">
        <f>+I41-O41-W41</f>
        <v>240.67924528301887</v>
      </c>
      <c r="Q41" s="49">
        <f>+G41-O41</f>
        <v>200</v>
      </c>
      <c r="R41" s="51">
        <f>+E41*$T$3</f>
        <v>240.67924528301887</v>
      </c>
      <c r="S41" s="46">
        <f t="shared" si="7"/>
        <v>132373.58490566039</v>
      </c>
      <c r="T41" t="str">
        <f>+IF(K41&lt;&gt;"",K41,"")</f>
        <v/>
      </c>
      <c r="U41">
        <f>+RANK(H41,$H$6:$H$1048576,1)</f>
        <v>7</v>
      </c>
      <c r="Y41" t="str">
        <f>TRIM(Tabla2[[#This Row],[CONDUCTOR]])</f>
        <v>TABORDA ROJAS DIEGO ALEJANDRO</v>
      </c>
    </row>
    <row r="42" spans="2:25" x14ac:dyDescent="0.35">
      <c r="B42" s="136" t="s">
        <v>121</v>
      </c>
      <c r="C42" s="166">
        <v>38</v>
      </c>
      <c r="D42" s="151" t="s">
        <v>154</v>
      </c>
      <c r="E42" s="150">
        <v>10</v>
      </c>
      <c r="F42" s="150">
        <v>0</v>
      </c>
      <c r="G42" s="165">
        <v>239</v>
      </c>
      <c r="H42" s="227">
        <f t="shared" si="0"/>
        <v>23.9</v>
      </c>
      <c r="I42" s="228">
        <f>+(SUM($G$7:$G$1048576)/SUM($E$7:$E$1048576))*E42</f>
        <v>210.56603773584908</v>
      </c>
      <c r="J42" s="364">
        <f>+Tabla2[[#This Row],[PROM DE USUARIOS]]-Tabla2[[#This Row],[USUARIOS]]</f>
        <v>-28.433962264150921</v>
      </c>
      <c r="K42" s="151" t="s">
        <v>203</v>
      </c>
      <c r="L42" s="163">
        <f>P42*585</f>
        <v>117331.13207547172</v>
      </c>
      <c r="M42" s="162" t="str">
        <f>+VLOOKUP(C42,Lista!B:D,3,0)</f>
        <v>MICRO</v>
      </c>
      <c r="N42" s="367">
        <f t="shared" si="2"/>
        <v>11263.414634146342</v>
      </c>
      <c r="O42" s="50">
        <f>+(E42*1)-V42</f>
        <v>10</v>
      </c>
      <c r="P42" s="47">
        <f>+I42-O42-W42</f>
        <v>200.56603773584908</v>
      </c>
      <c r="Q42" s="49">
        <f>+G42-O42</f>
        <v>229</v>
      </c>
      <c r="R42" s="51">
        <f>+E42*$T$3</f>
        <v>200.56603773584908</v>
      </c>
      <c r="S42" s="46">
        <f t="shared" si="7"/>
        <v>110311.32075471699</v>
      </c>
      <c r="T42" t="str">
        <f>+IF(K42&lt;&gt;"",K42,"")</f>
        <v xml:space="preserve">16 Descuentos (Transbordo) </v>
      </c>
      <c r="U42">
        <f>+RANK(H42,$H$6:$H$1048576,1)</f>
        <v>36</v>
      </c>
      <c r="Y42" t="str">
        <f>TRIM(Tabla2[[#This Row],[CONDUCTOR]])</f>
        <v>GONZALEZ IPUANA RENE</v>
      </c>
    </row>
    <row r="43" spans="2:25" x14ac:dyDescent="0.35">
      <c r="B43" s="136" t="s">
        <v>122</v>
      </c>
      <c r="C43" s="137">
        <v>39</v>
      </c>
      <c r="D43" s="151" t="s">
        <v>171</v>
      </c>
      <c r="E43" s="150">
        <v>12</v>
      </c>
      <c r="F43" s="150">
        <v>0</v>
      </c>
      <c r="G43" s="146">
        <v>210</v>
      </c>
      <c r="H43" s="227">
        <f t="shared" si="0"/>
        <v>17.5</v>
      </c>
      <c r="I43" s="228">
        <f>+(SUM($G$7:$G$1048576)/SUM($E$7:$E$1048576))*E43</f>
        <v>252.67924528301887</v>
      </c>
      <c r="J43" s="364">
        <f>+Tabla2[[#This Row],[PROM DE USUARIOS]]-Tabla2[[#This Row],[USUARIOS]]</f>
        <v>42.679245283018872</v>
      </c>
      <c r="K43" s="151"/>
      <c r="L43" s="163">
        <f>P43*585</f>
        <v>140797.35849056605</v>
      </c>
      <c r="M43" s="162" t="str">
        <f>+VLOOKUP(C43,Lista!B:D,3,0)</f>
        <v>MICRO</v>
      </c>
      <c r="N43" s="367">
        <f t="shared" si="2"/>
        <v>11263.414634146342</v>
      </c>
      <c r="O43" s="50">
        <f>+(E43*1)-V43</f>
        <v>12</v>
      </c>
      <c r="P43" s="47">
        <f>+I43-O43-W43</f>
        <v>240.67924528301887</v>
      </c>
      <c r="Q43" s="49">
        <f>+G43-O43</f>
        <v>198</v>
      </c>
      <c r="R43" s="51">
        <f>+E43*$T$3</f>
        <v>240.67924528301887</v>
      </c>
      <c r="S43" s="46">
        <f t="shared" si="7"/>
        <v>132373.58490566039</v>
      </c>
      <c r="T43" t="str">
        <f>+IF(K43&lt;&gt;"",K43,"")</f>
        <v/>
      </c>
      <c r="U43">
        <f>+RANK(H43,$H$6:$H$1048576,1)</f>
        <v>6</v>
      </c>
      <c r="Y43" t="str">
        <f>TRIM(Tabla2[[#This Row],[CONDUCTOR]])</f>
        <v>MACEA ARBELAEZ MATEO</v>
      </c>
    </row>
    <row r="44" spans="2:25" x14ac:dyDescent="0.35">
      <c r="B44" s="136" t="s">
        <v>121</v>
      </c>
      <c r="C44" s="166">
        <v>40</v>
      </c>
      <c r="D44" s="151" t="s">
        <v>160</v>
      </c>
      <c r="E44" s="150">
        <v>11</v>
      </c>
      <c r="F44" s="150">
        <v>0</v>
      </c>
      <c r="G44" s="146">
        <v>232</v>
      </c>
      <c r="H44" s="227">
        <f t="shared" si="0"/>
        <v>21.09090909090909</v>
      </c>
      <c r="I44" s="365">
        <f>+(SUM($G$7:$G$1048576)/SUM($E$7:$E$1048576))*E44</f>
        <v>231.62264150943398</v>
      </c>
      <c r="J44" s="364">
        <f>+Tabla2[[#This Row],[PROM DE USUARIOS]]-Tabla2[[#This Row],[USUARIOS]]</f>
        <v>-0.37735849056602433</v>
      </c>
      <c r="K44" s="151" t="s">
        <v>195</v>
      </c>
      <c r="L44" s="201">
        <f>P44*585</f>
        <v>129064.24528301887</v>
      </c>
      <c r="M44" s="162" t="str">
        <f>+VLOOKUP(C44,Lista!B:D,3,0)</f>
        <v>MICRO</v>
      </c>
      <c r="N44" s="183">
        <f t="shared" si="2"/>
        <v>11263.414634146342</v>
      </c>
      <c r="O44" s="50">
        <f>+(E44*1)-V44</f>
        <v>11</v>
      </c>
      <c r="P44" s="47">
        <f>+I44-O44-W44</f>
        <v>220.62264150943398</v>
      </c>
      <c r="Q44" s="49">
        <f>+G44-O44</f>
        <v>221</v>
      </c>
      <c r="R44" s="51">
        <f>+E44*$T$3</f>
        <v>220.62264150943398</v>
      </c>
      <c r="S44" s="46">
        <f t="shared" si="7"/>
        <v>121342.45283018869</v>
      </c>
      <c r="T44" t="str">
        <f>+IF(K44&lt;&gt;"",K44,"")</f>
        <v xml:space="preserve">10 Descuentos (Transbordo) </v>
      </c>
      <c r="U44">
        <f>+RANK(H44,$H$6:$H$1048576,1)</f>
        <v>20</v>
      </c>
      <c r="Y44" t="str">
        <f>TRIM(Tabla2[[#This Row],[CONDUCTOR]])</f>
        <v>OCAMPO OCAMPO ANTONIO JOSE</v>
      </c>
    </row>
    <row r="45" spans="2:25" x14ac:dyDescent="0.35">
      <c r="B45" s="136" t="s">
        <v>122</v>
      </c>
      <c r="C45" s="166">
        <v>41</v>
      </c>
      <c r="D45" s="151" t="s">
        <v>184</v>
      </c>
      <c r="E45" s="150">
        <v>10</v>
      </c>
      <c r="F45" s="150">
        <v>0</v>
      </c>
      <c r="G45" s="165">
        <v>172</v>
      </c>
      <c r="H45" s="227">
        <f t="shared" si="0"/>
        <v>17.2</v>
      </c>
      <c r="I45" s="228">
        <f>+(SUM($G$7:$G$1048576)/SUM($E$7:$E$1048576))*E45</f>
        <v>210.56603773584908</v>
      </c>
      <c r="J45" s="364">
        <f>+Tabla2[[#This Row],[PROM DE USUARIOS]]-Tabla2[[#This Row],[USUARIOS]]</f>
        <v>38.566037735849079</v>
      </c>
      <c r="K45" s="151" t="s">
        <v>129</v>
      </c>
      <c r="L45" s="163">
        <f>P45*585</f>
        <v>117331.13207547172</v>
      </c>
      <c r="M45" s="162">
        <f>+VLOOKUP(C45,Lista!B:D,3,0)</f>
        <v>0</v>
      </c>
      <c r="N45" s="183">
        <f t="shared" si="2"/>
        <v>11263.414634146342</v>
      </c>
      <c r="O45" s="50">
        <f>+(E45*1)-V45</f>
        <v>10</v>
      </c>
      <c r="P45" s="47">
        <f>+I45-O45-W45</f>
        <v>200.56603773584908</v>
      </c>
      <c r="Q45" s="49">
        <f>+G45-O45</f>
        <v>162</v>
      </c>
      <c r="R45" s="51">
        <f>+E45*$T$3</f>
        <v>200.56603773584908</v>
      </c>
      <c r="S45" s="46">
        <f t="shared" si="7"/>
        <v>110311.32075471699</v>
      </c>
      <c r="T45" t="str">
        <f>+IF(K45&lt;&gt;"",K45,"")</f>
        <v xml:space="preserve">1 Descuento (Conduct) </v>
      </c>
      <c r="U45">
        <f>+RANK(H45,$H$6:$H$1048576,1)</f>
        <v>4</v>
      </c>
      <c r="Y45" t="str">
        <f>TRIM(Tabla2[[#This Row],[CONDUCTOR]])</f>
        <v>GARCIA DAVID WILSON ALBERTO</v>
      </c>
    </row>
    <row r="46" spans="2:25" x14ac:dyDescent="0.35">
      <c r="B46" s="136" t="s">
        <v>121</v>
      </c>
      <c r="C46" s="166">
        <v>42</v>
      </c>
      <c r="D46" s="151" t="s">
        <v>152</v>
      </c>
      <c r="E46" s="150">
        <v>10</v>
      </c>
      <c r="F46" s="150">
        <v>0</v>
      </c>
      <c r="G46" s="165">
        <v>224</v>
      </c>
      <c r="H46" s="227">
        <f t="shared" si="0"/>
        <v>22.4</v>
      </c>
      <c r="I46" s="228">
        <f>+(SUM($G$7:$G$1048576)/SUM($E$7:$E$1048576))*E46</f>
        <v>210.56603773584908</v>
      </c>
      <c r="J46" s="364">
        <f>+Tabla2[[#This Row],[PROM DE USUARIOS]]-Tabla2[[#This Row],[USUARIOS]]</f>
        <v>-13.433962264150921</v>
      </c>
      <c r="K46" s="151"/>
      <c r="L46" s="163">
        <f>P46*585</f>
        <v>117331.13207547172</v>
      </c>
      <c r="M46" s="162">
        <f>+VLOOKUP(C46,Lista!B:D,3,0)</f>
        <v>0</v>
      </c>
      <c r="N46" s="183">
        <f t="shared" si="2"/>
        <v>11263.414634146342</v>
      </c>
      <c r="O46" s="50">
        <f>+(E46*1)-V46</f>
        <v>10</v>
      </c>
      <c r="P46" s="47">
        <f>+I46-O46-W46</f>
        <v>200.56603773584908</v>
      </c>
      <c r="Q46" s="49">
        <f>+G46-O46</f>
        <v>214</v>
      </c>
      <c r="R46" s="51">
        <f>+E46*$T$3</f>
        <v>200.56603773584908</v>
      </c>
      <c r="S46" s="46">
        <f t="shared" si="7"/>
        <v>110311.32075471699</v>
      </c>
      <c r="T46" t="str">
        <f>+IF(K46&lt;&gt;"",K46,"")</f>
        <v/>
      </c>
      <c r="U46">
        <f>+RANK(H46,$H$6:$H$1048576,1)</f>
        <v>28</v>
      </c>
      <c r="Y46" t="str">
        <f>TRIM(Tabla2[[#This Row],[CONDUCTOR]])</f>
        <v>AGUDELO GARCIA DENIN ANGELO</v>
      </c>
    </row>
    <row r="47" spans="2:25" x14ac:dyDescent="0.35">
      <c r="B47" s="136" t="s">
        <v>122</v>
      </c>
      <c r="C47" s="137">
        <v>43</v>
      </c>
      <c r="D47" s="151" t="s">
        <v>182</v>
      </c>
      <c r="E47" s="150">
        <v>8</v>
      </c>
      <c r="F47" s="150">
        <v>0</v>
      </c>
      <c r="G47" s="146">
        <v>165</v>
      </c>
      <c r="H47" s="227">
        <f t="shared" si="0"/>
        <v>20.625</v>
      </c>
      <c r="I47" s="228">
        <f>+(SUM($G$7:$G$1048576)/SUM($E$7:$E$1048576))*E47</f>
        <v>168.45283018867926</v>
      </c>
      <c r="J47" s="364">
        <f>+Tabla2[[#This Row],[PROM DE USUARIOS]]-Tabla2[[#This Row],[USUARIOS]]</f>
        <v>3.4528301886792576</v>
      </c>
      <c r="K47" s="151"/>
      <c r="L47" s="201">
        <f>P47*585</f>
        <v>93864.905660377364</v>
      </c>
      <c r="M47" s="162">
        <f>+VLOOKUP(C47,Lista!B:D,3,0)</f>
        <v>0</v>
      </c>
      <c r="N47" s="164">
        <f t="shared" si="2"/>
        <v>11263.414634146342</v>
      </c>
      <c r="O47">
        <f>+(E47*1)-V47</f>
        <v>8</v>
      </c>
      <c r="P47" s="134">
        <f>+I47-O47-W47</f>
        <v>160.45283018867926</v>
      </c>
      <c r="Q47" s="11">
        <f>+G47-O47</f>
        <v>157</v>
      </c>
      <c r="R47">
        <f>+E47*$T$3</f>
        <v>160.45283018867926</v>
      </c>
      <c r="S47">
        <f t="shared" si="7"/>
        <v>88249.056603773599</v>
      </c>
      <c r="T47" t="str">
        <f>+IF(K47&lt;&gt;"",K47,"")</f>
        <v/>
      </c>
      <c r="U47">
        <f>+RANK(H47,$H$6:$H$1048576,1)</f>
        <v>15</v>
      </c>
    </row>
    <row r="48" spans="2:25" x14ac:dyDescent="0.35">
      <c r="B48" s="233"/>
      <c r="C48" s="240">
        <f>SUBTOTAL(102,Tabla2[VEH])</f>
        <v>41</v>
      </c>
      <c r="D48" s="234" t="s">
        <v>127</v>
      </c>
      <c r="E48" s="235">
        <f>SUBTOTAL(109,Tabla2[VIAJES])</f>
        <v>371</v>
      </c>
      <c r="F48" s="235">
        <f>SUBTOTAL(109,Tabla2[VIAJES PERD.])</f>
        <v>1.5</v>
      </c>
      <c r="G48" s="241">
        <f>SUBTOTAL(109,Tabla2[USUARIOS])</f>
        <v>7812</v>
      </c>
      <c r="H48" s="375">
        <f>+Tabla2[[#Totals],[USUARIOS]]/Tabla2[[#Totals],[VIAJES]]</f>
        <v>21.056603773584907</v>
      </c>
      <c r="I48" s="241">
        <f>SUBTOTAL(109,Tabla2[PROM DE USUARIOS])</f>
        <v>7811.9999999999982</v>
      </c>
      <c r="J48" s="374">
        <f>SUBTOTAL(109,Tabla2[RECIBE / ENTREGA])</f>
        <v>5.1159076974727213E-13</v>
      </c>
      <c r="K48" s="236" t="s">
        <v>204</v>
      </c>
      <c r="L48" s="237"/>
      <c r="M48" s="238"/>
      <c r="N48" s="239">
        <f>SUBTOTAL(109,Tabla2[DIFER. MICRO - BUS ])</f>
        <v>461799.99999999977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35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>
        <f>+(E111*1)-V49</f>
        <v>0</v>
      </c>
      <c r="P49" s="134">
        <f>+I111-O49-W49</f>
        <v>0</v>
      </c>
      <c r="Q49" s="11">
        <f>+G111-O49</f>
        <v>0</v>
      </c>
      <c r="R49">
        <f>+E111*$T$3</f>
        <v>0</v>
      </c>
      <c r="S49">
        <f t="shared" ref="S49:S54" si="10">+R49*550</f>
        <v>0</v>
      </c>
      <c r="T49" t="str">
        <f>+IF(K111&lt;&gt;"",K111,"")</f>
        <v/>
      </c>
      <c r="U49" t="e">
        <f>+RANK(H111,$H$6:$H$1048576,1)</f>
        <v>#N/A</v>
      </c>
    </row>
    <row r="50" spans="2:21" x14ac:dyDescent="0.35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>+(E112*1)-V50</f>
        <v>0</v>
      </c>
      <c r="P50" s="134">
        <f>+I112-O50-W50</f>
        <v>0</v>
      </c>
      <c r="Q50" s="11">
        <f>+G112-O50</f>
        <v>0</v>
      </c>
      <c r="R50">
        <f>+E112*$T$3</f>
        <v>0</v>
      </c>
      <c r="S50">
        <f t="shared" si="10"/>
        <v>0</v>
      </c>
      <c r="T50" t="str">
        <f>+IF(K112&lt;&gt;"",K112,"")</f>
        <v/>
      </c>
      <c r="U50" t="e">
        <f>+RANK(H112,$H$6:$H$1048576,1)</f>
        <v>#N/A</v>
      </c>
    </row>
    <row r="51" spans="2:21" x14ac:dyDescent="0.35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>+(E113*1)-V51</f>
        <v>0</v>
      </c>
      <c r="P51" s="134">
        <f>+I113-O51-W51</f>
        <v>0</v>
      </c>
      <c r="Q51" s="11">
        <f>+G113-O51</f>
        <v>0</v>
      </c>
      <c r="R51">
        <f>+E113*$T$3</f>
        <v>0</v>
      </c>
      <c r="S51">
        <f t="shared" si="10"/>
        <v>0</v>
      </c>
      <c r="T51" t="str">
        <f>+IF(K113&lt;&gt;"",K113,"")</f>
        <v/>
      </c>
      <c r="U51" t="e">
        <f>+RANK(H113,$H$6:$H$1048576,1)</f>
        <v>#N/A</v>
      </c>
    </row>
    <row r="52" spans="2:21" x14ac:dyDescent="0.35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>+(E114*1)-V52</f>
        <v>0</v>
      </c>
      <c r="P52" s="134">
        <f>+I114-O52-W52</f>
        <v>0</v>
      </c>
      <c r="Q52" s="11">
        <f>+G114-O52</f>
        <v>0</v>
      </c>
      <c r="R52">
        <f>+E114*$T$3</f>
        <v>0</v>
      </c>
      <c r="S52">
        <f t="shared" si="10"/>
        <v>0</v>
      </c>
      <c r="T52" t="str">
        <f>+IF(K114&lt;&gt;"",K114,"")</f>
        <v/>
      </c>
      <c r="U52" t="e">
        <f>+RANK(H114,$H$6:$H$1048576,1)</f>
        <v>#N/A</v>
      </c>
    </row>
    <row r="53" spans="2:21" x14ac:dyDescent="0.35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>+(E115*1)-V53</f>
        <v>0</v>
      </c>
      <c r="P53" s="134">
        <f>+I115-O53-W53</f>
        <v>0</v>
      </c>
      <c r="Q53" s="11">
        <f>+G115-O53</f>
        <v>0</v>
      </c>
      <c r="R53">
        <f>+E115*$T$3</f>
        <v>0</v>
      </c>
      <c r="S53">
        <f t="shared" si="10"/>
        <v>0</v>
      </c>
      <c r="T53" t="str">
        <f>+IF(K115&lt;&gt;"",K115,"")</f>
        <v/>
      </c>
      <c r="U53" t="e">
        <f>+RANK(H115,$H$6:$H$1048576,1)</f>
        <v>#N/A</v>
      </c>
    </row>
    <row r="54" spans="2:21" x14ac:dyDescent="0.35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>+(E116*1)-V54</f>
        <v>0</v>
      </c>
      <c r="P54" s="134">
        <f>+I116-O54-W54</f>
        <v>0</v>
      </c>
      <c r="Q54" s="11">
        <f>+G116-O54</f>
        <v>0</v>
      </c>
      <c r="R54">
        <f>+E116*$T$3</f>
        <v>0</v>
      </c>
      <c r="S54">
        <f t="shared" si="10"/>
        <v>0</v>
      </c>
      <c r="T54" t="str">
        <f>+IF(K116&lt;&gt;"",K116,"")</f>
        <v/>
      </c>
      <c r="U54" t="e">
        <f>+RANK(H116,$H$6:$H$1048576,1)</f>
        <v>#N/A</v>
      </c>
    </row>
    <row r="55" spans="2:21" x14ac:dyDescent="0.35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 t="e">
        <f>+(#REF!*1)-V55</f>
        <v>#REF!</v>
      </c>
      <c r="P55" s="134" t="e">
        <f>+#REF!-O55-W55</f>
        <v>#REF!</v>
      </c>
      <c r="Q55" s="11" t="e">
        <f>+#REF!-O55</f>
        <v>#REF!</v>
      </c>
      <c r="R55" t="e">
        <f>+#REF!*$T$3</f>
        <v>#REF!</v>
      </c>
      <c r="S55" t="e">
        <f>+R55*550</f>
        <v>#REF!</v>
      </c>
      <c r="T55" t="e">
        <f>+IF(#REF!&lt;&gt;"",#REF!,"")</f>
        <v>#REF!</v>
      </c>
      <c r="U55" t="e">
        <f>+RANK(#REF!,$H$6:$H$1048576,1)</f>
        <v>#REF!</v>
      </c>
    </row>
    <row r="56" spans="2:21" x14ac:dyDescent="0.35">
      <c r="B56" s="246"/>
      <c r="C56" s="247"/>
      <c r="D56" s="248"/>
      <c r="E56" s="249"/>
      <c r="F56" s="249"/>
      <c r="G56" s="255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5">
      <c r="B57" s="246"/>
      <c r="C57" s="256"/>
      <c r="D57" s="248"/>
      <c r="E57" s="249"/>
      <c r="F57" s="249"/>
      <c r="G57" s="199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5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5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5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 t="shared" ref="S60:S68" si="11"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5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si="11"/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5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35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35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>
        <f>+(E80*1)-V64</f>
        <v>0</v>
      </c>
      <c r="P64" s="134">
        <f>+I80-O64-W64</f>
        <v>0</v>
      </c>
      <c r="Q64" s="11">
        <f>+G80-O64</f>
        <v>0</v>
      </c>
      <c r="R64">
        <f>+E80*$T$3</f>
        <v>0</v>
      </c>
      <c r="S64">
        <f t="shared" si="11"/>
        <v>0</v>
      </c>
      <c r="T64" t="str">
        <f>+IF(K80&lt;&gt;"",K80,"")</f>
        <v/>
      </c>
      <c r="U64" t="e">
        <f>+RANK(H80,$H$6:$H$1048576,1)</f>
        <v>#N/A</v>
      </c>
    </row>
    <row r="65" spans="2:21" x14ac:dyDescent="0.35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11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35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11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35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11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35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11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35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</row>
    <row r="70" spans="2:21" x14ac:dyDescent="0.35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35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35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35">
      <c r="B73" s="246"/>
      <c r="C73" s="256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35">
      <c r="B74" s="246"/>
      <c r="C74" s="247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35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35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35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35">
      <c r="B78" s="246"/>
      <c r="C78" s="256"/>
      <c r="D78" s="248"/>
      <c r="E78" s="249"/>
      <c r="F78" s="249"/>
      <c r="G78" s="199"/>
      <c r="H78" s="258"/>
      <c r="I78" s="223"/>
      <c r="J78" s="344"/>
      <c r="K78" s="248"/>
      <c r="L78" s="253"/>
      <c r="M78" s="254"/>
      <c r="N78" s="204"/>
    </row>
    <row r="79" spans="2:21" x14ac:dyDescent="0.35">
      <c r="B79" s="246"/>
      <c r="C79" s="247"/>
      <c r="D79" s="248"/>
      <c r="E79" s="249"/>
      <c r="F79" s="249"/>
      <c r="G79" s="255"/>
      <c r="H79" s="251"/>
      <c r="I79" s="222"/>
      <c r="J79" s="343"/>
      <c r="K79" s="248"/>
      <c r="L79" s="253"/>
      <c r="M79" s="254"/>
      <c r="N79" s="204"/>
    </row>
    <row r="80" spans="2:21" x14ac:dyDescent="0.35">
      <c r="B80" s="246"/>
      <c r="C80" s="256"/>
      <c r="D80" s="248"/>
      <c r="E80" s="249"/>
      <c r="F80" s="249"/>
      <c r="G80" s="199"/>
      <c r="H80" s="258"/>
      <c r="I80" s="223"/>
      <c r="J80" s="344"/>
      <c r="K80" s="248"/>
      <c r="L80" s="253"/>
      <c r="M80" s="254"/>
      <c r="N80" s="259"/>
    </row>
    <row r="81" spans="2:14" x14ac:dyDescent="0.35">
      <c r="B81" s="246"/>
      <c r="C81" s="256"/>
      <c r="D81" s="248"/>
      <c r="E81" s="249"/>
      <c r="F81" s="249"/>
      <c r="G81" s="255"/>
      <c r="H81" s="258"/>
      <c r="I81" s="223"/>
      <c r="J81" s="344"/>
      <c r="K81" s="248"/>
      <c r="L81" s="253"/>
      <c r="M81" s="254"/>
      <c r="N81" s="259"/>
    </row>
    <row r="82" spans="2:14" x14ac:dyDescent="0.35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35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35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35">
      <c r="B85" s="246"/>
      <c r="C85" s="256"/>
      <c r="D85" s="248"/>
      <c r="E85" s="249"/>
      <c r="F85" s="249"/>
      <c r="G85" s="199"/>
      <c r="H85" s="258"/>
      <c r="I85" s="223"/>
      <c r="J85" s="344"/>
      <c r="K85" s="248"/>
      <c r="L85" s="204"/>
      <c r="M85" s="254"/>
      <c r="N85" s="259"/>
    </row>
    <row r="86" spans="2:14" x14ac:dyDescent="0.35">
      <c r="B86" s="246"/>
      <c r="C86" s="247"/>
      <c r="D86" s="248"/>
      <c r="E86" s="249"/>
      <c r="F86" s="249"/>
      <c r="G86" s="255"/>
      <c r="H86" s="251"/>
      <c r="I86" s="222"/>
      <c r="J86" s="343"/>
      <c r="K86" s="248"/>
      <c r="L86" s="253"/>
      <c r="M86" s="254"/>
      <c r="N86" s="259"/>
    </row>
    <row r="87" spans="2:14" x14ac:dyDescent="0.35">
      <c r="B87" s="246"/>
      <c r="C87" s="247"/>
      <c r="D87" s="248"/>
      <c r="E87" s="249"/>
      <c r="F87" s="249"/>
      <c r="G87" s="257"/>
      <c r="H87" s="251"/>
      <c r="I87" s="222"/>
      <c r="J87" s="343"/>
      <c r="K87" s="248"/>
      <c r="L87" s="253"/>
      <c r="M87" s="254"/>
      <c r="N87" s="259"/>
    </row>
    <row r="88" spans="2:14" x14ac:dyDescent="0.35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35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35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35">
      <c r="B91" s="246"/>
      <c r="C91" s="247"/>
      <c r="D91" s="248"/>
      <c r="E91" s="249"/>
      <c r="F91" s="249"/>
      <c r="G91" s="257"/>
      <c r="H91" s="251"/>
      <c r="I91" s="222"/>
      <c r="J91" s="343"/>
      <c r="K91" s="248"/>
      <c r="L91" s="253"/>
      <c r="M91" s="254"/>
      <c r="N91" s="259"/>
    </row>
    <row r="92" spans="2:14" x14ac:dyDescent="0.35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53"/>
      <c r="M92" s="254"/>
      <c r="N92" s="259"/>
    </row>
    <row r="93" spans="2:14" x14ac:dyDescent="0.35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04"/>
      <c r="M93" s="254"/>
      <c r="N93" s="259"/>
    </row>
    <row r="94" spans="2:14" x14ac:dyDescent="0.35">
      <c r="B94" s="246"/>
      <c r="C94" s="256"/>
      <c r="D94" s="248"/>
      <c r="E94" s="249"/>
      <c r="F94" s="249"/>
      <c r="G94" s="199"/>
      <c r="H94" s="258"/>
      <c r="I94" s="223"/>
      <c r="J94" s="344"/>
      <c r="K94" s="248"/>
      <c r="L94" s="204"/>
      <c r="M94" s="254"/>
      <c r="N94" s="259"/>
    </row>
    <row r="95" spans="2:14" x14ac:dyDescent="0.35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35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35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35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35">
      <c r="B99" s="246"/>
      <c r="C99" s="256"/>
      <c r="D99" s="248"/>
      <c r="E99" s="249"/>
      <c r="F99" s="249"/>
      <c r="G99" s="255"/>
      <c r="H99" s="260"/>
      <c r="I99" s="261"/>
      <c r="J99" s="345"/>
      <c r="K99" s="248"/>
      <c r="L99" s="204"/>
      <c r="M99" s="254"/>
      <c r="N99" s="259"/>
    </row>
    <row r="100" spans="2:14" x14ac:dyDescent="0.35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04"/>
      <c r="M100" s="254"/>
      <c r="N100" s="259"/>
    </row>
    <row r="101" spans="2:14" x14ac:dyDescent="0.35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53"/>
      <c r="M101" s="254"/>
      <c r="N101" s="259"/>
    </row>
    <row r="102" spans="2:14" x14ac:dyDescent="0.35">
      <c r="B102" s="246"/>
      <c r="C102" s="247"/>
      <c r="D102" s="248"/>
      <c r="E102" s="249"/>
      <c r="F102" s="249"/>
      <c r="G102" s="257"/>
      <c r="H102" s="251"/>
      <c r="I102" s="222"/>
      <c r="J102" s="343"/>
      <c r="K102" s="248"/>
      <c r="L102" s="253"/>
      <c r="M102" s="254"/>
      <c r="N102" s="259"/>
    </row>
    <row r="103" spans="2:14" x14ac:dyDescent="0.35">
      <c r="B103" s="246"/>
      <c r="C103" s="247"/>
      <c r="D103" s="248"/>
      <c r="E103" s="249"/>
      <c r="F103" s="249"/>
      <c r="G103" s="255"/>
      <c r="H103" s="251"/>
      <c r="I103" s="222"/>
      <c r="J103" s="343"/>
      <c r="K103" s="248"/>
      <c r="L103" s="253"/>
      <c r="M103" s="254"/>
      <c r="N103" s="259"/>
    </row>
    <row r="104" spans="2:14" x14ac:dyDescent="0.35">
      <c r="B104" s="246"/>
      <c r="C104" s="256"/>
      <c r="D104" s="248"/>
      <c r="E104" s="249"/>
      <c r="F104" s="249"/>
      <c r="G104" s="199"/>
      <c r="H104" s="258"/>
      <c r="I104" s="223"/>
      <c r="J104" s="344"/>
      <c r="K104" s="248"/>
      <c r="L104" s="253"/>
      <c r="M104" s="254"/>
      <c r="N104" s="259"/>
    </row>
    <row r="105" spans="2:14" x14ac:dyDescent="0.35">
      <c r="B105" s="246"/>
      <c r="C105" s="247"/>
      <c r="D105" s="248"/>
      <c r="E105" s="249"/>
      <c r="F105" s="249"/>
      <c r="G105" s="255"/>
      <c r="H105" s="251"/>
      <c r="I105" s="222"/>
      <c r="J105" s="343"/>
      <c r="K105" s="248"/>
      <c r="L105" s="253"/>
      <c r="M105" s="254"/>
      <c r="N105" s="259"/>
    </row>
    <row r="106" spans="2:14" x14ac:dyDescent="0.35">
      <c r="B106" s="246"/>
      <c r="C106" s="247"/>
      <c r="D106" s="248"/>
      <c r="E106" s="249"/>
      <c r="F106" s="249"/>
      <c r="G106" s="257"/>
      <c r="H106" s="251"/>
      <c r="I106" s="222"/>
      <c r="J106" s="343"/>
      <c r="K106" s="248"/>
      <c r="L106" s="253"/>
      <c r="M106" s="254"/>
      <c r="N106" s="259"/>
    </row>
    <row r="107" spans="2:14" x14ac:dyDescent="0.35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35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35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35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35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35">
      <c r="B112" s="246"/>
      <c r="C112" s="247"/>
      <c r="D112" s="248"/>
      <c r="E112" s="249"/>
      <c r="F112" s="249"/>
      <c r="G112" s="257"/>
      <c r="H112" s="251"/>
      <c r="I112" s="222"/>
      <c r="J112" s="343"/>
      <c r="K112" s="248"/>
      <c r="L112" s="253"/>
      <c r="M112" s="254"/>
      <c r="N112" s="259"/>
    </row>
    <row r="113" spans="2:14" x14ac:dyDescent="0.35">
      <c r="B113" s="246"/>
      <c r="C113" s="247"/>
      <c r="D113" s="248"/>
      <c r="E113" s="249"/>
      <c r="F113" s="249"/>
      <c r="G113" s="255"/>
      <c r="H113" s="251"/>
      <c r="I113" s="222"/>
      <c r="J113" s="343"/>
      <c r="K113" s="248"/>
      <c r="L113" s="253"/>
      <c r="M113" s="254"/>
      <c r="N113" s="259"/>
    </row>
    <row r="114" spans="2:14" x14ac:dyDescent="0.35">
      <c r="B114" s="246"/>
      <c r="C114" s="247"/>
      <c r="D114" s="248"/>
      <c r="E114" s="249"/>
      <c r="F114" s="249"/>
      <c r="G114" s="257"/>
      <c r="H114" s="251"/>
      <c r="I114" s="222"/>
      <c r="J114" s="343"/>
      <c r="K114" s="248"/>
      <c r="L114" s="253"/>
      <c r="M114" s="254"/>
      <c r="N114" s="259"/>
    </row>
    <row r="115" spans="2:14" x14ac:dyDescent="0.35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35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35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35">
      <c r="B118" s="246"/>
      <c r="C118" s="256"/>
      <c r="D118" s="248"/>
      <c r="E118" s="249"/>
      <c r="F118" s="249"/>
      <c r="G118" s="199"/>
      <c r="H118" s="258"/>
      <c r="I118" s="223"/>
      <c r="J118" s="344"/>
      <c r="K118" s="248"/>
      <c r="L118" s="253"/>
      <c r="M118" s="254"/>
      <c r="N118" s="259"/>
    </row>
    <row r="119" spans="2:14" x14ac:dyDescent="0.35">
      <c r="B119" s="246"/>
      <c r="C119" s="247"/>
      <c r="D119" s="248"/>
      <c r="E119" s="249"/>
      <c r="F119" s="249"/>
      <c r="G119" s="255"/>
      <c r="H119" s="251"/>
      <c r="I119" s="222"/>
      <c r="J119" s="343"/>
      <c r="K119" s="248"/>
      <c r="L119" s="204"/>
      <c r="M119" s="254"/>
      <c r="N119" s="259"/>
    </row>
    <row r="120" spans="2:14" x14ac:dyDescent="0.35">
      <c r="B120" s="246"/>
      <c r="C120" s="247"/>
      <c r="D120" s="248"/>
      <c r="E120" s="249"/>
      <c r="F120" s="249"/>
      <c r="G120" s="257"/>
      <c r="H120" s="251"/>
      <c r="I120" s="222"/>
      <c r="J120" s="343"/>
      <c r="K120" s="248"/>
      <c r="L120" s="253"/>
      <c r="M120" s="254"/>
      <c r="N120" s="259"/>
    </row>
    <row r="121" spans="2:14" x14ac:dyDescent="0.35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04"/>
      <c r="M121" s="254"/>
      <c r="N121" s="259"/>
    </row>
    <row r="122" spans="2:14" x14ac:dyDescent="0.35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35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35">
      <c r="B124" s="246"/>
      <c r="C124" s="247"/>
      <c r="D124" s="246"/>
      <c r="E124" s="249"/>
      <c r="F124" s="249"/>
      <c r="G124" s="262"/>
      <c r="H124" s="251"/>
      <c r="I124" s="222"/>
      <c r="J124" s="343"/>
      <c r="K124" s="248"/>
      <c r="L124" s="253"/>
      <c r="M124" s="254"/>
      <c r="N124" s="204"/>
    </row>
    <row r="125" spans="2:14" x14ac:dyDescent="0.35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35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35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35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35">
      <c r="B129" s="246"/>
      <c r="C129" s="256"/>
      <c r="D129" s="248"/>
      <c r="E129" s="249"/>
      <c r="F129" s="249"/>
      <c r="G129" s="199"/>
      <c r="H129" s="258"/>
      <c r="I129" s="223"/>
      <c r="J129" s="344"/>
      <c r="K129" s="263"/>
      <c r="L129" s="253"/>
      <c r="M129" s="254"/>
      <c r="N129" s="204"/>
    </row>
    <row r="130" spans="2:14" x14ac:dyDescent="0.35">
      <c r="B130" s="246"/>
      <c r="C130" s="247"/>
      <c r="D130" s="248"/>
      <c r="E130" s="249"/>
      <c r="F130" s="249"/>
      <c r="G130" s="255"/>
      <c r="H130" s="251"/>
      <c r="I130" s="222"/>
      <c r="J130" s="343"/>
      <c r="K130" s="248"/>
      <c r="L130" s="253"/>
      <c r="M130" s="254"/>
      <c r="N130" s="204"/>
    </row>
    <row r="131" spans="2:14" x14ac:dyDescent="0.35">
      <c r="B131" s="246"/>
      <c r="C131" s="256"/>
      <c r="D131" s="248"/>
      <c r="E131" s="249"/>
      <c r="F131" s="249"/>
      <c r="G131" s="199"/>
      <c r="H131" s="251"/>
      <c r="I131" s="222"/>
      <c r="J131" s="343"/>
      <c r="K131" s="248"/>
      <c r="L131" s="253"/>
      <c r="M131" s="254"/>
      <c r="N131" s="204"/>
    </row>
    <row r="132" spans="2:14" x14ac:dyDescent="0.35">
      <c r="B132" s="246"/>
      <c r="C132" s="247"/>
      <c r="D132" s="248"/>
      <c r="E132" s="249"/>
      <c r="F132" s="249"/>
      <c r="G132" s="255"/>
      <c r="H132" s="251"/>
      <c r="I132" s="222"/>
      <c r="J132" s="343"/>
      <c r="K132" s="248"/>
      <c r="L132" s="253"/>
      <c r="M132" s="254"/>
      <c r="N132" s="204"/>
    </row>
    <row r="133" spans="2:14" x14ac:dyDescent="0.35">
      <c r="B133" s="246"/>
      <c r="C133" s="247"/>
      <c r="D133" s="248"/>
      <c r="E133" s="249"/>
      <c r="F133" s="249"/>
      <c r="G133" s="255"/>
      <c r="H133" s="200"/>
      <c r="I133" s="222"/>
      <c r="J133" s="343"/>
      <c r="K133" s="248"/>
      <c r="L133" s="253"/>
      <c r="M133" s="254"/>
      <c r="N133" s="204"/>
    </row>
    <row r="134" spans="2:14" x14ac:dyDescent="0.35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35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35">
      <c r="B136" s="246"/>
      <c r="C136" s="247"/>
      <c r="D136" s="248"/>
      <c r="E136" s="249"/>
      <c r="F136" s="249"/>
      <c r="G136" s="255"/>
      <c r="H136" s="200"/>
      <c r="I136" s="222"/>
      <c r="J136" s="343"/>
      <c r="K136" s="248"/>
      <c r="L136" s="253"/>
      <c r="M136" s="254"/>
      <c r="N136" s="204"/>
    </row>
    <row r="137" spans="2:14" x14ac:dyDescent="0.35">
      <c r="B137" s="246"/>
      <c r="C137" s="247"/>
      <c r="D137" s="248"/>
      <c r="E137" s="249"/>
      <c r="F137" s="249"/>
      <c r="G137" s="255"/>
      <c r="H137" s="251"/>
      <c r="I137" s="222"/>
      <c r="J137" s="343"/>
      <c r="K137" s="248"/>
      <c r="L137" s="253"/>
      <c r="M137" s="254"/>
      <c r="N137" s="204"/>
    </row>
    <row r="138" spans="2:14" x14ac:dyDescent="0.35">
      <c r="B138" s="246"/>
      <c r="C138" s="256"/>
      <c r="D138" s="248"/>
      <c r="E138" s="249"/>
      <c r="F138" s="249"/>
      <c r="G138" s="199"/>
      <c r="H138" s="200"/>
      <c r="I138" s="222"/>
      <c r="J138" s="343"/>
      <c r="K138" s="248"/>
      <c r="L138" s="204"/>
      <c r="M138" s="254"/>
      <c r="N138" s="259"/>
    </row>
    <row r="139" spans="2:14" x14ac:dyDescent="0.35">
      <c r="B139" s="246"/>
      <c r="C139" s="247"/>
      <c r="D139" s="248"/>
      <c r="E139" s="249"/>
      <c r="F139" s="249"/>
      <c r="G139" s="255"/>
      <c r="H139" s="200"/>
      <c r="I139" s="222"/>
      <c r="J139" s="343"/>
      <c r="K139" s="248"/>
      <c r="L139" s="253"/>
      <c r="M139" s="254"/>
      <c r="N139" s="259"/>
    </row>
    <row r="140" spans="2:14" x14ac:dyDescent="0.35">
      <c r="B140" s="246"/>
      <c r="C140" s="256"/>
      <c r="D140" s="248"/>
      <c r="E140" s="249"/>
      <c r="F140" s="249"/>
      <c r="G140" s="199"/>
      <c r="H140" s="200"/>
      <c r="I140" s="222"/>
      <c r="J140" s="343"/>
      <c r="K140" s="248"/>
      <c r="L140" s="204"/>
      <c r="M140" s="254"/>
      <c r="N140" s="259"/>
    </row>
    <row r="141" spans="2:14" x14ac:dyDescent="0.35">
      <c r="B141" s="246"/>
      <c r="C141" s="247"/>
      <c r="D141" s="248"/>
      <c r="E141" s="249"/>
      <c r="F141" s="249"/>
      <c r="G141" s="255"/>
      <c r="H141" s="200"/>
      <c r="I141" s="222"/>
      <c r="J141" s="343"/>
      <c r="K141" s="248"/>
      <c r="L141" s="253"/>
      <c r="M141" s="254"/>
      <c r="N141" s="204"/>
    </row>
    <row r="142" spans="2:14" x14ac:dyDescent="0.35">
      <c r="B142" s="246"/>
      <c r="C142" s="256"/>
      <c r="D142" s="248"/>
      <c r="E142" s="249"/>
      <c r="F142" s="249"/>
      <c r="G142" s="199"/>
      <c r="H142" s="251"/>
      <c r="I142" s="222"/>
      <c r="J142" s="343"/>
      <c r="K142" s="248"/>
      <c r="L142" s="253"/>
      <c r="M142" s="254"/>
      <c r="N142" s="204"/>
    </row>
    <row r="143" spans="2:14" x14ac:dyDescent="0.35">
      <c r="B143" s="246"/>
      <c r="C143" s="256"/>
      <c r="D143" s="248"/>
      <c r="E143" s="249"/>
      <c r="F143" s="249"/>
      <c r="G143" s="199"/>
      <c r="H143" s="200"/>
      <c r="I143" s="222"/>
      <c r="J143" s="343"/>
      <c r="K143" s="248"/>
      <c r="L143" s="253"/>
      <c r="M143" s="254"/>
      <c r="N143" s="204"/>
    </row>
    <row r="144" spans="2:14" x14ac:dyDescent="0.35">
      <c r="B144" s="246"/>
      <c r="C144" s="256"/>
      <c r="D144" s="246"/>
      <c r="E144" s="249"/>
      <c r="F144" s="249"/>
      <c r="G144" s="202"/>
      <c r="H144" s="200"/>
      <c r="I144" s="222"/>
      <c r="J144" s="343"/>
      <c r="K144" s="248"/>
      <c r="L144" s="253"/>
      <c r="M144" s="254"/>
      <c r="N144" s="204"/>
    </row>
    <row r="145" spans="2:14" x14ac:dyDescent="0.35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35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35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35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35">
      <c r="B149" s="246"/>
      <c r="C149" s="247"/>
      <c r="D149" s="248"/>
      <c r="E149" s="249"/>
      <c r="F149" s="249"/>
      <c r="G149" s="255"/>
      <c r="H149" s="200"/>
      <c r="I149" s="222"/>
      <c r="J149" s="343"/>
      <c r="K149" s="248"/>
      <c r="L149" s="253"/>
      <c r="M149" s="254"/>
      <c r="N149" s="204"/>
    </row>
    <row r="150" spans="2:14" x14ac:dyDescent="0.35">
      <c r="B150" s="246"/>
      <c r="C150" s="247"/>
      <c r="D150" s="248"/>
      <c r="E150" s="249"/>
      <c r="F150" s="249"/>
      <c r="G150" s="255"/>
      <c r="H150" s="251"/>
      <c r="I150" s="222"/>
      <c r="J150" s="343"/>
      <c r="K150" s="248"/>
      <c r="L150" s="253"/>
      <c r="M150" s="254"/>
      <c r="N150" s="204"/>
    </row>
    <row r="151" spans="2:14" x14ac:dyDescent="0.35">
      <c r="B151" s="246"/>
      <c r="C151" s="247"/>
      <c r="D151" s="248"/>
      <c r="E151" s="249"/>
      <c r="F151" s="249"/>
      <c r="G151" s="255"/>
      <c r="H151" s="200"/>
      <c r="I151" s="222"/>
      <c r="J151" s="343"/>
      <c r="K151" s="248"/>
      <c r="L151" s="253"/>
      <c r="M151" s="254"/>
      <c r="N151" s="204"/>
    </row>
    <row r="152" spans="2:14" x14ac:dyDescent="0.35">
      <c r="B152" s="246"/>
      <c r="C152" s="256"/>
      <c r="D152" s="248"/>
      <c r="E152" s="249"/>
      <c r="F152" s="249"/>
      <c r="G152" s="199"/>
      <c r="H152" s="251"/>
      <c r="I152" s="222"/>
      <c r="J152" s="343"/>
      <c r="K152" s="248"/>
      <c r="L152" s="253"/>
      <c r="M152" s="254"/>
      <c r="N152" s="204"/>
    </row>
    <row r="153" spans="2:14" x14ac:dyDescent="0.35">
      <c r="B153" s="246"/>
      <c r="C153" s="247"/>
      <c r="D153" s="248"/>
      <c r="E153" s="249"/>
      <c r="F153" s="249"/>
      <c r="G153" s="255"/>
      <c r="H153" s="251"/>
      <c r="I153" s="222"/>
      <c r="J153" s="343"/>
      <c r="K153" s="248"/>
      <c r="L153" s="253"/>
      <c r="M153" s="254"/>
      <c r="N153" s="204"/>
    </row>
    <row r="154" spans="2:14" x14ac:dyDescent="0.35">
      <c r="B154" s="246"/>
      <c r="C154" s="256"/>
      <c r="D154" s="248"/>
      <c r="E154" s="249"/>
      <c r="F154" s="249"/>
      <c r="G154" s="199"/>
      <c r="H154" s="200"/>
      <c r="I154" s="222"/>
      <c r="J154" s="343"/>
      <c r="K154" s="248"/>
      <c r="L154" s="253"/>
      <c r="M154" s="254"/>
      <c r="N154" s="204"/>
    </row>
    <row r="155" spans="2:14" x14ac:dyDescent="0.35">
      <c r="B155" s="246"/>
      <c r="C155" s="247"/>
      <c r="D155" s="248"/>
      <c r="E155" s="249"/>
      <c r="F155" s="249"/>
      <c r="G155" s="255"/>
      <c r="H155" s="200"/>
      <c r="I155" s="222"/>
      <c r="J155" s="343"/>
      <c r="K155" s="248"/>
      <c r="L155" s="253"/>
      <c r="M155" s="254"/>
      <c r="N155" s="204"/>
    </row>
    <row r="156" spans="2:14" x14ac:dyDescent="0.35">
      <c r="B156" s="246"/>
      <c r="C156" s="256"/>
      <c r="D156" s="248"/>
      <c r="E156" s="249"/>
      <c r="F156" s="249"/>
      <c r="G156" s="199"/>
      <c r="H156" s="251"/>
      <c r="I156" s="222"/>
      <c r="J156" s="343"/>
      <c r="K156" s="248"/>
      <c r="L156" s="253"/>
      <c r="M156" s="254"/>
      <c r="N156" s="204"/>
    </row>
    <row r="157" spans="2:14" x14ac:dyDescent="0.35">
      <c r="B157" s="246"/>
      <c r="C157" s="247"/>
      <c r="D157" s="248"/>
      <c r="E157" s="249"/>
      <c r="F157" s="249"/>
      <c r="G157" s="255"/>
      <c r="H157" s="200"/>
      <c r="I157" s="222"/>
      <c r="J157" s="343"/>
      <c r="K157" s="248"/>
      <c r="L157" s="253"/>
      <c r="M157" s="254"/>
      <c r="N157" s="204"/>
    </row>
    <row r="158" spans="2:14" x14ac:dyDescent="0.35">
      <c r="B158" s="246"/>
      <c r="C158" s="256"/>
      <c r="D158" s="248"/>
      <c r="E158" s="249"/>
      <c r="F158" s="249"/>
      <c r="G158" s="199"/>
      <c r="H158" s="251"/>
      <c r="I158" s="252"/>
      <c r="J158" s="342"/>
      <c r="K158" s="248"/>
      <c r="L158" s="253"/>
      <c r="M158" s="254"/>
      <c r="N158" s="204"/>
    </row>
    <row r="159" spans="2:14" x14ac:dyDescent="0.35">
      <c r="B159" s="246"/>
      <c r="C159" s="247"/>
      <c r="D159" s="248"/>
      <c r="E159" s="249"/>
      <c r="F159" s="249"/>
      <c r="G159" s="255"/>
      <c r="H159" s="251"/>
      <c r="I159" s="222"/>
      <c r="J159" s="343"/>
      <c r="K159" s="248"/>
      <c r="L159" s="253"/>
      <c r="M159" s="254"/>
      <c r="N159" s="204"/>
    </row>
    <row r="160" spans="2:14" x14ac:dyDescent="0.35">
      <c r="B160" s="246"/>
      <c r="C160" s="256"/>
      <c r="D160" s="248"/>
      <c r="E160" s="249"/>
      <c r="F160" s="249"/>
      <c r="G160" s="199"/>
      <c r="H160" s="251"/>
      <c r="I160" s="222"/>
      <c r="J160" s="343"/>
      <c r="K160" s="248"/>
      <c r="L160" s="253"/>
      <c r="M160" s="254"/>
      <c r="N160" s="204"/>
    </row>
    <row r="161" spans="2:14" x14ac:dyDescent="0.35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35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35">
      <c r="B163" s="246"/>
      <c r="C163" s="256"/>
      <c r="D163" s="246"/>
      <c r="E163" s="249"/>
      <c r="F163" s="249"/>
      <c r="G163" s="202"/>
      <c r="H163" s="251"/>
      <c r="I163" s="222"/>
      <c r="J163" s="343"/>
      <c r="K163" s="248"/>
      <c r="L163" s="253"/>
      <c r="M163" s="254"/>
      <c r="N163" s="204"/>
    </row>
    <row r="164" spans="2:14" x14ac:dyDescent="0.35">
      <c r="B164" s="246"/>
      <c r="C164" s="256"/>
      <c r="D164" s="248"/>
      <c r="E164" s="249"/>
      <c r="F164" s="249"/>
      <c r="G164" s="199"/>
      <c r="H164" s="251"/>
      <c r="I164" s="222"/>
      <c r="J164" s="343"/>
      <c r="K164" s="248"/>
      <c r="L164" s="253"/>
      <c r="M164" s="254"/>
      <c r="N164" s="204"/>
    </row>
    <row r="165" spans="2:14" x14ac:dyDescent="0.35">
      <c r="B165" s="246"/>
      <c r="C165" s="247"/>
      <c r="D165" s="248"/>
      <c r="E165" s="249"/>
      <c r="F165" s="249"/>
      <c r="G165" s="255"/>
      <c r="H165" s="251"/>
      <c r="I165" s="222"/>
      <c r="J165" s="343"/>
      <c r="K165" s="248"/>
      <c r="L165" s="253"/>
      <c r="M165" s="254"/>
      <c r="N165" s="259"/>
    </row>
    <row r="166" spans="2:14" x14ac:dyDescent="0.35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35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35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35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35">
      <c r="B170" s="246"/>
      <c r="C170" s="256"/>
      <c r="D170" s="248"/>
      <c r="E170" s="249"/>
      <c r="F170" s="249"/>
      <c r="G170" s="199"/>
      <c r="H170" s="200"/>
      <c r="I170" s="222"/>
      <c r="J170" s="343"/>
      <c r="K170" s="248"/>
      <c r="L170" s="253"/>
      <c r="M170" s="254"/>
      <c r="N170" s="204"/>
    </row>
    <row r="171" spans="2:14" x14ac:dyDescent="0.35">
      <c r="B171" s="246"/>
      <c r="C171" s="247"/>
      <c r="D171" s="248"/>
      <c r="E171" s="249"/>
      <c r="F171" s="249"/>
      <c r="G171" s="255"/>
      <c r="H171" s="200"/>
      <c r="I171" s="222"/>
      <c r="J171" s="343"/>
      <c r="K171" s="248"/>
      <c r="L171" s="253"/>
      <c r="M171" s="254"/>
      <c r="N171" s="204"/>
    </row>
    <row r="172" spans="2:14" x14ac:dyDescent="0.35">
      <c r="B172" s="246"/>
      <c r="C172" s="256"/>
      <c r="D172" s="248"/>
      <c r="E172" s="249"/>
      <c r="F172" s="249"/>
      <c r="G172" s="199"/>
      <c r="H172" s="200"/>
      <c r="I172" s="222"/>
      <c r="J172" s="343"/>
      <c r="K172" s="248"/>
      <c r="L172" s="253"/>
      <c r="M172" s="254"/>
      <c r="N172" s="204"/>
    </row>
    <row r="173" spans="2:14" x14ac:dyDescent="0.35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35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35">
      <c r="B175" s="246"/>
      <c r="C175" s="256"/>
      <c r="D175" s="248"/>
      <c r="E175" s="249"/>
      <c r="F175" s="249"/>
      <c r="G175" s="199"/>
      <c r="H175" s="200"/>
      <c r="I175" s="222"/>
      <c r="J175" s="343"/>
      <c r="K175" s="248"/>
      <c r="L175" s="253"/>
      <c r="M175" s="254"/>
      <c r="N175" s="204"/>
    </row>
    <row r="176" spans="2:14" x14ac:dyDescent="0.35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35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35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35">
      <c r="B179" s="246"/>
      <c r="C179" s="256"/>
      <c r="D179" s="248"/>
      <c r="E179" s="249"/>
      <c r="F179" s="249"/>
      <c r="G179" s="199"/>
      <c r="H179" s="200"/>
      <c r="I179" s="222"/>
      <c r="J179" s="343"/>
      <c r="K179" s="248"/>
      <c r="L179" s="253"/>
      <c r="M179" s="254"/>
      <c r="N179" s="204"/>
    </row>
    <row r="180" spans="2:14" x14ac:dyDescent="0.35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35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35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35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35">
      <c r="B184" s="246"/>
      <c r="C184" s="256"/>
      <c r="D184" s="248"/>
      <c r="E184" s="249"/>
      <c r="F184" s="249"/>
      <c r="G184" s="199"/>
      <c r="H184" s="200"/>
      <c r="I184" s="222"/>
      <c r="J184" s="343"/>
      <c r="K184" s="248"/>
      <c r="L184" s="253"/>
      <c r="M184" s="254"/>
      <c r="N184" s="204"/>
    </row>
    <row r="185" spans="2:14" x14ac:dyDescent="0.35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35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35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35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35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35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35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35">
      <c r="B192" s="246"/>
      <c r="C192" s="256"/>
      <c r="D192" s="248"/>
      <c r="E192" s="249"/>
      <c r="F192" s="249"/>
      <c r="G192" s="199"/>
      <c r="H192" s="200"/>
      <c r="I192" s="222"/>
      <c r="J192" s="343"/>
      <c r="K192" s="248"/>
      <c r="L192" s="253"/>
      <c r="M192" s="254"/>
      <c r="N192" s="204"/>
    </row>
    <row r="193" spans="2:14" x14ac:dyDescent="0.35">
      <c r="B193" s="246"/>
      <c r="C193" s="247"/>
      <c r="D193" s="248"/>
      <c r="E193" s="249"/>
      <c r="F193" s="249"/>
      <c r="G193" s="255"/>
      <c r="H193" s="200"/>
      <c r="I193" s="222"/>
      <c r="J193" s="343"/>
      <c r="K193" s="248"/>
      <c r="L193" s="253"/>
      <c r="M193" s="254"/>
      <c r="N193" s="204"/>
    </row>
    <row r="194" spans="2:14" x14ac:dyDescent="0.35">
      <c r="B194" s="246"/>
      <c r="C194" s="256"/>
      <c r="D194" s="248"/>
      <c r="E194" s="249"/>
      <c r="F194" s="249"/>
      <c r="G194" s="199"/>
      <c r="H194" s="200"/>
      <c r="I194" s="222"/>
      <c r="J194" s="343"/>
      <c r="K194" s="248"/>
      <c r="L194" s="253"/>
      <c r="M194" s="254"/>
      <c r="N194" s="204"/>
    </row>
    <row r="195" spans="2:14" x14ac:dyDescent="0.35">
      <c r="B195" s="246"/>
      <c r="C195" s="247"/>
      <c r="D195" s="248"/>
      <c r="E195" s="249"/>
      <c r="F195" s="249"/>
      <c r="G195" s="255"/>
      <c r="H195" s="200"/>
      <c r="I195" s="222"/>
      <c r="J195" s="343"/>
      <c r="K195" s="248"/>
      <c r="L195" s="204"/>
      <c r="M195" s="254"/>
      <c r="N195" s="259"/>
    </row>
    <row r="196" spans="2:14" x14ac:dyDescent="0.35">
      <c r="B196" s="246"/>
      <c r="C196" s="247"/>
      <c r="D196" s="248"/>
      <c r="E196" s="249"/>
      <c r="F196" s="249"/>
      <c r="G196" s="255"/>
      <c r="H196" s="251"/>
      <c r="I196" s="222"/>
      <c r="J196" s="343"/>
      <c r="K196" s="248"/>
      <c r="L196" s="253"/>
      <c r="M196" s="254"/>
      <c r="N196" s="259"/>
    </row>
    <row r="197" spans="2:14" x14ac:dyDescent="0.35">
      <c r="B197" s="246"/>
      <c r="C197" s="247"/>
      <c r="D197" s="248"/>
      <c r="E197" s="249"/>
      <c r="F197" s="249"/>
      <c r="G197" s="255"/>
      <c r="H197" s="200"/>
      <c r="I197" s="222"/>
      <c r="J197" s="343"/>
      <c r="K197" s="248"/>
      <c r="L197" s="253"/>
      <c r="M197" s="254"/>
      <c r="N197" s="204"/>
    </row>
    <row r="198" spans="2:14" x14ac:dyDescent="0.35">
      <c r="B198" s="246"/>
      <c r="C198" s="256"/>
      <c r="D198" s="248"/>
      <c r="E198" s="249"/>
      <c r="F198" s="249"/>
      <c r="G198" s="199"/>
      <c r="H198" s="245"/>
      <c r="I198" s="223"/>
      <c r="J198" s="344"/>
      <c r="K198" s="248"/>
      <c r="L198" s="253"/>
      <c r="M198" s="254"/>
      <c r="N198" s="204"/>
    </row>
    <row r="199" spans="2:14" x14ac:dyDescent="0.35">
      <c r="B199" s="246"/>
      <c r="C199" s="247"/>
      <c r="D199" s="248"/>
      <c r="E199" s="249"/>
      <c r="F199" s="249"/>
      <c r="G199" s="255"/>
      <c r="H199" s="200"/>
      <c r="I199" s="222"/>
      <c r="J199" s="343"/>
      <c r="K199" s="248"/>
      <c r="L199" s="253"/>
      <c r="M199" s="254"/>
      <c r="N199" s="204"/>
    </row>
    <row r="200" spans="2:14" x14ac:dyDescent="0.35">
      <c r="B200" s="246"/>
      <c r="C200" s="256"/>
      <c r="D200" s="248"/>
      <c r="E200" s="249"/>
      <c r="F200" s="249"/>
      <c r="G200" s="199"/>
      <c r="H200" s="245"/>
      <c r="I200" s="223"/>
      <c r="J200" s="344"/>
      <c r="K200" s="248"/>
      <c r="L200" s="253"/>
      <c r="M200" s="254"/>
      <c r="N200" s="204"/>
    </row>
    <row r="201" spans="2:14" x14ac:dyDescent="0.35">
      <c r="B201" s="246"/>
      <c r="C201" s="247"/>
      <c r="D201" s="248"/>
      <c r="E201" s="249"/>
      <c r="F201" s="249"/>
      <c r="G201" s="255"/>
      <c r="H201" s="200"/>
      <c r="I201" s="222"/>
      <c r="J201" s="343"/>
      <c r="K201" s="248"/>
      <c r="L201" s="253"/>
      <c r="M201" s="254"/>
      <c r="N201" s="204"/>
    </row>
    <row r="202" spans="2:14" x14ac:dyDescent="0.35">
      <c r="B202" s="246"/>
      <c r="C202" s="256"/>
      <c r="D202" s="248"/>
      <c r="E202" s="249"/>
      <c r="F202" s="249"/>
      <c r="G202" s="199"/>
      <c r="H202" s="245"/>
      <c r="I202" s="223"/>
      <c r="J202" s="344"/>
      <c r="K202" s="248"/>
      <c r="L202" s="204"/>
      <c r="M202" s="254"/>
      <c r="N202" s="204"/>
    </row>
    <row r="203" spans="2:14" x14ac:dyDescent="0.35">
      <c r="B203" s="246"/>
      <c r="C203" s="247"/>
      <c r="D203" s="248"/>
      <c r="E203" s="249"/>
      <c r="F203" s="249"/>
      <c r="G203" s="255"/>
      <c r="H203" s="200"/>
      <c r="I203" s="222"/>
      <c r="J203" s="343"/>
      <c r="K203" s="248"/>
      <c r="L203" s="204"/>
      <c r="M203" s="254"/>
      <c r="N203" s="204"/>
    </row>
    <row r="204" spans="2:14" x14ac:dyDescent="0.35">
      <c r="B204" s="246"/>
      <c r="C204" s="256"/>
      <c r="D204" s="248"/>
      <c r="E204" s="249"/>
      <c r="F204" s="249"/>
      <c r="G204" s="199"/>
      <c r="H204" s="245"/>
      <c r="I204" s="223"/>
      <c r="J204" s="344"/>
      <c r="K204" s="248"/>
      <c r="L204" s="204"/>
      <c r="M204" s="254"/>
      <c r="N204" s="204"/>
    </row>
    <row r="205" spans="2:14" x14ac:dyDescent="0.35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04"/>
      <c r="M205" s="254"/>
      <c r="N205" s="204"/>
    </row>
    <row r="206" spans="2:14" x14ac:dyDescent="0.35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53"/>
      <c r="M206" s="254"/>
      <c r="N206" s="204"/>
    </row>
    <row r="207" spans="2:14" x14ac:dyDescent="0.35">
      <c r="B207" s="246"/>
      <c r="C207" s="256"/>
      <c r="D207" s="248"/>
      <c r="E207" s="249"/>
      <c r="F207" s="249"/>
      <c r="G207" s="199"/>
      <c r="H207" s="245"/>
      <c r="I207" s="223"/>
      <c r="J207" s="344"/>
      <c r="K207" s="248"/>
      <c r="L207" s="253"/>
      <c r="M207" s="254"/>
      <c r="N207" s="204"/>
    </row>
    <row r="208" spans="2:14" x14ac:dyDescent="0.35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04"/>
      <c r="M208" s="254"/>
      <c r="N208" s="204"/>
    </row>
    <row r="209" spans="2:14" x14ac:dyDescent="0.35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35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35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04"/>
      <c r="M211" s="254"/>
      <c r="N211" s="204"/>
    </row>
    <row r="212" spans="2:14" x14ac:dyDescent="0.35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53"/>
      <c r="M212" s="254"/>
      <c r="N212" s="204"/>
    </row>
    <row r="213" spans="2:14" x14ac:dyDescent="0.35">
      <c r="B213" s="246"/>
      <c r="C213" s="256"/>
      <c r="D213" s="248"/>
      <c r="E213" s="249"/>
      <c r="F213" s="249"/>
      <c r="G213" s="199"/>
      <c r="H213" s="245"/>
      <c r="I213" s="223"/>
      <c r="J213" s="344"/>
      <c r="K213" s="248"/>
      <c r="L213" s="204"/>
      <c r="M213" s="254"/>
      <c r="N213" s="204"/>
    </row>
    <row r="214" spans="2:14" x14ac:dyDescent="0.35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53"/>
      <c r="M214" s="254"/>
      <c r="N214" s="204"/>
    </row>
    <row r="215" spans="2:14" x14ac:dyDescent="0.35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35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35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53"/>
      <c r="M217" s="254"/>
      <c r="N217" s="204"/>
    </row>
    <row r="218" spans="2:14" x14ac:dyDescent="0.35">
      <c r="B218" s="246"/>
      <c r="C218" s="256"/>
      <c r="D218" s="248"/>
      <c r="E218" s="249"/>
      <c r="F218" s="249"/>
      <c r="G218" s="199"/>
      <c r="H218" s="245"/>
      <c r="I218" s="223"/>
      <c r="J218" s="344"/>
      <c r="K218" s="248"/>
      <c r="L218" s="253"/>
      <c r="M218" s="254"/>
      <c r="N218" s="204"/>
    </row>
    <row r="219" spans="2:14" x14ac:dyDescent="0.35">
      <c r="B219" s="246"/>
      <c r="C219" s="247"/>
      <c r="D219" s="248"/>
      <c r="E219" s="249"/>
      <c r="F219" s="249"/>
      <c r="G219" s="255"/>
      <c r="H219" s="200"/>
      <c r="I219" s="222"/>
      <c r="J219" s="343"/>
      <c r="K219" s="248"/>
      <c r="L219" s="204"/>
      <c r="M219" s="254"/>
      <c r="N219" s="204"/>
    </row>
    <row r="220" spans="2:14" x14ac:dyDescent="0.35">
      <c r="B220" s="246"/>
      <c r="C220" s="247"/>
      <c r="D220" s="246"/>
      <c r="E220" s="249"/>
      <c r="F220" s="249"/>
      <c r="G220" s="262"/>
      <c r="H220" s="200"/>
      <c r="I220" s="222"/>
      <c r="J220" s="343"/>
      <c r="K220" s="248"/>
      <c r="L220" s="253"/>
      <c r="M220" s="254"/>
      <c r="N220" s="204"/>
    </row>
    <row r="221" spans="2:14" x14ac:dyDescent="0.35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35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35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35">
      <c r="B224" s="246"/>
      <c r="C224" s="247"/>
      <c r="D224" s="246"/>
      <c r="E224" s="249"/>
      <c r="F224" s="249"/>
      <c r="G224" s="262"/>
      <c r="H224" s="200"/>
      <c r="I224" s="222"/>
      <c r="J224" s="343"/>
      <c r="K224" s="248"/>
      <c r="L224" s="204"/>
      <c r="M224" s="254"/>
      <c r="N224" s="204"/>
    </row>
    <row r="225" spans="2:14" x14ac:dyDescent="0.35">
      <c r="B225" s="246"/>
      <c r="C225" s="247"/>
      <c r="D225" s="248"/>
      <c r="E225" s="249"/>
      <c r="F225" s="249"/>
      <c r="G225" s="255"/>
      <c r="H225" s="200"/>
      <c r="I225" s="222"/>
      <c r="J225" s="343"/>
      <c r="K225" s="248"/>
      <c r="L225" s="253"/>
      <c r="M225" s="254"/>
      <c r="N225" s="204"/>
    </row>
    <row r="226" spans="2:14" x14ac:dyDescent="0.35">
      <c r="B226" s="246"/>
      <c r="C226" s="247"/>
      <c r="D226" s="246"/>
      <c r="E226" s="249"/>
      <c r="F226" s="249"/>
      <c r="G226" s="262"/>
      <c r="H226" s="200"/>
      <c r="I226" s="222"/>
      <c r="J226" s="343"/>
      <c r="K226" s="248"/>
      <c r="L226" s="253"/>
      <c r="M226" s="254"/>
      <c r="N226" s="204"/>
    </row>
    <row r="227" spans="2:14" x14ac:dyDescent="0.35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35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35">
      <c r="B229" s="246"/>
      <c r="C229" s="256"/>
      <c r="D229" s="248"/>
      <c r="E229" s="249"/>
      <c r="F229" s="249"/>
      <c r="G229" s="262"/>
      <c r="H229" s="264"/>
      <c r="I229" s="261"/>
      <c r="J229" s="345"/>
      <c r="K229" s="248"/>
      <c r="L229" s="253"/>
      <c r="M229" s="254"/>
      <c r="N229" s="204"/>
    </row>
    <row r="230" spans="2:14" x14ac:dyDescent="0.35">
      <c r="B230" s="246"/>
      <c r="C230" s="247"/>
      <c r="D230" s="246"/>
      <c r="E230" s="249"/>
      <c r="F230" s="249"/>
      <c r="G230" s="262"/>
      <c r="H230" s="200"/>
      <c r="I230" s="222"/>
      <c r="J230" s="343"/>
      <c r="K230" s="246"/>
      <c r="L230" s="253"/>
      <c r="M230" s="254"/>
      <c r="N230" s="204"/>
    </row>
    <row r="231" spans="2:14" x14ac:dyDescent="0.35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35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35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35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35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35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35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35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35">
      <c r="B239" s="246"/>
      <c r="C239" s="256"/>
      <c r="D239" s="248"/>
      <c r="E239" s="249"/>
      <c r="F239" s="249"/>
      <c r="G239" s="199"/>
      <c r="H239" s="245"/>
      <c r="I239" s="223"/>
      <c r="J239" s="344"/>
      <c r="K239" s="248"/>
      <c r="L239" s="253"/>
      <c r="M239" s="254"/>
      <c r="N239" s="204"/>
    </row>
    <row r="240" spans="2:14" x14ac:dyDescent="0.35">
      <c r="B240" s="246"/>
      <c r="C240" s="256"/>
      <c r="D240" s="248"/>
      <c r="E240" s="249"/>
      <c r="F240" s="249"/>
      <c r="G240" s="199"/>
      <c r="H240" s="200"/>
      <c r="I240" s="222"/>
      <c r="J240" s="343"/>
      <c r="K240" s="248"/>
      <c r="L240" s="253"/>
      <c r="M240" s="254"/>
      <c r="N240" s="204"/>
    </row>
    <row r="241" spans="2:14" x14ac:dyDescent="0.35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04"/>
      <c r="M241" s="254"/>
      <c r="N241" s="204"/>
    </row>
    <row r="242" spans="2:14" x14ac:dyDescent="0.35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35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35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35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35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35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35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35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35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35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35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35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35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35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35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35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35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35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35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35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35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35">
      <c r="B263" s="246"/>
      <c r="C263" s="256"/>
      <c r="D263" s="248"/>
      <c r="E263" s="249"/>
      <c r="F263" s="249"/>
      <c r="G263" s="262"/>
      <c r="H263" s="200"/>
      <c r="I263" s="222"/>
      <c r="J263" s="343"/>
      <c r="K263" s="246"/>
      <c r="L263" s="253"/>
      <c r="M263" s="254"/>
      <c r="N263" s="204"/>
    </row>
    <row r="264" spans="2:14" x14ac:dyDescent="0.35">
      <c r="B264" s="246"/>
      <c r="C264" s="247"/>
      <c r="D264" s="248"/>
      <c r="E264" s="249"/>
      <c r="F264" s="249"/>
      <c r="G264" s="255"/>
      <c r="H264" s="200"/>
      <c r="I264" s="222"/>
      <c r="J264" s="343"/>
      <c r="K264" s="263"/>
      <c r="L264" s="253"/>
      <c r="M264" s="254"/>
      <c r="N264" s="204"/>
    </row>
    <row r="265" spans="2:14" x14ac:dyDescent="0.35">
      <c r="B265" s="246"/>
      <c r="C265" s="256"/>
      <c r="D265" s="246"/>
      <c r="E265" s="249"/>
      <c r="F265" s="249"/>
      <c r="G265" s="202"/>
      <c r="H265" s="200"/>
      <c r="I265" s="222"/>
      <c r="J265" s="343"/>
      <c r="K265" s="263"/>
      <c r="L265" s="253"/>
      <c r="M265" s="254"/>
      <c r="N265" s="204"/>
    </row>
    <row r="266" spans="2:14" x14ac:dyDescent="0.35">
      <c r="B266" s="246"/>
      <c r="C266" s="247"/>
      <c r="D266" s="248"/>
      <c r="E266" s="249"/>
      <c r="F266" s="249"/>
      <c r="G266" s="255"/>
      <c r="H266" s="200"/>
      <c r="I266" s="222"/>
      <c r="J266" s="343"/>
      <c r="K266" s="246"/>
      <c r="L266" s="253"/>
      <c r="M266" s="254"/>
      <c r="N266" s="204"/>
    </row>
    <row r="267" spans="2:14" x14ac:dyDescent="0.35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35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35">
      <c r="B269" s="246"/>
      <c r="C269" s="247"/>
      <c r="D269" s="246"/>
      <c r="E269" s="249"/>
      <c r="F269" s="249"/>
      <c r="G269" s="262"/>
      <c r="H269" s="200"/>
      <c r="I269" s="222"/>
      <c r="J269" s="343"/>
      <c r="K269" s="248"/>
      <c r="L269" s="253"/>
      <c r="M269" s="254"/>
      <c r="N269" s="204"/>
    </row>
    <row r="270" spans="2:14" x14ac:dyDescent="0.35">
      <c r="B270" s="246"/>
      <c r="C270" s="256"/>
      <c r="D270" s="248"/>
      <c r="E270" s="249"/>
      <c r="F270" s="249"/>
      <c r="G270" s="199"/>
      <c r="H270" s="200"/>
      <c r="I270" s="222"/>
      <c r="J270" s="343"/>
      <c r="K270" s="248"/>
      <c r="L270" s="253"/>
      <c r="M270" s="254"/>
      <c r="N270" s="204"/>
    </row>
    <row r="271" spans="2:14" x14ac:dyDescent="0.35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35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35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35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35">
      <c r="B275" s="246"/>
      <c r="C275" s="256"/>
      <c r="D275" s="246"/>
      <c r="E275" s="249"/>
      <c r="F275" s="249"/>
      <c r="G275" s="202"/>
      <c r="H275" s="200"/>
      <c r="I275" s="222"/>
      <c r="J275" s="343"/>
      <c r="K275" s="248"/>
      <c r="L275" s="253"/>
      <c r="M275" s="254"/>
      <c r="N275" s="204"/>
    </row>
    <row r="276" spans="2:14" x14ac:dyDescent="0.35">
      <c r="B276" s="246"/>
      <c r="C276" s="256"/>
      <c r="D276" s="246"/>
      <c r="E276" s="249"/>
      <c r="F276" s="249"/>
      <c r="G276" s="262"/>
      <c r="H276" s="200"/>
      <c r="I276" s="222"/>
      <c r="J276" s="343"/>
      <c r="K276" s="248"/>
      <c r="L276" s="253"/>
      <c r="M276" s="254"/>
      <c r="N276" s="204"/>
    </row>
    <row r="277" spans="2:14" x14ac:dyDescent="0.35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35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35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35">
      <c r="B280" s="246"/>
      <c r="C280" s="256"/>
      <c r="D280" s="248"/>
      <c r="E280" s="249"/>
      <c r="F280" s="249"/>
      <c r="G280" s="199"/>
      <c r="H280" s="200"/>
      <c r="I280" s="222"/>
      <c r="J280" s="343"/>
      <c r="K280" s="248"/>
      <c r="L280" s="253"/>
      <c r="M280" s="254"/>
      <c r="N280" s="204"/>
    </row>
    <row r="281" spans="2:14" x14ac:dyDescent="0.35">
      <c r="B281" s="246"/>
      <c r="C281" s="247"/>
      <c r="D281" s="246"/>
      <c r="E281" s="249"/>
      <c r="F281" s="249"/>
      <c r="G281" s="262"/>
      <c r="H281" s="200"/>
      <c r="I281" s="222"/>
      <c r="J281" s="343"/>
      <c r="K281" s="248"/>
      <c r="L281" s="253"/>
      <c r="M281" s="254"/>
      <c r="N281" s="204"/>
    </row>
    <row r="282" spans="2:14" x14ac:dyDescent="0.35">
      <c r="B282" s="246"/>
      <c r="C282" s="247"/>
      <c r="D282" s="248"/>
      <c r="E282" s="249"/>
      <c r="F282" s="249"/>
      <c r="G282" s="255"/>
      <c r="H282" s="200"/>
      <c r="I282" s="222"/>
      <c r="J282" s="343"/>
      <c r="K282" s="248"/>
      <c r="L282" s="253"/>
      <c r="M282" s="254"/>
      <c r="N282" s="204"/>
    </row>
    <row r="283" spans="2:14" x14ac:dyDescent="0.35">
      <c r="B283" s="246"/>
      <c r="C283" s="256"/>
      <c r="D283" s="246"/>
      <c r="E283" s="249"/>
      <c r="F283" s="249"/>
      <c r="G283" s="202"/>
      <c r="H283" s="200"/>
      <c r="I283" s="222"/>
      <c r="J283" s="343"/>
      <c r="K283" s="248"/>
      <c r="L283" s="253"/>
      <c r="M283" s="254"/>
      <c r="N283" s="204"/>
    </row>
    <row r="284" spans="2:14" x14ac:dyDescent="0.35">
      <c r="B284" s="246"/>
      <c r="C284" s="256"/>
      <c r="D284" s="248"/>
      <c r="E284" s="249"/>
      <c r="F284" s="249"/>
      <c r="G284" s="199"/>
      <c r="H284" s="200"/>
      <c r="I284" s="222"/>
      <c r="J284" s="343"/>
      <c r="K284" s="248"/>
      <c r="L284" s="253"/>
      <c r="M284" s="254"/>
      <c r="N284" s="204"/>
    </row>
    <row r="285" spans="2:14" x14ac:dyDescent="0.35">
      <c r="B285" s="246"/>
      <c r="C285" s="247"/>
      <c r="D285" s="248"/>
      <c r="E285" s="249"/>
      <c r="F285" s="249"/>
      <c r="G285" s="255"/>
      <c r="H285" s="200"/>
      <c r="I285" s="222"/>
      <c r="J285" s="343"/>
      <c r="K285" s="248"/>
      <c r="L285" s="253"/>
      <c r="M285" s="254"/>
      <c r="N285" s="204"/>
    </row>
    <row r="286" spans="2:14" x14ac:dyDescent="0.35">
      <c r="B286" s="246"/>
      <c r="C286" s="247"/>
      <c r="D286" s="246"/>
      <c r="E286" s="249"/>
      <c r="F286" s="249"/>
      <c r="G286" s="262"/>
      <c r="H286" s="200"/>
      <c r="I286" s="222"/>
      <c r="J286" s="343"/>
      <c r="K286" s="248"/>
      <c r="L286" s="253"/>
      <c r="M286" s="254"/>
      <c r="N286" s="204"/>
    </row>
    <row r="287" spans="2:14" x14ac:dyDescent="0.35">
      <c r="B287" s="246"/>
      <c r="C287" s="256"/>
      <c r="D287" s="248"/>
      <c r="E287" s="249"/>
      <c r="F287" s="249"/>
      <c r="G287" s="199"/>
      <c r="H287" s="200"/>
      <c r="I287" s="222"/>
      <c r="J287" s="343"/>
      <c r="K287" s="248"/>
      <c r="L287" s="253"/>
      <c r="M287" s="254"/>
      <c r="N287" s="204"/>
    </row>
    <row r="288" spans="2:14" x14ac:dyDescent="0.35">
      <c r="B288" s="246"/>
      <c r="C288" s="247"/>
      <c r="D288" s="248"/>
      <c r="E288" s="249"/>
      <c r="F288" s="249"/>
      <c r="G288" s="255"/>
      <c r="H288" s="200"/>
      <c r="I288" s="222"/>
      <c r="J288" s="343"/>
      <c r="K288" s="248"/>
      <c r="L288" s="253"/>
      <c r="M288" s="254"/>
      <c r="N288" s="204"/>
    </row>
    <row r="289" spans="2:14" x14ac:dyDescent="0.35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35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35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35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35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35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35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35">
      <c r="B296" s="246"/>
      <c r="C296" s="247"/>
      <c r="D296" s="248"/>
      <c r="E296" s="249"/>
      <c r="F296" s="249"/>
      <c r="G296" s="255"/>
      <c r="H296" s="203"/>
      <c r="I296" s="224"/>
      <c r="J296" s="346"/>
      <c r="K296" s="265"/>
      <c r="L296" s="253"/>
      <c r="M296" s="254"/>
      <c r="N296" s="266"/>
    </row>
    <row r="297" spans="2:14" x14ac:dyDescent="0.35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35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35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35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35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35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35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35">
      <c r="B304" s="246"/>
      <c r="C304" s="247"/>
      <c r="D304" s="246"/>
      <c r="E304" s="249"/>
      <c r="F304" s="249"/>
      <c r="G304" s="262"/>
      <c r="H304" s="203"/>
      <c r="I304" s="224"/>
      <c r="J304" s="346"/>
      <c r="K304" s="267"/>
      <c r="L304" s="253"/>
      <c r="M304" s="254"/>
      <c r="N304" s="266"/>
    </row>
    <row r="305" spans="2:14" x14ac:dyDescent="0.35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35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35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35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35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35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35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35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35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35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35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35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35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35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35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35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35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35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35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35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35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35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35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35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35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35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35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35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35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35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35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35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35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35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35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35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35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35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35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35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35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35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35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35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35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35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35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35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35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35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35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35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35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35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35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35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35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35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35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35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35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35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35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35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35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35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35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35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35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35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35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35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35">
      <c r="B377" s="246"/>
      <c r="C377" s="256"/>
      <c r="D377" s="248"/>
      <c r="E377" s="249"/>
      <c r="F377" s="249"/>
      <c r="G377" s="199"/>
      <c r="H377" s="203"/>
      <c r="I377" s="224"/>
      <c r="J377" s="346"/>
      <c r="K377" s="267"/>
      <c r="L377" s="253"/>
      <c r="M377" s="254"/>
      <c r="N377" s="266"/>
    </row>
    <row r="378" spans="2:14" x14ac:dyDescent="0.35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35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35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35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35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35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35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35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35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35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35">
      <c r="B388" s="246"/>
      <c r="C388" s="256"/>
      <c r="D388" s="248"/>
      <c r="E388" s="249"/>
      <c r="F388" s="249"/>
      <c r="G388" s="199"/>
      <c r="H388" s="203"/>
      <c r="I388" s="224"/>
      <c r="J388" s="346"/>
      <c r="K388" s="267"/>
      <c r="L388" s="253"/>
      <c r="M388" s="254"/>
      <c r="N388" s="266"/>
    </row>
    <row r="389" spans="2:14" x14ac:dyDescent="0.35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35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35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35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35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35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35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35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35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35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35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35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35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35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35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35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35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35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35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35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35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35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35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35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35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35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35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35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35">
      <c r="B417" s="246"/>
      <c r="C417" s="256"/>
      <c r="D417" s="248"/>
      <c r="E417" s="249"/>
      <c r="F417" s="249"/>
      <c r="G417" s="199"/>
      <c r="H417" s="203"/>
      <c r="I417" s="224"/>
      <c r="J417" s="346"/>
      <c r="K417" s="267"/>
      <c r="L417" s="253"/>
      <c r="M417" s="254"/>
      <c r="N417" s="266"/>
    </row>
    <row r="418" spans="2:14" x14ac:dyDescent="0.35">
      <c r="B418" s="246"/>
      <c r="C418" s="247"/>
      <c r="D418" s="248"/>
      <c r="E418" s="249"/>
      <c r="F418" s="249"/>
      <c r="G418" s="255"/>
      <c r="H418" s="203"/>
      <c r="I418" s="224"/>
      <c r="J418" s="346"/>
      <c r="K418" s="267"/>
      <c r="L418" s="253"/>
      <c r="M418" s="254"/>
      <c r="N418" s="266"/>
    </row>
    <row r="419" spans="2:14" x14ac:dyDescent="0.35">
      <c r="B419" s="246"/>
      <c r="C419" s="256"/>
      <c r="D419" s="248"/>
      <c r="E419" s="249"/>
      <c r="F419" s="249"/>
      <c r="G419" s="199"/>
      <c r="H419" s="203"/>
      <c r="I419" s="224"/>
      <c r="J419" s="346"/>
      <c r="K419" s="267"/>
      <c r="L419" s="253"/>
      <c r="M419" s="254"/>
      <c r="N419" s="266"/>
    </row>
    <row r="420" spans="2:14" x14ac:dyDescent="0.35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35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35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35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35">
      <c r="B424" s="246"/>
      <c r="C424" s="247"/>
      <c r="D424" s="246"/>
      <c r="E424" s="249"/>
      <c r="F424" s="249"/>
      <c r="G424" s="262"/>
      <c r="H424" s="203"/>
      <c r="I424" s="224"/>
      <c r="J424" s="346"/>
      <c r="K424" s="267"/>
      <c r="L424" s="253"/>
      <c r="M424" s="254"/>
      <c r="N424" s="266"/>
    </row>
    <row r="425" spans="2:14" x14ac:dyDescent="0.35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35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35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35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35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35">
      <c r="B430" s="246"/>
      <c r="C430" s="247"/>
      <c r="D430" s="248"/>
      <c r="E430" s="249"/>
      <c r="F430" s="249"/>
      <c r="G430" s="255"/>
      <c r="H430" s="203"/>
      <c r="I430" s="224"/>
      <c r="J430" s="346"/>
      <c r="K430" s="265"/>
      <c r="L430" s="253"/>
      <c r="M430" s="254"/>
      <c r="N430" s="266"/>
    </row>
    <row r="431" spans="2:14" x14ac:dyDescent="0.35">
      <c r="B431" s="246"/>
      <c r="C431" s="247"/>
      <c r="D431" s="246"/>
      <c r="E431" s="249"/>
      <c r="F431" s="249"/>
      <c r="G431" s="262"/>
      <c r="H431" s="203"/>
      <c r="I431" s="224"/>
      <c r="J431" s="346"/>
      <c r="K431" s="267"/>
      <c r="L431" s="253"/>
      <c r="M431" s="254"/>
      <c r="N431" s="266"/>
    </row>
    <row r="432" spans="2:14" x14ac:dyDescent="0.35">
      <c r="B432" s="246"/>
      <c r="C432" s="247"/>
      <c r="D432" s="248"/>
      <c r="E432" s="249"/>
      <c r="F432" s="249"/>
      <c r="G432" s="255"/>
      <c r="H432" s="203"/>
      <c r="I432" s="224"/>
      <c r="J432" s="346"/>
      <c r="K432" s="267"/>
      <c r="L432" s="253"/>
      <c r="M432" s="254"/>
      <c r="N432" s="266"/>
    </row>
    <row r="433" spans="2:14" x14ac:dyDescent="0.35">
      <c r="B433" s="246"/>
      <c r="C433" s="247"/>
      <c r="D433" s="248"/>
      <c r="E433" s="249"/>
      <c r="F433" s="249"/>
      <c r="G433" s="255"/>
      <c r="H433" s="203"/>
      <c r="I433" s="224"/>
      <c r="J433" s="346"/>
      <c r="K433" s="265"/>
      <c r="L433" s="253"/>
      <c r="M433" s="254"/>
      <c r="N433" s="266"/>
    </row>
    <row r="434" spans="2:14" x14ac:dyDescent="0.35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35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35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35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35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35">
      <c r="B439" s="246"/>
      <c r="C439" s="247"/>
      <c r="D439" s="246"/>
      <c r="E439" s="249"/>
      <c r="F439" s="249"/>
      <c r="G439" s="262"/>
      <c r="H439" s="203"/>
      <c r="I439" s="224"/>
      <c r="J439" s="346"/>
      <c r="K439" s="267"/>
      <c r="L439" s="253"/>
      <c r="M439" s="254"/>
      <c r="N439" s="266"/>
    </row>
    <row r="440" spans="2:14" x14ac:dyDescent="0.35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35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35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35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35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35">
      <c r="B445" s="246"/>
      <c r="C445" s="256"/>
      <c r="D445" s="248"/>
      <c r="E445" s="249"/>
      <c r="F445" s="249"/>
      <c r="G445" s="199"/>
      <c r="H445" s="203"/>
      <c r="I445" s="224"/>
      <c r="J445" s="346"/>
      <c r="K445" s="267"/>
      <c r="L445" s="253"/>
      <c r="M445" s="254"/>
      <c r="N445" s="266"/>
    </row>
    <row r="446" spans="2:14" x14ac:dyDescent="0.35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35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35">
      <c r="B448" s="246"/>
      <c r="C448" s="256"/>
      <c r="D448" s="248"/>
      <c r="E448" s="249"/>
      <c r="F448" s="249"/>
      <c r="G448" s="199"/>
      <c r="H448" s="203"/>
      <c r="I448" s="224"/>
      <c r="J448" s="346"/>
      <c r="K448" s="267"/>
      <c r="L448" s="253"/>
      <c r="M448" s="254"/>
      <c r="N448" s="266"/>
    </row>
    <row r="449" spans="2:14" x14ac:dyDescent="0.35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35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35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35">
      <c r="B452" s="246"/>
      <c r="C452" s="247"/>
      <c r="D452" s="248"/>
      <c r="E452" s="269"/>
      <c r="F452" s="269"/>
      <c r="G452" s="270"/>
      <c r="H452" s="271"/>
      <c r="I452" s="272"/>
      <c r="J452" s="347"/>
      <c r="K452" s="267"/>
      <c r="L452" s="253"/>
      <c r="M452" s="254"/>
      <c r="N452" s="266"/>
    </row>
    <row r="453" spans="2:14" x14ac:dyDescent="0.35">
      <c r="B453" s="246"/>
      <c r="C453" s="256"/>
      <c r="D453" s="248"/>
      <c r="E453" s="249"/>
      <c r="F453" s="249"/>
      <c r="G453" s="262"/>
      <c r="H453" s="203"/>
      <c r="I453" s="224"/>
      <c r="J453" s="346"/>
      <c r="K453" s="267"/>
      <c r="L453" s="253"/>
      <c r="M453" s="254"/>
      <c r="N453" s="266"/>
    </row>
    <row r="454" spans="2:14" x14ac:dyDescent="0.35">
      <c r="B454" s="246"/>
      <c r="C454" s="247"/>
      <c r="D454" s="248"/>
      <c r="E454" s="249"/>
      <c r="F454" s="249"/>
      <c r="G454" s="255"/>
      <c r="H454" s="203"/>
      <c r="I454" s="224"/>
      <c r="J454" s="346"/>
      <c r="K454" s="267"/>
      <c r="L454" s="253"/>
      <c r="M454" s="254"/>
      <c r="N454" s="266"/>
    </row>
    <row r="455" spans="2:14" x14ac:dyDescent="0.35">
      <c r="B455" s="246"/>
      <c r="C455" s="256"/>
      <c r="D455" s="248"/>
      <c r="E455" s="249"/>
      <c r="F455" s="249"/>
      <c r="G455" s="199"/>
      <c r="H455" s="203"/>
      <c r="I455" s="224"/>
      <c r="J455" s="346"/>
      <c r="K455" s="267"/>
      <c r="L455" s="253"/>
      <c r="M455" s="254"/>
      <c r="N455" s="266"/>
    </row>
    <row r="456" spans="2:14" x14ac:dyDescent="0.35">
      <c r="B456" s="246"/>
      <c r="C456" s="247"/>
      <c r="D456" s="246"/>
      <c r="E456" s="249"/>
      <c r="F456" s="249"/>
      <c r="G456" s="262"/>
      <c r="H456" s="203"/>
      <c r="I456" s="224"/>
      <c r="J456" s="346"/>
      <c r="K456" s="267"/>
      <c r="L456" s="253"/>
      <c r="M456" s="254"/>
      <c r="N456" s="266"/>
    </row>
    <row r="457" spans="2:14" x14ac:dyDescent="0.35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35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35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35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35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35">
      <c r="B462" s="246"/>
      <c r="C462" s="247"/>
      <c r="D462" s="248"/>
      <c r="E462" s="249"/>
      <c r="F462" s="249"/>
      <c r="G462" s="255"/>
      <c r="H462" s="203"/>
      <c r="I462" s="224"/>
      <c r="J462" s="346"/>
      <c r="K462" s="265"/>
      <c r="L462" s="253"/>
      <c r="M462" s="254"/>
      <c r="N462" s="266"/>
    </row>
    <row r="463" spans="2:14" x14ac:dyDescent="0.35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35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35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35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35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35">
      <c r="B468" s="246"/>
      <c r="C468" s="256"/>
      <c r="D468" s="248"/>
      <c r="E468" s="249"/>
      <c r="F468" s="249"/>
      <c r="G468" s="199"/>
      <c r="H468" s="203"/>
      <c r="I468" s="224"/>
      <c r="J468" s="346"/>
      <c r="K468" s="267"/>
      <c r="L468" s="253"/>
      <c r="M468" s="254"/>
      <c r="N468" s="266"/>
    </row>
    <row r="469" spans="2:14" x14ac:dyDescent="0.35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35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35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35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35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35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35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35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35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35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35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35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35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35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35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35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35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35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35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35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35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35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35">
      <c r="B491" s="246"/>
      <c r="C491" s="247"/>
      <c r="D491" s="246"/>
      <c r="E491" s="249"/>
      <c r="F491" s="249"/>
      <c r="G491" s="262"/>
      <c r="H491" s="203"/>
      <c r="I491" s="224"/>
      <c r="J491" s="346"/>
      <c r="K491" s="265"/>
      <c r="L491" s="253"/>
      <c r="M491" s="254"/>
      <c r="N491" s="266"/>
    </row>
    <row r="492" spans="2:14" x14ac:dyDescent="0.35">
      <c r="B492" s="246"/>
      <c r="C492" s="247"/>
      <c r="D492" s="248"/>
      <c r="E492" s="249"/>
      <c r="F492" s="249"/>
      <c r="G492" s="255"/>
      <c r="H492" s="203"/>
      <c r="I492" s="224"/>
      <c r="J492" s="346"/>
      <c r="K492" s="265"/>
      <c r="L492" s="253"/>
      <c r="M492" s="254"/>
      <c r="N492" s="266"/>
    </row>
    <row r="493" spans="2:14" x14ac:dyDescent="0.35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35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35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35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35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35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35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35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35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35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35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35">
      <c r="B504" s="246"/>
      <c r="C504" s="256"/>
      <c r="D504" s="248"/>
      <c r="E504" s="249"/>
      <c r="F504" s="249"/>
      <c r="G504" s="199"/>
      <c r="H504" s="203"/>
      <c r="I504" s="224"/>
      <c r="J504" s="346"/>
      <c r="K504" s="267"/>
      <c r="L504" s="253"/>
      <c r="M504" s="254"/>
      <c r="N504" s="266"/>
    </row>
    <row r="505" spans="2:14" x14ac:dyDescent="0.35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35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35">
      <c r="B507" s="246"/>
      <c r="C507" s="247"/>
      <c r="D507" s="248"/>
      <c r="E507" s="249"/>
      <c r="F507" s="249"/>
      <c r="G507" s="255"/>
      <c r="H507" s="203"/>
      <c r="I507" s="224"/>
      <c r="J507" s="346"/>
      <c r="K507" s="265"/>
      <c r="L507" s="253"/>
      <c r="M507" s="254"/>
      <c r="N507" s="266"/>
    </row>
    <row r="508" spans="2:14" x14ac:dyDescent="0.35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35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35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35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35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35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35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35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35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35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35">
      <c r="B518" s="246"/>
      <c r="C518" s="247"/>
      <c r="D518" s="248"/>
      <c r="E518" s="249"/>
      <c r="F518" s="249"/>
      <c r="G518" s="255"/>
      <c r="H518" s="203"/>
      <c r="I518" s="224"/>
      <c r="J518" s="346"/>
      <c r="K518" s="268"/>
      <c r="L518" s="253"/>
      <c r="M518" s="254"/>
      <c r="N518" s="266"/>
    </row>
    <row r="519" spans="2:14" x14ac:dyDescent="0.35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35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35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35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35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35">
      <c r="B524" s="246"/>
      <c r="C524" s="247"/>
      <c r="D524" s="246"/>
      <c r="E524" s="249"/>
      <c r="F524" s="273"/>
      <c r="G524" s="262"/>
      <c r="H524" s="203"/>
      <c r="I524" s="224"/>
      <c r="J524" s="346"/>
      <c r="K524" s="267"/>
      <c r="L524" s="253"/>
      <c r="M524" s="254"/>
      <c r="N524" s="266"/>
    </row>
    <row r="525" spans="2:14" x14ac:dyDescent="0.35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35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35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35">
      <c r="B528" s="246"/>
      <c r="C528" s="256"/>
      <c r="D528" s="248"/>
      <c r="E528" s="249"/>
      <c r="F528" s="249"/>
      <c r="G528" s="199"/>
      <c r="H528" s="203"/>
      <c r="I528" s="224"/>
      <c r="J528" s="346"/>
      <c r="K528" s="267"/>
      <c r="L528" s="253"/>
      <c r="M528" s="254"/>
      <c r="N528" s="266"/>
    </row>
    <row r="529" spans="2:14" x14ac:dyDescent="0.35">
      <c r="B529" s="246"/>
      <c r="C529" s="247"/>
      <c r="D529" s="248"/>
      <c r="E529" s="249"/>
      <c r="F529" s="249"/>
      <c r="G529" s="255"/>
      <c r="H529" s="203"/>
      <c r="I529" s="224"/>
      <c r="J529" s="346"/>
      <c r="K529" s="267"/>
      <c r="L529" s="253"/>
      <c r="M529" s="254"/>
      <c r="N529" s="266"/>
    </row>
    <row r="530" spans="2:14" x14ac:dyDescent="0.35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35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35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35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35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35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35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35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35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35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35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35">
      <c r="B541" s="246"/>
      <c r="C541" s="247"/>
      <c r="D541" s="246"/>
      <c r="E541" s="249"/>
      <c r="F541" s="249"/>
      <c r="G541" s="262"/>
      <c r="H541" s="203"/>
      <c r="I541" s="224"/>
      <c r="J541" s="346"/>
      <c r="K541" s="267"/>
      <c r="L541" s="253"/>
      <c r="M541" s="254"/>
      <c r="N541" s="266"/>
    </row>
    <row r="542" spans="2:14" x14ac:dyDescent="0.35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35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35">
      <c r="B544" s="246"/>
      <c r="C544" s="256"/>
      <c r="D544" s="248"/>
      <c r="E544" s="249"/>
      <c r="F544" s="249"/>
      <c r="G544" s="199"/>
      <c r="H544" s="203"/>
      <c r="I544" s="224"/>
      <c r="J544" s="346"/>
      <c r="K544" s="267"/>
      <c r="L544" s="253"/>
      <c r="M544" s="254"/>
      <c r="N544" s="266"/>
    </row>
    <row r="545" spans="2:14" x14ac:dyDescent="0.35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35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35">
      <c r="B547" s="246"/>
      <c r="C547" s="247"/>
      <c r="D547" s="246"/>
      <c r="E547" s="249"/>
      <c r="F547" s="249"/>
      <c r="G547" s="262"/>
      <c r="H547" s="203"/>
      <c r="I547" s="224"/>
      <c r="J547" s="346"/>
      <c r="K547" s="267"/>
      <c r="L547" s="253"/>
      <c r="M547" s="254"/>
      <c r="N547" s="266"/>
    </row>
    <row r="548" spans="2:14" x14ac:dyDescent="0.35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35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35">
      <c r="B550" s="246"/>
      <c r="C550" s="256"/>
      <c r="D550" s="248"/>
      <c r="E550" s="249"/>
      <c r="F550" s="249"/>
      <c r="G550" s="199"/>
      <c r="H550" s="203"/>
      <c r="I550" s="224"/>
      <c r="J550" s="346"/>
      <c r="K550" s="267"/>
      <c r="L550" s="253"/>
      <c r="M550" s="254"/>
      <c r="N550" s="266"/>
    </row>
    <row r="551" spans="2:14" x14ac:dyDescent="0.35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35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35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35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35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35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35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35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35">
      <c r="B559" s="246"/>
      <c r="C559" s="247"/>
      <c r="D559" s="246"/>
      <c r="E559" s="249"/>
      <c r="F559" s="249"/>
      <c r="G559" s="262"/>
      <c r="H559" s="203"/>
      <c r="I559" s="224"/>
      <c r="J559" s="346"/>
      <c r="K559" s="267"/>
      <c r="L559" s="253"/>
      <c r="M559" s="254"/>
      <c r="N559" s="266"/>
    </row>
    <row r="560" spans="2:14" x14ac:dyDescent="0.35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35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35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35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35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35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35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35">
      <c r="B567" s="246"/>
      <c r="C567" s="256"/>
      <c r="D567" s="246"/>
      <c r="E567" s="249"/>
      <c r="F567" s="249"/>
      <c r="G567" s="202"/>
      <c r="H567" s="203"/>
      <c r="I567" s="224"/>
      <c r="J567" s="346"/>
      <c r="K567" s="267"/>
      <c r="L567" s="253"/>
      <c r="M567" s="254"/>
      <c r="N567" s="266"/>
    </row>
    <row r="568" spans="2:14" x14ac:dyDescent="0.35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35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35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35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35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35">
      <c r="B573" s="246"/>
      <c r="C573" s="256"/>
      <c r="D573" s="246"/>
      <c r="E573" s="249"/>
      <c r="F573" s="249"/>
      <c r="G573" s="202"/>
      <c r="H573" s="203"/>
      <c r="I573" s="224"/>
      <c r="J573" s="346"/>
      <c r="K573" s="265"/>
      <c r="L573" s="253"/>
      <c r="M573" s="254"/>
      <c r="N573" s="266"/>
    </row>
    <row r="574" spans="2:14" x14ac:dyDescent="0.35">
      <c r="B574" s="246"/>
      <c r="C574" s="247"/>
      <c r="D574" s="248"/>
      <c r="E574" s="249"/>
      <c r="F574" s="249"/>
      <c r="G574" s="255"/>
      <c r="H574" s="203"/>
      <c r="I574" s="224"/>
      <c r="J574" s="346"/>
      <c r="K574" s="267"/>
      <c r="L574" s="253"/>
      <c r="M574" s="254"/>
      <c r="N574" s="266"/>
    </row>
    <row r="575" spans="2:14" x14ac:dyDescent="0.35">
      <c r="B575" s="246"/>
      <c r="C575" s="256"/>
      <c r="D575" s="248"/>
      <c r="E575" s="249"/>
      <c r="F575" s="249"/>
      <c r="G575" s="199"/>
      <c r="H575" s="203"/>
      <c r="I575" s="224"/>
      <c r="J575" s="346"/>
      <c r="K575" s="267"/>
      <c r="L575" s="253"/>
      <c r="M575" s="254"/>
      <c r="N575" s="266"/>
    </row>
    <row r="576" spans="2:14" x14ac:dyDescent="0.35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35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35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35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35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35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35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35">
      <c r="B583" s="246"/>
      <c r="C583" s="256"/>
      <c r="D583" s="248"/>
      <c r="E583" s="249"/>
      <c r="F583" s="249"/>
      <c r="G583" s="199"/>
      <c r="H583" s="203"/>
      <c r="I583" s="224"/>
      <c r="J583" s="346"/>
      <c r="K583" s="267"/>
      <c r="L583" s="253"/>
      <c r="M583" s="254"/>
      <c r="N583" s="266"/>
    </row>
    <row r="584" spans="2:14" x14ac:dyDescent="0.35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35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35">
      <c r="B586" s="246"/>
      <c r="C586" s="256"/>
      <c r="D586" s="248"/>
      <c r="E586" s="249"/>
      <c r="F586" s="249"/>
      <c r="G586" s="199"/>
      <c r="H586" s="203"/>
      <c r="I586" s="224"/>
      <c r="J586" s="346"/>
      <c r="K586" s="267"/>
      <c r="L586" s="253"/>
      <c r="M586" s="254"/>
      <c r="N586" s="266"/>
    </row>
    <row r="587" spans="2:14" x14ac:dyDescent="0.35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35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35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35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35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35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35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35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35">
      <c r="B595" s="246"/>
      <c r="C595" s="247"/>
      <c r="D595" s="246"/>
      <c r="E595" s="249"/>
      <c r="F595" s="249"/>
      <c r="G595" s="262"/>
      <c r="H595" s="203"/>
      <c r="I595" s="224"/>
      <c r="J595" s="346"/>
      <c r="K595" s="267"/>
      <c r="L595" s="253"/>
      <c r="M595" s="254"/>
      <c r="N595" s="266"/>
    </row>
    <row r="596" spans="2:14" x14ac:dyDescent="0.35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35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35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35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35">
      <c r="B600" s="246"/>
      <c r="C600" s="256"/>
      <c r="D600" s="248"/>
      <c r="E600" s="249"/>
      <c r="F600" s="249"/>
      <c r="G600" s="199"/>
      <c r="H600" s="203"/>
      <c r="I600" s="224"/>
      <c r="J600" s="346"/>
      <c r="K600" s="267"/>
      <c r="L600" s="253"/>
      <c r="M600" s="254"/>
      <c r="N600" s="266"/>
    </row>
    <row r="601" spans="2:14" x14ac:dyDescent="0.35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35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35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35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35">
      <c r="B605" s="246"/>
      <c r="C605" s="256"/>
      <c r="D605" s="246"/>
      <c r="E605" s="249"/>
      <c r="F605" s="249"/>
      <c r="G605" s="202"/>
      <c r="H605" s="203"/>
      <c r="I605" s="224"/>
      <c r="J605" s="346"/>
      <c r="K605" s="267"/>
      <c r="L605" s="253"/>
      <c r="M605" s="254"/>
      <c r="N605" s="266"/>
    </row>
    <row r="606" spans="2:14" x14ac:dyDescent="0.35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35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35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35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35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35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35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35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35">
      <c r="B614" s="246"/>
      <c r="C614" s="247"/>
      <c r="D614" s="248"/>
      <c r="E614" s="249"/>
      <c r="F614" s="249"/>
      <c r="G614" s="255"/>
      <c r="H614" s="203"/>
      <c r="I614" s="224"/>
      <c r="J614" s="346"/>
      <c r="K614" s="267"/>
      <c r="L614" s="253"/>
      <c r="M614" s="254"/>
      <c r="N614" s="266"/>
    </row>
    <row r="615" spans="2:14" x14ac:dyDescent="0.35">
      <c r="B615" s="246"/>
      <c r="C615" s="247"/>
      <c r="D615" s="248"/>
      <c r="E615" s="249"/>
      <c r="F615" s="249"/>
      <c r="G615" s="255"/>
      <c r="H615" s="203"/>
      <c r="I615" s="224"/>
      <c r="J615" s="346"/>
      <c r="K615" s="265"/>
      <c r="L615" s="253"/>
      <c r="M615" s="254"/>
      <c r="N615" s="266"/>
    </row>
    <row r="616" spans="2:14" x14ac:dyDescent="0.35">
      <c r="B616" s="246"/>
      <c r="C616" s="256"/>
      <c r="D616" s="248"/>
      <c r="E616" s="249"/>
      <c r="F616" s="249"/>
      <c r="G616" s="199"/>
      <c r="H616" s="203"/>
      <c r="I616" s="224"/>
      <c r="J616" s="346"/>
      <c r="K616" s="267"/>
      <c r="L616" s="253"/>
      <c r="M616" s="254"/>
      <c r="N616" s="266"/>
    </row>
    <row r="617" spans="2:14" x14ac:dyDescent="0.35">
      <c r="B617" s="246"/>
      <c r="C617" s="247"/>
      <c r="D617" s="246"/>
      <c r="E617" s="249"/>
      <c r="F617" s="249"/>
      <c r="G617" s="262"/>
      <c r="H617" s="203"/>
      <c r="I617" s="224"/>
      <c r="J617" s="346"/>
      <c r="K617" s="267"/>
      <c r="L617" s="253"/>
      <c r="M617" s="254"/>
      <c r="N617" s="266"/>
    </row>
    <row r="618" spans="2:14" x14ac:dyDescent="0.35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35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35">
      <c r="B620" s="246"/>
      <c r="C620" s="247"/>
      <c r="D620" s="248"/>
      <c r="E620" s="249"/>
      <c r="F620" s="249"/>
      <c r="G620" s="255"/>
      <c r="H620" s="203"/>
      <c r="I620" s="224"/>
      <c r="J620" s="346"/>
      <c r="K620" s="265"/>
      <c r="L620" s="253"/>
      <c r="M620" s="254"/>
      <c r="N620" s="266"/>
    </row>
    <row r="621" spans="2:14" x14ac:dyDescent="0.35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35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35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35">
      <c r="B624" s="246"/>
      <c r="C624" s="256"/>
      <c r="D624" s="246"/>
      <c r="E624" s="249"/>
      <c r="F624" s="249"/>
      <c r="G624" s="202"/>
      <c r="H624" s="203"/>
      <c r="I624" s="224"/>
      <c r="J624" s="346"/>
      <c r="K624" s="267"/>
      <c r="L624" s="253"/>
      <c r="M624" s="254"/>
      <c r="N624" s="266"/>
    </row>
    <row r="625" spans="2:14" x14ac:dyDescent="0.35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35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35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35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35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35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35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35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35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35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35">
      <c r="B635" s="246"/>
      <c r="C635" s="256"/>
      <c r="D635" s="248"/>
      <c r="E635" s="249"/>
      <c r="F635" s="249"/>
      <c r="G635" s="199"/>
      <c r="H635" s="203"/>
      <c r="I635" s="224"/>
      <c r="J635" s="346"/>
      <c r="K635" s="267"/>
      <c r="L635" s="253"/>
      <c r="M635" s="254"/>
      <c r="N635" s="266"/>
    </row>
    <row r="636" spans="2:14" x14ac:dyDescent="0.35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35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35">
      <c r="B638" s="246"/>
      <c r="C638" s="247"/>
      <c r="D638" s="248"/>
      <c r="E638" s="249"/>
      <c r="F638" s="249"/>
      <c r="G638" s="255"/>
      <c r="H638" s="203"/>
      <c r="I638" s="224"/>
      <c r="J638" s="346"/>
      <c r="K638" s="265"/>
      <c r="L638" s="253"/>
      <c r="M638" s="254"/>
      <c r="N638" s="266"/>
    </row>
    <row r="639" spans="2:14" x14ac:dyDescent="0.35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35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35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35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35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35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35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35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35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35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35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35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35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35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35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35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35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35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35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35">
      <c r="B658" s="246"/>
      <c r="C658" s="256"/>
      <c r="D658" s="248"/>
      <c r="E658" s="249"/>
      <c r="F658" s="249"/>
      <c r="G658" s="199"/>
      <c r="H658" s="203"/>
      <c r="I658" s="224"/>
      <c r="J658" s="346"/>
      <c r="K658" s="267"/>
      <c r="L658" s="253"/>
      <c r="M658" s="254"/>
      <c r="N658" s="266"/>
    </row>
    <row r="659" spans="2:14" x14ac:dyDescent="0.35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35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35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35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35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35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35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35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35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35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35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35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35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35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35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35">
      <c r="B674" s="246"/>
      <c r="C674" s="256"/>
      <c r="D674" s="248"/>
      <c r="E674" s="249"/>
      <c r="F674" s="249"/>
      <c r="G674" s="199"/>
      <c r="H674" s="203"/>
      <c r="I674" s="224"/>
      <c r="J674" s="346"/>
      <c r="K674" s="267"/>
      <c r="L674" s="253"/>
      <c r="M674" s="254"/>
      <c r="N674" s="266"/>
    </row>
    <row r="675" spans="2:14" x14ac:dyDescent="0.35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35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35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35">
      <c r="B678" s="246"/>
      <c r="C678" s="247"/>
      <c r="D678" s="246"/>
      <c r="E678" s="249"/>
      <c r="F678" s="249"/>
      <c r="G678" s="262"/>
      <c r="H678" s="203"/>
      <c r="I678" s="224"/>
      <c r="J678" s="346"/>
      <c r="K678" s="267"/>
      <c r="L678" s="253"/>
      <c r="M678" s="254"/>
      <c r="N678" s="266"/>
    </row>
    <row r="679" spans="2:14" x14ac:dyDescent="0.35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35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35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35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35">
      <c r="B683" s="246"/>
      <c r="C683" s="256"/>
      <c r="D683" s="248"/>
      <c r="E683" s="249"/>
      <c r="F683" s="249"/>
      <c r="G683" s="199"/>
      <c r="H683" s="203"/>
      <c r="I683" s="224"/>
      <c r="J683" s="346"/>
      <c r="K683" s="267"/>
      <c r="L683" s="253"/>
      <c r="M683" s="254"/>
      <c r="N683" s="266"/>
    </row>
    <row r="684" spans="2:14" x14ac:dyDescent="0.35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35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35">
      <c r="B686" s="246"/>
      <c r="C686" s="247"/>
      <c r="D686" s="246"/>
      <c r="E686" s="249"/>
      <c r="F686" s="249"/>
      <c r="G686" s="262"/>
      <c r="H686" s="203"/>
      <c r="I686" s="224"/>
      <c r="J686" s="346"/>
      <c r="K686" s="267"/>
      <c r="L686" s="253"/>
      <c r="M686" s="254"/>
      <c r="N686" s="266"/>
    </row>
    <row r="687" spans="2:14" x14ac:dyDescent="0.35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35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35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35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35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35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35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35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35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35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35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35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35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35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35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35">
      <c r="B702" s="246"/>
      <c r="C702" s="256"/>
      <c r="D702" s="246"/>
      <c r="E702" s="249"/>
      <c r="F702" s="249"/>
      <c r="G702" s="202"/>
      <c r="H702" s="203"/>
      <c r="I702" s="224"/>
      <c r="J702" s="346"/>
      <c r="K702" s="267"/>
      <c r="L702" s="253"/>
      <c r="M702" s="254"/>
      <c r="N702" s="266"/>
    </row>
    <row r="703" spans="2:14" x14ac:dyDescent="0.35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35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35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35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35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35">
      <c r="B708" s="246"/>
      <c r="C708" s="247"/>
      <c r="D708" s="248"/>
      <c r="E708" s="249"/>
      <c r="F708" s="249"/>
      <c r="G708" s="255"/>
      <c r="H708" s="203"/>
      <c r="I708" s="224"/>
      <c r="J708" s="346"/>
      <c r="K708" s="267"/>
      <c r="L708" s="253"/>
      <c r="M708" s="254"/>
      <c r="N708" s="266"/>
    </row>
    <row r="709" spans="2:14" x14ac:dyDescent="0.35">
      <c r="B709" s="246"/>
      <c r="C709" s="256"/>
      <c r="D709" s="248"/>
      <c r="E709" s="249"/>
      <c r="F709" s="249"/>
      <c r="G709" s="199"/>
      <c r="H709" s="203"/>
      <c r="I709" s="224"/>
      <c r="J709" s="346"/>
      <c r="K709" s="265"/>
      <c r="L709" s="253"/>
      <c r="M709" s="254"/>
      <c r="N709" s="266"/>
    </row>
    <row r="710" spans="2:14" x14ac:dyDescent="0.35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35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35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35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35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35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35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35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35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35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35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35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35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35">
      <c r="B723" s="246"/>
      <c r="C723" s="247"/>
      <c r="D723" s="248"/>
      <c r="E723" s="249"/>
      <c r="F723" s="249"/>
      <c r="G723" s="255"/>
      <c r="H723" s="203"/>
      <c r="I723" s="224"/>
      <c r="J723" s="346"/>
      <c r="K723" s="265"/>
      <c r="L723" s="253"/>
      <c r="M723" s="254"/>
      <c r="N723" s="266"/>
    </row>
    <row r="724" spans="2:14" x14ac:dyDescent="0.35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35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35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35">
      <c r="B727" s="246"/>
      <c r="C727" s="256"/>
      <c r="D727" s="248"/>
      <c r="E727" s="249"/>
      <c r="F727" s="249"/>
      <c r="G727" s="199"/>
      <c r="H727" s="203"/>
      <c r="I727" s="224"/>
      <c r="J727" s="346"/>
      <c r="K727" s="267"/>
      <c r="L727" s="253"/>
      <c r="M727" s="254"/>
      <c r="N727" s="266"/>
    </row>
    <row r="728" spans="2:14" x14ac:dyDescent="0.35">
      <c r="B728" s="246"/>
      <c r="C728" s="247"/>
      <c r="D728" s="248"/>
      <c r="E728" s="249"/>
      <c r="F728" s="249"/>
      <c r="G728" s="255"/>
      <c r="H728" s="203"/>
      <c r="I728" s="224"/>
      <c r="J728" s="346"/>
      <c r="K728" s="267"/>
      <c r="L728" s="253"/>
      <c r="M728" s="254"/>
      <c r="N728" s="266"/>
    </row>
    <row r="729" spans="2:14" x14ac:dyDescent="0.35">
      <c r="B729" s="246"/>
      <c r="C729" s="256"/>
      <c r="D729" s="248"/>
      <c r="E729" s="249"/>
      <c r="F729" s="249"/>
      <c r="G729" s="199"/>
      <c r="H729" s="203"/>
      <c r="I729" s="224"/>
      <c r="J729" s="346"/>
      <c r="K729" s="267"/>
      <c r="L729" s="253"/>
      <c r="M729" s="254"/>
      <c r="N729" s="266"/>
    </row>
    <row r="730" spans="2:14" x14ac:dyDescent="0.35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35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35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35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35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35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35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35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35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35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35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35">
      <c r="B741" s="246"/>
      <c r="C741" s="256"/>
      <c r="D741" s="248"/>
      <c r="E741" s="249"/>
      <c r="F741" s="249"/>
      <c r="G741" s="199"/>
      <c r="H741" s="203"/>
      <c r="I741" s="224"/>
      <c r="J741" s="346"/>
      <c r="K741" s="267"/>
      <c r="L741" s="253"/>
      <c r="M741" s="254"/>
      <c r="N741" s="274"/>
    </row>
    <row r="742" spans="2:14" x14ac:dyDescent="0.35">
      <c r="B742" s="246"/>
      <c r="C742" s="256"/>
      <c r="D742" s="246"/>
      <c r="E742" s="249"/>
      <c r="F742" s="249"/>
      <c r="G742" s="202"/>
      <c r="H742" s="203"/>
      <c r="I742" s="224"/>
      <c r="J742" s="346"/>
      <c r="K742" s="267"/>
      <c r="L742" s="253"/>
      <c r="M742" s="254"/>
      <c r="N742" s="204"/>
    </row>
    <row r="743" spans="2:14" x14ac:dyDescent="0.35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35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35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35">
      <c r="B746" s="246"/>
      <c r="C746" s="256"/>
      <c r="D746" s="248"/>
      <c r="E746" s="249"/>
      <c r="F746" s="249"/>
      <c r="G746" s="199"/>
      <c r="H746" s="203"/>
      <c r="I746" s="224"/>
      <c r="J746" s="346"/>
      <c r="K746" s="267"/>
      <c r="L746" s="253"/>
      <c r="M746" s="254"/>
      <c r="N746" s="204"/>
    </row>
    <row r="747" spans="2:14" x14ac:dyDescent="0.35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35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35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35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35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35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35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35">
      <c r="B754" s="246"/>
      <c r="C754" s="247"/>
      <c r="D754" s="248"/>
      <c r="E754" s="249"/>
      <c r="F754" s="249"/>
      <c r="G754" s="255"/>
      <c r="H754" s="203"/>
      <c r="I754" s="224"/>
      <c r="J754" s="346"/>
      <c r="K754" s="265"/>
      <c r="L754" s="253"/>
      <c r="M754" s="254"/>
      <c r="N754" s="204"/>
    </row>
    <row r="755" spans="2:14" x14ac:dyDescent="0.35">
      <c r="B755" s="246"/>
      <c r="C755" s="247"/>
      <c r="D755" s="248"/>
      <c r="E755" s="249"/>
      <c r="F755" s="249"/>
      <c r="G755" s="255"/>
      <c r="H755" s="203"/>
      <c r="I755" s="224"/>
      <c r="J755" s="346"/>
      <c r="K755" s="267"/>
      <c r="L755" s="253"/>
      <c r="M755" s="254"/>
      <c r="N755" s="204"/>
    </row>
    <row r="756" spans="2:14" x14ac:dyDescent="0.35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35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35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35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35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35">
      <c r="B761" s="246"/>
      <c r="C761" s="247"/>
      <c r="D761" s="246"/>
      <c r="E761" s="249"/>
      <c r="F761" s="249"/>
      <c r="G761" s="262"/>
      <c r="H761" s="203"/>
      <c r="I761" s="224"/>
      <c r="J761" s="346"/>
      <c r="K761" s="267"/>
      <c r="L761" s="253"/>
      <c r="M761" s="254"/>
      <c r="N761" s="204"/>
    </row>
    <row r="762" spans="2:14" x14ac:dyDescent="0.35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35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35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35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35">
      <c r="B766" s="246"/>
      <c r="C766" s="247"/>
      <c r="D766" s="246"/>
      <c r="E766" s="249"/>
      <c r="F766" s="249"/>
      <c r="G766" s="262"/>
      <c r="H766" s="203"/>
      <c r="I766" s="224"/>
      <c r="J766" s="346"/>
      <c r="K766" s="267"/>
      <c r="L766" s="253"/>
      <c r="M766" s="254"/>
      <c r="N766" s="204"/>
    </row>
    <row r="767" spans="2:14" x14ac:dyDescent="0.35">
      <c r="B767" s="246"/>
      <c r="C767" s="256"/>
      <c r="D767" s="246"/>
      <c r="E767" s="249"/>
      <c r="F767" s="249"/>
      <c r="G767" s="202"/>
      <c r="H767" s="203"/>
      <c r="I767" s="224"/>
      <c r="J767" s="346"/>
      <c r="K767" s="267"/>
      <c r="L767" s="253"/>
      <c r="M767" s="254"/>
      <c r="N767" s="204"/>
    </row>
    <row r="768" spans="2:14" x14ac:dyDescent="0.35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35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35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35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35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35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35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35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35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35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35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35">
      <c r="B779" s="246"/>
      <c r="C779" s="256"/>
      <c r="D779" s="248"/>
      <c r="E779" s="249"/>
      <c r="F779" s="249"/>
      <c r="G779" s="255"/>
      <c r="H779" s="203"/>
      <c r="I779" s="224"/>
      <c r="J779" s="346"/>
      <c r="K779" s="265"/>
      <c r="L779" s="253"/>
      <c r="M779" s="254"/>
      <c r="N779" s="204"/>
    </row>
    <row r="780" spans="2:14" x14ac:dyDescent="0.35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35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35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35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35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35">
      <c r="B785" s="246"/>
      <c r="C785" s="247"/>
      <c r="D785" s="248"/>
      <c r="E785" s="249"/>
      <c r="F785" s="249"/>
      <c r="G785" s="255"/>
      <c r="H785" s="203"/>
      <c r="I785" s="224"/>
      <c r="J785" s="346"/>
      <c r="K785" s="267"/>
      <c r="L785" s="253"/>
      <c r="M785" s="254"/>
      <c r="N785" s="204"/>
    </row>
    <row r="786" spans="2:14" x14ac:dyDescent="0.35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35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35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35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35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35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35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35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35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35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35">
      <c r="B796" s="246"/>
      <c r="C796" s="247"/>
      <c r="D796" s="248"/>
      <c r="E796" s="249"/>
      <c r="F796" s="249"/>
      <c r="G796" s="255"/>
      <c r="H796" s="203"/>
      <c r="I796" s="224"/>
      <c r="J796" s="346"/>
      <c r="K796" s="265"/>
      <c r="L796" s="253"/>
      <c r="M796" s="254"/>
      <c r="N796" s="204"/>
    </row>
    <row r="797" spans="2:14" x14ac:dyDescent="0.35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35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35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35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35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35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35">
      <c r="B803" s="246"/>
      <c r="C803" s="247"/>
      <c r="D803" s="246"/>
      <c r="E803" s="249"/>
      <c r="F803" s="249"/>
      <c r="G803" s="262"/>
      <c r="H803" s="203"/>
      <c r="I803" s="224"/>
      <c r="J803" s="346"/>
      <c r="K803" s="267"/>
      <c r="L803" s="253"/>
      <c r="M803" s="254"/>
      <c r="N803" s="204"/>
    </row>
    <row r="804" spans="2:14" x14ac:dyDescent="0.35">
      <c r="B804" s="246"/>
      <c r="C804" s="247"/>
      <c r="D804" s="248"/>
      <c r="E804" s="249"/>
      <c r="F804" s="249"/>
      <c r="G804" s="255"/>
      <c r="H804" s="203"/>
      <c r="I804" s="224"/>
      <c r="J804" s="346"/>
      <c r="K804" s="265"/>
      <c r="L804" s="253"/>
      <c r="M804" s="254"/>
      <c r="N804" s="204"/>
    </row>
    <row r="805" spans="2:14" x14ac:dyDescent="0.35">
      <c r="B805" s="246"/>
      <c r="C805" s="247"/>
      <c r="D805" s="248"/>
      <c r="E805" s="249"/>
      <c r="F805" s="249"/>
      <c r="G805" s="255"/>
      <c r="H805" s="203"/>
      <c r="I805" s="224"/>
      <c r="J805" s="346"/>
      <c r="K805" s="267"/>
      <c r="L805" s="253"/>
      <c r="M805" s="254"/>
      <c r="N805" s="204"/>
    </row>
    <row r="806" spans="2:14" x14ac:dyDescent="0.35">
      <c r="B806" s="246"/>
      <c r="C806" s="247"/>
      <c r="D806" s="246"/>
      <c r="E806" s="249"/>
      <c r="F806" s="249"/>
      <c r="G806" s="262"/>
      <c r="H806" s="203"/>
      <c r="I806" s="224"/>
      <c r="J806" s="346"/>
      <c r="K806" s="267"/>
      <c r="L806" s="253"/>
      <c r="M806" s="254"/>
      <c r="N806" s="204"/>
    </row>
    <row r="807" spans="2:14" x14ac:dyDescent="0.35">
      <c r="B807" s="246"/>
      <c r="C807" s="256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35">
      <c r="B808" s="246"/>
      <c r="C808" s="247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35">
      <c r="B809" s="246"/>
      <c r="C809" s="247"/>
      <c r="D809" s="246"/>
      <c r="E809" s="249"/>
      <c r="F809" s="249"/>
      <c r="G809" s="262"/>
      <c r="H809" s="203"/>
      <c r="I809" s="224"/>
      <c r="J809" s="346"/>
      <c r="K809" s="267"/>
      <c r="L809" s="253"/>
      <c r="M809" s="254"/>
      <c r="N809" s="204"/>
    </row>
    <row r="810" spans="2:14" x14ac:dyDescent="0.35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35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35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35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35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35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35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35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35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35">
      <c r="B819" s="246"/>
      <c r="C819" s="256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35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35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35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35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35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35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35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35">
      <c r="B827" s="246"/>
      <c r="C827" s="256"/>
      <c r="D827" s="248"/>
      <c r="E827" s="249"/>
      <c r="F827" s="249"/>
      <c r="G827" s="199"/>
      <c r="H827" s="203"/>
      <c r="I827" s="224"/>
      <c r="J827" s="346"/>
      <c r="K827" s="267"/>
      <c r="L827" s="253"/>
      <c r="M827" s="254"/>
      <c r="N827" s="204"/>
    </row>
    <row r="828" spans="2:14" x14ac:dyDescent="0.35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35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35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35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35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35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35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35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35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35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35">
      <c r="B838" s="246"/>
      <c r="C838" s="247"/>
      <c r="D838" s="246"/>
      <c r="E838" s="249"/>
      <c r="F838" s="249"/>
      <c r="G838" s="262"/>
      <c r="H838" s="203"/>
      <c r="I838" s="224"/>
      <c r="J838" s="346"/>
      <c r="K838" s="267"/>
      <c r="L838" s="253"/>
      <c r="M838" s="254"/>
      <c r="N838" s="204"/>
    </row>
    <row r="839" spans="2:14" x14ac:dyDescent="0.35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35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35">
      <c r="B841" s="246"/>
      <c r="C841" s="247"/>
      <c r="D841" s="248"/>
      <c r="E841" s="249"/>
      <c r="F841" s="249"/>
      <c r="G841" s="255"/>
      <c r="H841" s="203"/>
      <c r="I841" s="224"/>
      <c r="J841" s="346"/>
      <c r="K841" s="265"/>
      <c r="L841" s="253"/>
      <c r="M841" s="254"/>
      <c r="N841" s="204"/>
    </row>
    <row r="842" spans="2:14" x14ac:dyDescent="0.35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35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35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35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35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35">
      <c r="B847" s="246"/>
      <c r="C847" s="247"/>
      <c r="D847" s="246"/>
      <c r="E847" s="249"/>
      <c r="F847" s="249"/>
      <c r="G847" s="262"/>
      <c r="H847" s="203"/>
      <c r="I847" s="224"/>
      <c r="J847" s="346"/>
      <c r="K847" s="265"/>
      <c r="L847" s="253"/>
      <c r="M847" s="254"/>
      <c r="N847" s="204"/>
    </row>
    <row r="848" spans="2:14" x14ac:dyDescent="0.35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35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35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35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35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35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35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35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35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35">
      <c r="B857" s="246"/>
      <c r="C857" s="256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35">
      <c r="B858" s="246"/>
      <c r="C858" s="247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35">
      <c r="B859" s="246"/>
      <c r="C859" s="256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35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35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35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35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35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35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35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35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35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35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35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35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35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35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35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35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35">
      <c r="B876" s="246"/>
      <c r="C876" s="256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35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35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35">
      <c r="B879" s="246"/>
      <c r="C879" s="256"/>
      <c r="D879" s="248"/>
      <c r="E879" s="249"/>
      <c r="F879" s="249"/>
      <c r="G879" s="199"/>
      <c r="H879" s="203"/>
      <c r="I879" s="224"/>
      <c r="J879" s="346"/>
      <c r="K879" s="267"/>
      <c r="L879" s="253"/>
      <c r="M879" s="254"/>
      <c r="N879" s="204"/>
    </row>
    <row r="880" spans="2:14" x14ac:dyDescent="0.35">
      <c r="B880" s="246"/>
      <c r="C880" s="247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35">
      <c r="B881" s="246"/>
      <c r="C881" s="256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35">
      <c r="B882" s="246"/>
      <c r="C882" s="247"/>
      <c r="D882" s="248"/>
      <c r="E882" s="249"/>
      <c r="F882" s="249"/>
      <c r="G882" s="255"/>
      <c r="H882" s="203"/>
      <c r="I882" s="224"/>
      <c r="J882" s="346"/>
      <c r="K882" s="275"/>
      <c r="L882" s="253"/>
      <c r="M882" s="254"/>
      <c r="N882" s="204"/>
    </row>
    <row r="883" spans="2:14" x14ac:dyDescent="0.35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35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35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35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35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35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35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35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35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35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35">
      <c r="B893" s="246"/>
      <c r="C893" s="247"/>
      <c r="D893" s="246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35">
      <c r="B894" s="246"/>
      <c r="C894" s="247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35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35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35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35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35">
      <c r="B899" s="246"/>
      <c r="C899" s="256"/>
      <c r="D899" s="248"/>
      <c r="E899" s="249"/>
      <c r="F899" s="249"/>
      <c r="G899" s="199"/>
      <c r="H899" s="203"/>
      <c r="I899" s="224"/>
      <c r="J899" s="346"/>
      <c r="K899" s="267"/>
      <c r="L899" s="253"/>
      <c r="M899" s="254"/>
      <c r="N899" s="204"/>
    </row>
    <row r="900" spans="2:14" x14ac:dyDescent="0.35">
      <c r="B900" s="246"/>
      <c r="C900" s="247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35">
      <c r="B901" s="246"/>
      <c r="C901" s="256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35">
      <c r="B902" s="246"/>
      <c r="C902" s="247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35">
      <c r="B903" s="246"/>
      <c r="C903" s="256"/>
      <c r="D903" s="248"/>
      <c r="E903" s="249"/>
      <c r="F903" s="249"/>
      <c r="G903" s="255"/>
      <c r="H903" s="203"/>
      <c r="I903" s="224"/>
      <c r="J903" s="346"/>
      <c r="K903" s="268"/>
      <c r="L903" s="253"/>
      <c r="M903" s="254"/>
      <c r="N903" s="204"/>
    </row>
    <row r="904" spans="2:14" x14ac:dyDescent="0.35">
      <c r="B904" s="246"/>
      <c r="C904" s="256"/>
      <c r="D904" s="248"/>
      <c r="E904" s="249"/>
      <c r="F904" s="249"/>
      <c r="G904" s="255"/>
      <c r="H904" s="203"/>
      <c r="I904" s="224"/>
      <c r="J904" s="346"/>
      <c r="K904" s="267"/>
      <c r="L904" s="253"/>
      <c r="M904" s="254"/>
      <c r="N904" s="204"/>
    </row>
    <row r="905" spans="2:14" x14ac:dyDescent="0.35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35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35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35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35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35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35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35">
      <c r="B912" s="246"/>
      <c r="C912" s="247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35">
      <c r="B913" s="246"/>
      <c r="C913" s="256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35">
      <c r="B914" s="246"/>
      <c r="C914" s="256"/>
      <c r="D914" s="248"/>
      <c r="E914" s="249"/>
      <c r="F914" s="249"/>
      <c r="G914" s="199"/>
      <c r="H914" s="203"/>
      <c r="I914" s="224"/>
      <c r="J914" s="346"/>
      <c r="K914" s="267"/>
      <c r="L914" s="253"/>
      <c r="M914" s="254"/>
      <c r="N914" s="204"/>
    </row>
    <row r="915" spans="2:14" x14ac:dyDescent="0.35">
      <c r="B915" s="246"/>
      <c r="C915" s="247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35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35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35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35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35">
      <c r="B920" s="246"/>
      <c r="C920" s="256"/>
      <c r="D920" s="248"/>
      <c r="E920" s="249"/>
      <c r="F920" s="249"/>
      <c r="G920" s="199"/>
      <c r="H920" s="203"/>
      <c r="I920" s="224"/>
      <c r="J920" s="346"/>
      <c r="K920" s="267"/>
      <c r="L920" s="253"/>
      <c r="M920" s="254"/>
      <c r="N920" s="204"/>
    </row>
    <row r="921" spans="2:14" x14ac:dyDescent="0.35">
      <c r="B921" s="246"/>
      <c r="C921" s="256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35">
      <c r="B922" s="246"/>
      <c r="C922" s="247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35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35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35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35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35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35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35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35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35">
      <c r="B931" s="246"/>
      <c r="C931" s="256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35">
      <c r="B932" s="246"/>
      <c r="C932" s="247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35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35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35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35">
      <c r="B936" s="246"/>
      <c r="C936" s="247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35">
      <c r="B937" s="246"/>
      <c r="C937" s="256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35">
      <c r="B938" s="246"/>
      <c r="C938" s="256"/>
      <c r="D938" s="248"/>
      <c r="E938" s="249"/>
      <c r="F938" s="249"/>
      <c r="G938" s="199"/>
      <c r="H938" s="203"/>
      <c r="I938" s="224"/>
      <c r="J938" s="346"/>
      <c r="K938" s="267"/>
      <c r="L938" s="253"/>
      <c r="M938" s="254"/>
      <c r="N938" s="204"/>
    </row>
    <row r="939" spans="2:14" x14ac:dyDescent="0.35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35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35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35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35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35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35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35">
      <c r="B946" s="246"/>
      <c r="C946" s="256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35">
      <c r="B947" s="246"/>
      <c r="C947" s="247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35">
      <c r="B948" s="246"/>
      <c r="C948" s="256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35">
      <c r="B949" s="246"/>
      <c r="C949" s="256"/>
      <c r="D949" s="248"/>
      <c r="E949" s="249"/>
      <c r="F949" s="249"/>
      <c r="G949" s="199"/>
      <c r="H949" s="203"/>
      <c r="I949" s="224"/>
      <c r="J949" s="346"/>
      <c r="K949" s="267"/>
      <c r="L949" s="253"/>
      <c r="M949" s="254"/>
      <c r="N949" s="204"/>
    </row>
    <row r="950" spans="2:14" x14ac:dyDescent="0.35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35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35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35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35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35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35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35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35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35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35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35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35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35">
      <c r="B963" s="246"/>
      <c r="C963" s="256"/>
      <c r="D963" s="248"/>
      <c r="E963" s="249"/>
      <c r="F963" s="249"/>
      <c r="G963" s="199"/>
      <c r="H963" s="203"/>
      <c r="I963" s="224"/>
      <c r="J963" s="346"/>
      <c r="K963" s="267"/>
      <c r="L963" s="253"/>
      <c r="M963" s="254"/>
      <c r="N963" s="204"/>
    </row>
    <row r="964" spans="2:14" x14ac:dyDescent="0.35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35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35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35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35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35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35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35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35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35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35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35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35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35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35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35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35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35">
      <c r="B981" s="246"/>
      <c r="C981" s="256"/>
      <c r="D981" s="248"/>
      <c r="E981" s="249"/>
      <c r="F981" s="249"/>
      <c r="G981" s="199"/>
      <c r="H981" s="203"/>
      <c r="I981" s="224"/>
      <c r="J981" s="346"/>
      <c r="K981" s="267"/>
      <c r="L981" s="253"/>
      <c r="M981" s="254"/>
      <c r="N981" s="204"/>
    </row>
    <row r="982" spans="2:14" x14ac:dyDescent="0.35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35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35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35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35">
      <c r="B986" s="246"/>
      <c r="C986" s="256"/>
      <c r="D986" s="248"/>
      <c r="E986" s="249"/>
      <c r="F986" s="249"/>
      <c r="G986" s="255"/>
      <c r="H986" s="203"/>
      <c r="I986" s="224"/>
      <c r="J986" s="346"/>
      <c r="K986" s="267"/>
      <c r="L986" s="253"/>
      <c r="M986" s="254"/>
      <c r="N986" s="204"/>
    </row>
    <row r="987" spans="2:14" x14ac:dyDescent="0.35">
      <c r="B987" s="246"/>
      <c r="C987" s="256"/>
      <c r="D987" s="248"/>
      <c r="E987" s="249"/>
      <c r="F987" s="249"/>
      <c r="G987" s="199"/>
      <c r="H987" s="203"/>
      <c r="I987" s="224"/>
      <c r="J987" s="346"/>
      <c r="K987" s="267"/>
      <c r="L987" s="253"/>
      <c r="M987" s="254"/>
      <c r="N987" s="204"/>
    </row>
    <row r="988" spans="2:14" x14ac:dyDescent="0.35">
      <c r="B988" s="246"/>
      <c r="C988" s="256"/>
      <c r="D988" s="248"/>
      <c r="E988" s="249"/>
      <c r="F988" s="249"/>
      <c r="G988" s="255"/>
      <c r="H988" s="203"/>
      <c r="I988" s="224"/>
      <c r="J988" s="346"/>
      <c r="K988" s="267"/>
      <c r="L988" s="253"/>
      <c r="M988" s="254"/>
      <c r="N988" s="204"/>
    </row>
    <row r="989" spans="2:14" x14ac:dyDescent="0.35">
      <c r="B989" s="246"/>
      <c r="C989" s="256"/>
      <c r="D989" s="248"/>
      <c r="E989" s="249"/>
      <c r="F989" s="249"/>
      <c r="G989" s="199"/>
      <c r="H989" s="203"/>
      <c r="I989" s="224"/>
      <c r="J989" s="346"/>
      <c r="K989" s="267"/>
      <c r="L989" s="253"/>
      <c r="M989" s="254"/>
      <c r="N989" s="204"/>
    </row>
    <row r="990" spans="2:14" x14ac:dyDescent="0.35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35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35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35">
      <c r="B993" s="246"/>
      <c r="C993" s="256"/>
      <c r="D993" s="248"/>
      <c r="E993" s="249"/>
      <c r="F993" s="249"/>
      <c r="G993" s="199"/>
      <c r="H993" s="203"/>
      <c r="I993" s="224"/>
      <c r="J993" s="346"/>
      <c r="K993" s="267"/>
      <c r="L993" s="253"/>
      <c r="M993" s="254"/>
      <c r="N993" s="204"/>
    </row>
    <row r="994" spans="2:14" x14ac:dyDescent="0.35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35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35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35">
      <c r="B997" s="246"/>
      <c r="C997" s="256"/>
      <c r="D997" s="248"/>
      <c r="E997" s="249"/>
      <c r="F997" s="249"/>
      <c r="G997" s="199"/>
      <c r="H997" s="203"/>
      <c r="I997" s="224"/>
      <c r="J997" s="346"/>
      <c r="K997" s="267"/>
      <c r="L997" s="253"/>
      <c r="M997" s="254"/>
      <c r="N997" s="204"/>
    </row>
    <row r="998" spans="2:14" x14ac:dyDescent="0.35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35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35">
      <c r="B1000" s="246"/>
      <c r="C1000" s="256"/>
      <c r="D1000" s="248"/>
      <c r="E1000" s="249"/>
      <c r="F1000" s="249"/>
      <c r="G1000" s="199"/>
      <c r="H1000" s="203"/>
      <c r="I1000" s="224"/>
      <c r="J1000" s="346"/>
      <c r="K1000" s="267"/>
      <c r="L1000" s="253"/>
      <c r="M1000" s="254"/>
      <c r="N1000" s="204"/>
    </row>
    <row r="1001" spans="2:14" x14ac:dyDescent="0.35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35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35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35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35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35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35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35">
      <c r="B1008" s="246"/>
      <c r="C1008" s="256"/>
      <c r="D1008" s="248"/>
      <c r="E1008" s="249"/>
      <c r="F1008" s="249"/>
      <c r="G1008" s="199"/>
      <c r="H1008" s="203"/>
      <c r="I1008" s="224"/>
      <c r="J1008" s="346"/>
      <c r="K1008" s="267"/>
      <c r="L1008" s="253"/>
      <c r="M1008" s="254"/>
      <c r="N1008" s="204"/>
    </row>
    <row r="1009" spans="2:14" x14ac:dyDescent="0.35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35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35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35">
      <c r="B1012" s="246"/>
      <c r="C1012" s="256"/>
      <c r="D1012" s="248"/>
      <c r="E1012" s="249"/>
      <c r="F1012" s="249"/>
      <c r="G1012" s="199"/>
      <c r="H1012" s="203"/>
      <c r="I1012" s="224"/>
      <c r="J1012" s="346"/>
      <c r="K1012" s="267"/>
      <c r="L1012" s="253"/>
      <c r="M1012" s="254"/>
      <c r="N1012" s="204"/>
    </row>
    <row r="1013" spans="2:14" x14ac:dyDescent="0.35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35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35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35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35">
      <c r="B1017" s="246"/>
      <c r="C1017" s="256"/>
      <c r="D1017" s="248"/>
      <c r="E1017" s="249"/>
      <c r="F1017" s="249"/>
      <c r="G1017" s="255"/>
      <c r="H1017" s="203"/>
      <c r="I1017" s="224"/>
      <c r="J1017" s="346"/>
      <c r="K1017" s="267"/>
      <c r="L1017" s="253"/>
      <c r="M1017" s="254"/>
      <c r="N1017" s="204"/>
    </row>
    <row r="1018" spans="2:14" x14ac:dyDescent="0.35">
      <c r="B1018" s="246"/>
      <c r="C1018" s="256"/>
      <c r="D1018" s="248"/>
      <c r="E1018" s="249"/>
      <c r="F1018" s="249"/>
      <c r="G1018" s="202"/>
      <c r="H1018" s="203"/>
      <c r="I1018" s="224"/>
      <c r="J1018" s="346"/>
      <c r="K1018" s="267"/>
      <c r="L1018" s="253"/>
      <c r="M1018" s="254"/>
      <c r="N1018" s="204"/>
    </row>
    <row r="1019" spans="2:14" x14ac:dyDescent="0.35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5"/>
      <c r="L1019" s="253"/>
      <c r="M1019" s="254"/>
      <c r="N1019" s="204"/>
    </row>
    <row r="1020" spans="2:14" x14ac:dyDescent="0.35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35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35">
      <c r="B1022" s="246"/>
      <c r="C1022" s="256"/>
      <c r="D1022" s="248"/>
      <c r="E1022" s="249"/>
      <c r="F1022" s="249"/>
      <c r="G1022" s="202"/>
      <c r="H1022" s="203"/>
      <c r="I1022" s="224"/>
      <c r="J1022" s="346"/>
      <c r="K1022" s="267"/>
      <c r="L1022" s="253"/>
      <c r="M1022" s="254"/>
      <c r="N1022" s="204"/>
    </row>
    <row r="1023" spans="2:14" x14ac:dyDescent="0.35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35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35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35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35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35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35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35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35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35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35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35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35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35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35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35">
      <c r="B1038" s="246"/>
      <c r="C1038" s="256"/>
      <c r="D1038" s="248"/>
      <c r="E1038" s="249"/>
      <c r="F1038" s="249"/>
      <c r="G1038" s="202"/>
      <c r="H1038" s="203"/>
      <c r="I1038" s="224"/>
      <c r="J1038" s="346"/>
      <c r="K1038" s="267"/>
      <c r="L1038" s="253"/>
      <c r="M1038" s="254"/>
      <c r="N1038" s="204"/>
    </row>
    <row r="1039" spans="2:14" x14ac:dyDescent="0.35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35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35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35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35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35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35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35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35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35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35">
      <c r="B1049" s="246"/>
      <c r="C1049" s="256"/>
      <c r="D1049" s="246"/>
      <c r="E1049" s="249"/>
      <c r="F1049" s="249"/>
      <c r="G1049" s="262"/>
      <c r="H1049" s="203"/>
      <c r="I1049" s="224"/>
      <c r="J1049" s="346"/>
      <c r="K1049" s="267"/>
      <c r="L1049" s="253"/>
      <c r="M1049" s="254"/>
      <c r="N1049" s="204"/>
    </row>
    <row r="1050" spans="2:14" x14ac:dyDescent="0.35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35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35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35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35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35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35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35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35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35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35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35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35">
      <c r="B1062" s="246"/>
      <c r="C1062" s="256"/>
      <c r="D1062" s="246"/>
      <c r="E1062" s="249"/>
      <c r="F1062" s="249"/>
      <c r="G1062" s="262"/>
      <c r="H1062" s="203"/>
      <c r="I1062" s="224"/>
      <c r="J1062" s="346"/>
      <c r="K1062" s="265"/>
      <c r="L1062" s="253"/>
      <c r="M1062" s="254"/>
      <c r="N1062" s="204"/>
    </row>
    <row r="1063" spans="2:14" x14ac:dyDescent="0.35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35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35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35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35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35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35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35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35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35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35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35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35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35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35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35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35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35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35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35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35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35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35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35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35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35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04"/>
      <c r="M1088" s="254"/>
      <c r="N1088" s="204"/>
    </row>
    <row r="1089" spans="2:14" x14ac:dyDescent="0.35">
      <c r="B1089" s="246"/>
      <c r="C1089" s="256"/>
      <c r="D1089" s="248"/>
      <c r="E1089" s="249"/>
      <c r="F1089" s="249"/>
      <c r="G1089" s="199"/>
      <c r="H1089" s="203"/>
      <c r="I1089" s="224"/>
      <c r="J1089" s="346"/>
      <c r="K1089" s="267"/>
      <c r="L1089" s="253"/>
      <c r="M1089" s="254"/>
      <c r="N1089" s="204"/>
    </row>
    <row r="1090" spans="2:14" x14ac:dyDescent="0.35">
      <c r="B1090" s="246"/>
      <c r="C1090" s="256"/>
      <c r="D1090" s="246"/>
      <c r="E1090" s="276"/>
      <c r="F1090" s="276"/>
      <c r="G1090" s="206"/>
      <c r="H1090" s="203"/>
      <c r="I1090" s="224"/>
      <c r="J1090" s="346"/>
      <c r="K1090" s="267"/>
      <c r="L1090" s="253"/>
      <c r="M1090" s="254"/>
      <c r="N1090" s="204"/>
    </row>
    <row r="1091" spans="2:14" x14ac:dyDescent="0.35">
      <c r="B1091" s="246"/>
      <c r="C1091" s="256"/>
      <c r="D1091" s="248"/>
      <c r="E1091" s="249"/>
      <c r="F1091" s="249"/>
      <c r="G1091" s="199"/>
      <c r="H1091" s="203"/>
      <c r="I1091" s="224"/>
      <c r="J1091" s="346"/>
      <c r="K1091" s="267"/>
      <c r="L1091" s="253"/>
      <c r="M1091" s="254"/>
      <c r="N1091" s="204"/>
    </row>
    <row r="1092" spans="2:14" x14ac:dyDescent="0.35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35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35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35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35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35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35">
      <c r="B1098" s="246"/>
      <c r="C1098" s="256"/>
      <c r="D1098" s="246"/>
      <c r="E1098" s="249"/>
      <c r="F1098" s="249"/>
      <c r="G1098" s="206"/>
      <c r="H1098" s="203"/>
      <c r="I1098" s="224"/>
      <c r="J1098" s="346"/>
      <c r="K1098" s="267"/>
      <c r="L1098" s="253"/>
      <c r="M1098" s="254"/>
      <c r="N1098" s="204"/>
    </row>
    <row r="1099" spans="2:14" x14ac:dyDescent="0.35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35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35">
      <c r="B1101" s="246"/>
      <c r="C1101" s="256"/>
      <c r="D1101" s="248"/>
      <c r="E1101" s="249"/>
      <c r="F1101" s="249"/>
      <c r="G1101" s="199"/>
      <c r="H1101" s="203"/>
      <c r="I1101" s="224"/>
      <c r="J1101" s="346"/>
      <c r="K1101" s="267"/>
      <c r="L1101" s="253"/>
      <c r="M1101" s="254"/>
      <c r="N1101" s="204"/>
    </row>
    <row r="1102" spans="2:14" x14ac:dyDescent="0.35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35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35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35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35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35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35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35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35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35">
      <c r="B1111" s="246"/>
      <c r="C1111" s="256"/>
      <c r="D1111" s="248"/>
      <c r="E1111" s="249"/>
      <c r="F1111" s="249"/>
      <c r="G1111" s="199"/>
      <c r="H1111" s="203"/>
      <c r="I1111" s="224"/>
      <c r="J1111" s="346"/>
      <c r="K1111" s="267"/>
      <c r="L1111" s="253"/>
      <c r="M1111" s="254"/>
      <c r="N1111" s="204"/>
    </row>
    <row r="1112" spans="2:14" x14ac:dyDescent="0.35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35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35">
      <c r="B1114" s="246"/>
      <c r="C1114" s="256"/>
      <c r="D1114" s="248"/>
      <c r="E1114" s="249"/>
      <c r="F1114" s="249"/>
      <c r="G1114" s="199"/>
      <c r="H1114" s="203"/>
      <c r="I1114" s="224"/>
      <c r="J1114" s="346"/>
      <c r="K1114" s="267"/>
      <c r="L1114" s="253"/>
      <c r="M1114" s="254"/>
      <c r="N1114" s="204"/>
    </row>
    <row r="1115" spans="2:14" x14ac:dyDescent="0.35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35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35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35">
      <c r="B1118" s="246"/>
      <c r="C1118" s="256"/>
      <c r="D1118" s="248"/>
      <c r="E1118" s="249"/>
      <c r="F1118" s="249"/>
      <c r="G1118" s="199"/>
      <c r="H1118" s="203"/>
      <c r="I1118" s="224"/>
      <c r="J1118" s="346"/>
      <c r="K1118" s="267"/>
      <c r="L1118" s="253"/>
      <c r="M1118" s="254"/>
      <c r="N1118" s="204"/>
    </row>
    <row r="1119" spans="2:14" x14ac:dyDescent="0.35">
      <c r="B1119" s="246"/>
      <c r="C1119" s="256"/>
      <c r="D1119" s="248"/>
      <c r="E1119" s="249"/>
      <c r="F1119" s="249"/>
      <c r="G1119" s="255"/>
      <c r="H1119" s="203"/>
      <c r="I1119" s="224"/>
      <c r="J1119" s="346"/>
      <c r="K1119" s="267"/>
      <c r="L1119" s="204"/>
      <c r="M1119" s="254"/>
      <c r="N1119" s="204"/>
    </row>
    <row r="1120" spans="2:14" x14ac:dyDescent="0.35">
      <c r="B1120" s="246"/>
      <c r="C1120" s="256"/>
      <c r="D1120" s="246"/>
      <c r="E1120" s="249"/>
      <c r="F1120" s="249"/>
      <c r="G1120" s="206"/>
      <c r="H1120" s="203"/>
      <c r="I1120" s="224"/>
      <c r="J1120" s="346"/>
      <c r="K1120" s="267"/>
      <c r="L1120" s="253"/>
      <c r="M1120" s="254"/>
      <c r="N1120" s="204"/>
    </row>
    <row r="1121" spans="2:14" x14ac:dyDescent="0.35">
      <c r="B1121" s="246"/>
      <c r="C1121" s="256"/>
      <c r="D1121" s="248"/>
      <c r="E1121" s="249"/>
      <c r="F1121" s="249"/>
      <c r="G1121" s="199"/>
      <c r="H1121" s="203"/>
      <c r="I1121" s="224"/>
      <c r="J1121" s="346"/>
      <c r="K1121" s="267"/>
      <c r="L1121" s="253"/>
      <c r="M1121" s="254"/>
      <c r="N1121" s="204"/>
    </row>
    <row r="1122" spans="2:14" x14ac:dyDescent="0.35">
      <c r="B1122" s="246"/>
      <c r="C1122" s="256"/>
      <c r="D1122" s="248"/>
      <c r="E1122" s="249"/>
      <c r="F1122" s="249"/>
      <c r="G1122" s="255"/>
      <c r="H1122" s="203"/>
      <c r="I1122" s="224"/>
      <c r="J1122" s="346"/>
      <c r="K1122" s="267"/>
      <c r="L1122" s="253"/>
      <c r="M1122" s="254"/>
      <c r="N1122" s="204"/>
    </row>
    <row r="1123" spans="2:14" x14ac:dyDescent="0.35">
      <c r="B1123" s="246"/>
      <c r="C1123" s="256"/>
      <c r="D1123" s="248"/>
      <c r="E1123" s="249"/>
      <c r="F1123" s="249"/>
      <c r="G1123" s="199"/>
      <c r="H1123" s="203"/>
      <c r="I1123" s="224"/>
      <c r="J1123" s="346"/>
      <c r="K1123" s="267"/>
      <c r="L1123" s="253"/>
      <c r="M1123" s="254"/>
      <c r="N1123" s="204"/>
    </row>
    <row r="1124" spans="2:14" x14ac:dyDescent="0.35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35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35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35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35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35">
      <c r="B1129" s="246"/>
      <c r="C1129" s="256"/>
      <c r="D1129" s="246"/>
      <c r="E1129" s="249"/>
      <c r="F1129" s="249"/>
      <c r="G1129" s="207"/>
      <c r="H1129" s="203"/>
      <c r="I1129" s="224"/>
      <c r="J1129" s="346"/>
      <c r="K1129" s="267"/>
      <c r="L1129" s="253"/>
      <c r="M1129" s="254"/>
      <c r="N1129" s="204"/>
    </row>
    <row r="1130" spans="2:14" x14ac:dyDescent="0.35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35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35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35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35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35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35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35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35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35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35">
      <c r="B1140" s="246"/>
      <c r="C1140" s="277"/>
      <c r="D1140" s="277"/>
      <c r="E1140" s="249"/>
      <c r="F1140" s="278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35">
      <c r="B1141" s="246"/>
      <c r="C1141" s="256"/>
      <c r="D1141" s="248"/>
      <c r="E1141" s="249"/>
      <c r="F1141" s="249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35">
      <c r="B1142" s="246"/>
      <c r="C1142" s="256"/>
      <c r="D1142" s="246"/>
      <c r="E1142" s="249"/>
      <c r="F1142" s="249"/>
      <c r="G1142" s="202"/>
      <c r="H1142" s="203"/>
      <c r="I1142" s="224"/>
      <c r="J1142" s="346"/>
      <c r="K1142" s="267"/>
      <c r="L1142" s="253"/>
      <c r="M1142" s="254"/>
      <c r="N1142" s="204"/>
    </row>
    <row r="1143" spans="2:14" x14ac:dyDescent="0.35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35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35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35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5"/>
      <c r="L1146" s="253"/>
      <c r="M1146" s="254"/>
      <c r="N1146" s="204"/>
    </row>
    <row r="1147" spans="2:14" x14ac:dyDescent="0.35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7"/>
      <c r="L1147" s="253"/>
      <c r="M1147" s="254"/>
      <c r="N1147" s="204"/>
    </row>
    <row r="1148" spans="2:14" x14ac:dyDescent="0.35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75"/>
      <c r="L1148" s="253"/>
      <c r="M1148" s="254"/>
      <c r="N1148" s="204"/>
    </row>
    <row r="1149" spans="2:14" x14ac:dyDescent="0.35">
      <c r="B1149" s="246"/>
      <c r="C1149" s="256"/>
      <c r="D1149" s="246"/>
      <c r="E1149" s="249"/>
      <c r="F1149" s="249"/>
      <c r="G1149" s="262"/>
      <c r="H1149" s="203"/>
      <c r="I1149" s="224"/>
      <c r="J1149" s="346"/>
      <c r="K1149" s="267"/>
      <c r="L1149" s="253"/>
      <c r="M1149" s="254"/>
      <c r="N1149" s="204"/>
    </row>
    <row r="1150" spans="2:14" x14ac:dyDescent="0.35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75"/>
      <c r="L1150" s="253"/>
      <c r="M1150" s="254"/>
      <c r="N1150" s="204"/>
    </row>
    <row r="1151" spans="2:14" x14ac:dyDescent="0.35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35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35">
      <c r="B1153" s="246"/>
      <c r="C1153" s="256"/>
      <c r="D1153" s="248"/>
      <c r="E1153" s="249"/>
      <c r="F1153" s="249"/>
      <c r="G1153" s="199"/>
      <c r="H1153" s="203"/>
      <c r="I1153" s="224"/>
      <c r="J1153" s="346"/>
      <c r="K1153" s="267"/>
      <c r="L1153" s="253"/>
      <c r="M1153" s="254"/>
      <c r="N1153" s="204"/>
    </row>
    <row r="1154" spans="2:14" x14ac:dyDescent="0.35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35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35">
      <c r="B1156" s="246"/>
      <c r="C1156" s="256"/>
      <c r="D1156" s="248"/>
      <c r="E1156" s="249"/>
      <c r="F1156" s="249"/>
      <c r="G1156" s="262"/>
      <c r="H1156" s="203"/>
      <c r="I1156" s="224"/>
      <c r="J1156" s="346"/>
      <c r="K1156" s="267"/>
      <c r="L1156" s="253"/>
      <c r="M1156" s="254"/>
      <c r="N1156" s="204"/>
    </row>
    <row r="1157" spans="2:14" x14ac:dyDescent="0.35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35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35">
      <c r="B1159" s="246"/>
      <c r="C1159" s="256"/>
      <c r="D1159" s="248"/>
      <c r="E1159" s="249"/>
      <c r="F1159" s="249"/>
      <c r="G1159" s="199"/>
      <c r="H1159" s="203"/>
      <c r="I1159" s="224"/>
      <c r="J1159" s="346"/>
      <c r="K1159" s="267"/>
      <c r="L1159" s="253"/>
      <c r="M1159" s="254"/>
      <c r="N1159" s="205"/>
    </row>
    <row r="1160" spans="2:14" x14ac:dyDescent="0.35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35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35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35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35">
      <c r="B1164" s="246"/>
      <c r="C1164" s="256"/>
      <c r="D1164" s="246"/>
      <c r="E1164" s="276"/>
      <c r="F1164" s="276"/>
      <c r="G1164" s="206"/>
      <c r="H1164" s="203"/>
      <c r="I1164" s="224"/>
      <c r="J1164" s="346"/>
      <c r="K1164" s="275"/>
      <c r="L1164" s="253"/>
      <c r="M1164" s="254"/>
      <c r="N1164" s="205"/>
    </row>
    <row r="1165" spans="2:14" x14ac:dyDescent="0.35">
      <c r="B1165" s="246"/>
      <c r="C1165" s="256"/>
      <c r="D1165" s="248"/>
      <c r="E1165" s="249"/>
      <c r="F1165" s="249"/>
      <c r="G1165" s="255"/>
      <c r="H1165" s="203"/>
      <c r="I1165" s="224"/>
      <c r="J1165" s="346"/>
      <c r="K1165" s="267"/>
      <c r="L1165" s="253"/>
      <c r="M1165" s="254"/>
      <c r="N1165" s="205"/>
    </row>
    <row r="1166" spans="2:14" x14ac:dyDescent="0.35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35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35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35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35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35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75"/>
      <c r="L1171" s="253"/>
      <c r="M1171" s="254"/>
      <c r="N1171" s="205"/>
    </row>
    <row r="1172" spans="2:14" x14ac:dyDescent="0.35">
      <c r="B1172" s="246"/>
      <c r="C1172" s="256"/>
      <c r="D1172" s="248"/>
      <c r="E1172" s="249"/>
      <c r="F1172" s="249"/>
      <c r="G1172" s="199"/>
      <c r="H1172" s="203"/>
      <c r="I1172" s="224"/>
      <c r="J1172" s="346"/>
      <c r="K1172" s="267"/>
      <c r="L1172" s="253"/>
      <c r="M1172" s="254"/>
      <c r="N1172" s="205"/>
    </row>
    <row r="1173" spans="2:14" x14ac:dyDescent="0.35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35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35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35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35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35">
      <c r="B1178" s="246"/>
      <c r="C1178" s="256"/>
      <c r="D1178" s="248"/>
      <c r="E1178" s="249"/>
      <c r="F1178" s="249"/>
      <c r="G1178" s="255"/>
      <c r="H1178" s="203"/>
      <c r="I1178" s="224"/>
      <c r="J1178" s="346"/>
      <c r="K1178" s="267"/>
      <c r="L1178" s="253"/>
      <c r="M1178" s="254"/>
      <c r="N1178" s="205"/>
    </row>
    <row r="1179" spans="2:14" x14ac:dyDescent="0.35">
      <c r="B1179" s="246"/>
      <c r="C1179" s="256"/>
      <c r="D1179" s="248"/>
      <c r="E1179" s="249"/>
      <c r="F1179" s="249"/>
      <c r="G1179" s="199"/>
      <c r="H1179" s="203"/>
      <c r="I1179" s="224"/>
      <c r="J1179" s="346"/>
      <c r="K1179" s="267"/>
      <c r="L1179" s="253"/>
      <c r="M1179" s="254"/>
      <c r="N1179" s="205"/>
    </row>
    <row r="1180" spans="2:14" x14ac:dyDescent="0.35">
      <c r="B1180" s="246"/>
      <c r="C1180" s="256"/>
      <c r="D1180" s="248"/>
      <c r="E1180" s="249"/>
      <c r="F1180" s="249"/>
      <c r="G1180" s="255"/>
      <c r="H1180" s="203"/>
      <c r="I1180" s="224"/>
      <c r="J1180" s="346"/>
      <c r="K1180" s="267"/>
      <c r="L1180" s="253"/>
      <c r="M1180" s="254"/>
      <c r="N1180" s="205"/>
    </row>
    <row r="1181" spans="2:14" x14ac:dyDescent="0.35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35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35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35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35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35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35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35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35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35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35">
      <c r="B1191" s="246"/>
      <c r="C1191" s="256"/>
      <c r="D1191" s="246"/>
      <c r="E1191" s="249"/>
      <c r="F1191" s="249"/>
      <c r="G1191" s="262"/>
      <c r="H1191" s="203"/>
      <c r="I1191" s="224"/>
      <c r="J1191" s="346"/>
      <c r="K1191" s="267"/>
      <c r="L1191" s="253"/>
      <c r="M1191" s="254"/>
      <c r="N1191" s="205"/>
    </row>
    <row r="1192" spans="2:14" x14ac:dyDescent="0.35">
      <c r="B1192" s="246"/>
      <c r="C1192" s="256"/>
      <c r="D1192" s="248"/>
      <c r="E1192" s="249"/>
      <c r="F1192" s="249"/>
      <c r="G1192" s="199"/>
      <c r="H1192" s="203"/>
      <c r="I1192" s="224"/>
      <c r="J1192" s="346"/>
      <c r="K1192" s="275"/>
      <c r="L1192" s="253"/>
      <c r="M1192" s="254"/>
      <c r="N1192" s="205"/>
    </row>
    <row r="1193" spans="2:14" x14ac:dyDescent="0.35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35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35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35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35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35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35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35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35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35">
      <c r="B1202" s="246"/>
      <c r="C1202" s="256"/>
      <c r="D1202" s="248"/>
      <c r="E1202" s="249"/>
      <c r="F1202" s="249"/>
      <c r="G1202" s="199"/>
      <c r="H1202" s="203"/>
      <c r="I1202" s="224"/>
      <c r="J1202" s="346"/>
      <c r="K1202" s="279"/>
      <c r="L1202" s="253"/>
      <c r="M1202" s="254"/>
      <c r="N1202" s="205"/>
    </row>
    <row r="1203" spans="2:14" x14ac:dyDescent="0.35">
      <c r="B1203" s="246"/>
      <c r="C1203" s="256"/>
      <c r="D1203" s="246"/>
      <c r="E1203" s="276"/>
      <c r="F1203" s="276"/>
      <c r="G1203" s="206"/>
      <c r="H1203" s="203"/>
      <c r="I1203" s="224"/>
      <c r="J1203" s="346"/>
      <c r="K1203" s="280"/>
      <c r="L1203" s="253"/>
      <c r="M1203" s="254"/>
      <c r="N1203" s="205"/>
    </row>
    <row r="1204" spans="2:14" x14ac:dyDescent="0.35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35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35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35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35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35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35">
      <c r="B1210" s="246"/>
      <c r="C1210" s="256"/>
      <c r="D1210" s="248"/>
      <c r="E1210" s="249"/>
      <c r="F1210" s="249"/>
      <c r="G1210" s="255"/>
      <c r="H1210" s="203"/>
      <c r="I1210" s="224"/>
      <c r="J1210" s="346"/>
      <c r="K1210" s="280"/>
      <c r="L1210" s="253"/>
      <c r="M1210" s="254"/>
      <c r="N1210" s="205"/>
    </row>
    <row r="1211" spans="2:14" x14ac:dyDescent="0.35">
      <c r="B1211" s="246"/>
      <c r="C1211" s="256"/>
      <c r="D1211" s="246"/>
      <c r="E1211" s="249"/>
      <c r="F1211" s="249"/>
      <c r="G1211" s="206"/>
      <c r="H1211" s="203"/>
      <c r="I1211" s="224"/>
      <c r="J1211" s="346"/>
      <c r="K1211" s="280"/>
      <c r="L1211" s="253"/>
      <c r="M1211" s="254"/>
      <c r="N1211" s="205"/>
    </row>
    <row r="1212" spans="2:14" x14ac:dyDescent="0.35">
      <c r="B1212" s="246"/>
      <c r="C1212" s="256"/>
      <c r="D1212" s="248"/>
      <c r="E1212" s="249"/>
      <c r="F1212" s="249"/>
      <c r="G1212" s="255"/>
      <c r="H1212" s="203"/>
      <c r="I1212" s="224"/>
      <c r="J1212" s="346"/>
      <c r="K1212" s="280"/>
      <c r="L1212" s="253"/>
      <c r="M1212" s="254"/>
      <c r="N1212" s="205"/>
    </row>
    <row r="1213" spans="2:14" x14ac:dyDescent="0.35">
      <c r="B1213" s="246"/>
      <c r="C1213" s="256"/>
      <c r="D1213" s="248"/>
      <c r="E1213" s="249"/>
      <c r="F1213" s="249"/>
      <c r="G1213" s="202"/>
      <c r="H1213" s="203"/>
      <c r="I1213" s="224"/>
      <c r="J1213" s="346"/>
      <c r="K1213" s="280"/>
      <c r="L1213" s="253"/>
      <c r="M1213" s="254"/>
      <c r="N1213" s="205"/>
    </row>
    <row r="1214" spans="2:14" x14ac:dyDescent="0.35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35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35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35">
      <c r="B1217" s="246"/>
      <c r="C1217" s="256"/>
      <c r="D1217" s="246"/>
      <c r="E1217" s="249"/>
      <c r="F1217" s="249"/>
      <c r="G1217" s="207"/>
      <c r="H1217" s="203"/>
      <c r="I1217" s="224"/>
      <c r="J1217" s="346"/>
      <c r="K1217" s="280"/>
      <c r="L1217" s="253"/>
      <c r="M1217" s="254"/>
      <c r="N1217" s="205"/>
    </row>
    <row r="1218" spans="2:14" x14ac:dyDescent="0.35">
      <c r="B1218" s="246"/>
      <c r="C1218" s="256"/>
      <c r="D1218" s="248"/>
      <c r="E1218" s="249"/>
      <c r="F1218" s="249"/>
      <c r="G1218" s="255"/>
      <c r="H1218" s="203"/>
      <c r="I1218" s="224"/>
      <c r="J1218" s="346"/>
      <c r="K1218" s="280"/>
      <c r="L1218" s="253"/>
      <c r="M1218" s="254"/>
      <c r="N1218" s="205"/>
    </row>
    <row r="1219" spans="2:14" x14ac:dyDescent="0.35">
      <c r="B1219" s="246"/>
      <c r="C1219" s="256"/>
      <c r="D1219" s="246"/>
      <c r="E1219" s="276"/>
      <c r="F1219" s="276"/>
      <c r="G1219" s="206"/>
      <c r="H1219" s="203"/>
      <c r="I1219" s="224"/>
      <c r="J1219" s="346"/>
      <c r="K1219" s="280"/>
      <c r="L1219" s="253"/>
      <c r="M1219" s="254"/>
      <c r="N1219" s="205"/>
    </row>
    <row r="1220" spans="2:14" x14ac:dyDescent="0.35">
      <c r="B1220" s="246"/>
      <c r="C1220" s="256"/>
      <c r="D1220" s="248"/>
      <c r="E1220" s="249"/>
      <c r="F1220" s="249"/>
      <c r="G1220" s="255"/>
      <c r="H1220" s="203"/>
      <c r="I1220" s="224"/>
      <c r="J1220" s="346"/>
      <c r="K1220" s="280"/>
      <c r="L1220" s="253"/>
      <c r="M1220" s="254"/>
      <c r="N1220" s="205"/>
    </row>
    <row r="1221" spans="2:14" x14ac:dyDescent="0.35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35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35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35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35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35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35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35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35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35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35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35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35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04"/>
      <c r="M1233" s="254"/>
      <c r="N1233" s="205"/>
    </row>
    <row r="1234" spans="2:14" x14ac:dyDescent="0.35">
      <c r="B1234" s="246"/>
      <c r="C1234" s="281"/>
      <c r="D1234" s="282"/>
      <c r="E1234" s="276"/>
      <c r="F1234" s="276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35">
      <c r="B1235" s="246"/>
      <c r="C1235" s="256"/>
      <c r="D1235" s="248"/>
      <c r="E1235" s="249"/>
      <c r="F1235" s="249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35">
      <c r="B1236" s="246"/>
      <c r="C1236" s="256"/>
      <c r="D1236" s="248"/>
      <c r="E1236" s="249"/>
      <c r="F1236" s="249"/>
      <c r="G1236" s="199"/>
      <c r="H1236" s="203"/>
      <c r="I1236" s="224"/>
      <c r="J1236" s="346"/>
      <c r="K1236" s="280"/>
      <c r="L1236" s="204"/>
      <c r="M1236" s="254"/>
      <c r="N1236" s="205"/>
    </row>
    <row r="1237" spans="2:14" x14ac:dyDescent="0.35">
      <c r="B1237" s="246"/>
      <c r="C1237" s="256"/>
      <c r="D1237" s="248"/>
      <c r="E1237" s="249"/>
      <c r="F1237" s="249"/>
      <c r="G1237" s="255"/>
      <c r="H1237" s="203"/>
      <c r="I1237" s="224"/>
      <c r="J1237" s="346"/>
      <c r="K1237" s="280"/>
      <c r="L1237" s="253"/>
      <c r="M1237" s="254"/>
      <c r="N1237" s="205"/>
    </row>
    <row r="1238" spans="2:14" x14ac:dyDescent="0.35">
      <c r="B1238" s="246"/>
      <c r="C1238" s="256"/>
      <c r="D1238" s="248"/>
      <c r="E1238" s="249"/>
      <c r="F1238" s="249"/>
      <c r="G1238" s="199"/>
      <c r="H1238" s="203"/>
      <c r="I1238" s="224"/>
      <c r="J1238" s="346"/>
      <c r="K1238" s="280"/>
      <c r="L1238" s="253"/>
      <c r="M1238" s="254"/>
      <c r="N1238" s="205"/>
    </row>
    <row r="1239" spans="2:14" x14ac:dyDescent="0.35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35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35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35">
      <c r="B1242" s="246"/>
      <c r="C1242" s="247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35">
      <c r="B1243" s="246"/>
      <c r="C1243" s="256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35">
      <c r="B1244" s="246"/>
      <c r="C1244" s="277"/>
      <c r="D1244" s="277"/>
      <c r="E1244" s="278"/>
      <c r="F1244" s="278"/>
      <c r="G1244" s="210"/>
      <c r="H1244" s="208"/>
      <c r="I1244" s="222"/>
      <c r="J1244" s="343"/>
      <c r="K1244" s="283"/>
      <c r="L1244" s="253"/>
      <c r="M1244" s="254"/>
      <c r="N1244" s="209"/>
    </row>
    <row r="1245" spans="2:14" x14ac:dyDescent="0.35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35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35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35">
      <c r="B1248" s="246"/>
      <c r="C1248" s="256"/>
      <c r="D1248" s="246"/>
      <c r="E1248" s="249"/>
      <c r="F1248" s="249"/>
      <c r="G1248" s="262"/>
      <c r="H1248" s="208"/>
      <c r="I1248" s="222"/>
      <c r="J1248" s="343"/>
      <c r="K1248" s="280"/>
      <c r="L1248" s="253"/>
      <c r="M1248" s="254"/>
      <c r="N1248" s="209"/>
    </row>
    <row r="1249" spans="2:14" x14ac:dyDescent="0.35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35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35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35">
      <c r="B1252" s="246"/>
      <c r="C1252" s="247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35">
      <c r="B1253" s="246"/>
      <c r="C1253" s="256"/>
      <c r="D1253" s="248"/>
      <c r="E1253" s="249"/>
      <c r="F1253" s="249"/>
      <c r="G1253" s="206"/>
      <c r="H1253" s="208"/>
      <c r="I1253" s="222"/>
      <c r="J1253" s="343"/>
      <c r="K1253" s="280"/>
      <c r="L1253" s="253"/>
      <c r="M1253" s="254"/>
      <c r="N1253" s="209"/>
    </row>
    <row r="1254" spans="2:14" x14ac:dyDescent="0.35">
      <c r="B1254" s="246"/>
      <c r="C1254" s="247"/>
      <c r="D1254" s="248"/>
      <c r="E1254" s="249"/>
      <c r="F1254" s="249"/>
      <c r="G1254" s="262"/>
      <c r="H1254" s="208"/>
      <c r="I1254" s="222"/>
      <c r="J1254" s="343"/>
      <c r="K1254" s="280"/>
      <c r="L1254" s="253"/>
      <c r="M1254" s="254"/>
      <c r="N1254" s="209"/>
    </row>
    <row r="1255" spans="2:14" x14ac:dyDescent="0.35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53"/>
      <c r="M1255" s="254"/>
      <c r="N1255" s="209"/>
    </row>
    <row r="1256" spans="2:14" x14ac:dyDescent="0.35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11"/>
      <c r="M1256" s="254"/>
      <c r="N1256" s="209"/>
    </row>
    <row r="1257" spans="2:14" x14ac:dyDescent="0.35">
      <c r="B1257" s="246"/>
      <c r="C1257" s="256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35">
      <c r="B1258" s="246"/>
      <c r="C1258" s="247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35">
      <c r="B1259" s="246"/>
      <c r="C1259" s="256"/>
      <c r="D1259" s="248"/>
      <c r="E1259" s="249"/>
      <c r="F1259" s="249"/>
      <c r="G1259" s="255"/>
      <c r="H1259" s="208"/>
      <c r="I1259" s="222"/>
      <c r="J1259" s="343"/>
      <c r="K1259" s="280"/>
      <c r="L1259" s="253"/>
      <c r="M1259" s="254"/>
      <c r="N1259" s="209"/>
    </row>
    <row r="1260" spans="2:14" x14ac:dyDescent="0.3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x14ac:dyDescent="0.3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x14ac:dyDescent="0.3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x14ac:dyDescent="0.35">
      <c r="B1263" s="37"/>
      <c r="C1263" s="78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x14ac:dyDescent="0.35">
      <c r="B1264" s="37"/>
      <c r="C1264" s="284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x14ac:dyDescent="0.35">
      <c r="B1265" s="37"/>
      <c r="C1265" s="78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x14ac:dyDescent="0.35">
      <c r="B1266" s="37"/>
      <c r="C1266" s="284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x14ac:dyDescent="0.35">
      <c r="B1267" s="37"/>
      <c r="C1267" s="287"/>
      <c r="D1267" s="37"/>
      <c r="E1267" s="60"/>
      <c r="F1267" s="60"/>
      <c r="G1267" s="214"/>
      <c r="H1267" s="212"/>
      <c r="I1267" s="225"/>
      <c r="J1267" s="348"/>
      <c r="K1267" s="69"/>
      <c r="L1267" s="286"/>
      <c r="M1267" s="116"/>
      <c r="N1267" s="213"/>
    </row>
    <row r="1268" spans="2:14" x14ac:dyDescent="0.35">
      <c r="B1268" s="37"/>
      <c r="C1268" s="78"/>
      <c r="D1268" s="109"/>
      <c r="E1268" s="68"/>
      <c r="F1268" s="68"/>
      <c r="G1268" s="215"/>
      <c r="H1268" s="212"/>
      <c r="I1268" s="225"/>
      <c r="J1268" s="348"/>
      <c r="K1268" s="69"/>
      <c r="L1268" s="286"/>
      <c r="M1268" s="116"/>
      <c r="N1268" s="213"/>
    </row>
    <row r="1269" spans="2:14" x14ac:dyDescent="0.3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x14ac:dyDescent="0.3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x14ac:dyDescent="0.35">
      <c r="B1271" s="37"/>
      <c r="C1271" s="66"/>
      <c r="D1271" s="288"/>
      <c r="E1271" s="68"/>
      <c r="F1271" s="68"/>
      <c r="G1271" s="215"/>
      <c r="H1271" s="212"/>
      <c r="I1271" s="225"/>
      <c r="J1271" s="348"/>
      <c r="K1271" s="69"/>
      <c r="L1271" s="286"/>
      <c r="M1271" s="116"/>
      <c r="N1271" s="213"/>
    </row>
    <row r="1272" spans="2:14" x14ac:dyDescent="0.35">
      <c r="B1272" s="30"/>
      <c r="C1272" s="284"/>
      <c r="D1272" s="109"/>
      <c r="E1272" s="68"/>
      <c r="F1272" s="68"/>
      <c r="G1272" s="289"/>
      <c r="H1272" s="216"/>
      <c r="I1272" s="225"/>
      <c r="J1272" s="348"/>
      <c r="K1272" s="69"/>
      <c r="L1272" s="286"/>
      <c r="M1272" s="116"/>
      <c r="N1272" s="213"/>
    </row>
    <row r="1273" spans="2:14" x14ac:dyDescent="0.3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x14ac:dyDescent="0.3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x14ac:dyDescent="0.3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x14ac:dyDescent="0.3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x14ac:dyDescent="0.35">
      <c r="B1277" s="30"/>
      <c r="C1277" s="78"/>
      <c r="D1277" s="109"/>
      <c r="E1277" s="68"/>
      <c r="F1277" s="68"/>
      <c r="G1277" s="215"/>
      <c r="H1277" s="216"/>
      <c r="I1277" s="225"/>
      <c r="J1277" s="348"/>
      <c r="K1277" s="69"/>
      <c r="L1277" s="286"/>
      <c r="M1277" s="116"/>
      <c r="N1277" s="213"/>
    </row>
    <row r="1278" spans="2:14" x14ac:dyDescent="0.3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x14ac:dyDescent="0.3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x14ac:dyDescent="0.3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x14ac:dyDescent="0.3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x14ac:dyDescent="0.3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x14ac:dyDescent="0.3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x14ac:dyDescent="0.3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x14ac:dyDescent="0.3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x14ac:dyDescent="0.3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x14ac:dyDescent="0.3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x14ac:dyDescent="0.35">
      <c r="B1288" s="30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17"/>
      <c r="M1288" s="116"/>
      <c r="N1288" s="213"/>
    </row>
    <row r="1289" spans="2:14" x14ac:dyDescent="0.35">
      <c r="B1289" s="65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86"/>
      <c r="M1289" s="116"/>
      <c r="N1289" s="213"/>
    </row>
    <row r="1290" spans="2:14" x14ac:dyDescent="0.35">
      <c r="B1290" s="65"/>
      <c r="C1290" s="78"/>
      <c r="D1290" s="109"/>
      <c r="E1290" s="68"/>
      <c r="F1290" s="68"/>
      <c r="G1290" s="215"/>
      <c r="H1290" s="216"/>
      <c r="I1290" s="225"/>
      <c r="J1290" s="348"/>
      <c r="K1290" s="69"/>
      <c r="L1290" s="286"/>
      <c r="M1290" s="116"/>
      <c r="N1290" s="213"/>
    </row>
    <row r="1291" spans="2:14" x14ac:dyDescent="0.35">
      <c r="B1291" s="65"/>
      <c r="C1291" s="284"/>
      <c r="D1291" s="109"/>
      <c r="E1291" s="68"/>
      <c r="F1291" s="68"/>
      <c r="G1291" s="285"/>
      <c r="H1291" s="216"/>
      <c r="I1291" s="225"/>
      <c r="J1291" s="348"/>
      <c r="K1291" s="69"/>
      <c r="L1291" s="217"/>
      <c r="M1291" s="116"/>
      <c r="N1291" s="213"/>
    </row>
    <row r="1292" spans="2:14" x14ac:dyDescent="0.35">
      <c r="B1292" s="65"/>
      <c r="C1292" s="78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x14ac:dyDescent="0.3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x14ac:dyDescent="0.3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x14ac:dyDescent="0.3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x14ac:dyDescent="0.3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17"/>
      <c r="M1296" s="116"/>
      <c r="N1296" s="213"/>
    </row>
    <row r="1297" spans="2:14" x14ac:dyDescent="0.35">
      <c r="B1297" s="65"/>
      <c r="C1297" s="78"/>
      <c r="D1297" s="109"/>
      <c r="E1297" s="68"/>
      <c r="F1297" s="68"/>
      <c r="G1297" s="215"/>
      <c r="H1297" s="216"/>
      <c r="I1297" s="225"/>
      <c r="J1297" s="348"/>
      <c r="K1297" s="69"/>
      <c r="L1297" s="286"/>
      <c r="M1297" s="116"/>
      <c r="N1297" s="213"/>
    </row>
    <row r="1298" spans="2:14" x14ac:dyDescent="0.35">
      <c r="B1298" s="65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x14ac:dyDescent="0.3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x14ac:dyDescent="0.3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17"/>
      <c r="M1300" s="116"/>
      <c r="N1300" s="213"/>
    </row>
    <row r="1301" spans="2:14" x14ac:dyDescent="0.3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x14ac:dyDescent="0.35">
      <c r="B1302" s="30"/>
      <c r="C1302" s="284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x14ac:dyDescent="0.3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x14ac:dyDescent="0.3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x14ac:dyDescent="0.35">
      <c r="B1305" s="30"/>
      <c r="C1305" s="290"/>
      <c r="D1305" s="291"/>
      <c r="E1305" s="292"/>
      <c r="F1305" s="292"/>
      <c r="G1305" s="285"/>
      <c r="H1305" s="216"/>
      <c r="I1305" s="225"/>
      <c r="J1305" s="348"/>
      <c r="K1305" s="69"/>
      <c r="L1305" s="217"/>
      <c r="M1305" s="116"/>
      <c r="N1305" s="213"/>
    </row>
    <row r="1306" spans="2:14" x14ac:dyDescent="0.35">
      <c r="B1306" s="30"/>
      <c r="C1306" s="78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x14ac:dyDescent="0.35">
      <c r="B1307" s="30"/>
      <c r="C1307" s="284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x14ac:dyDescent="0.35">
      <c r="B1308" s="30"/>
      <c r="C1308" s="78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x14ac:dyDescent="0.35">
      <c r="B1309" s="30"/>
      <c r="C1309" s="78"/>
      <c r="D1309" s="109"/>
      <c r="E1309" s="68"/>
      <c r="F1309" s="68"/>
      <c r="G1309" s="289"/>
      <c r="H1309" s="212"/>
      <c r="I1309" s="225"/>
      <c r="J1309" s="348"/>
      <c r="K1309" s="80"/>
      <c r="L1309" s="286"/>
      <c r="M1309" s="116"/>
      <c r="N1309" s="213"/>
    </row>
    <row r="1310" spans="2:14" x14ac:dyDescent="0.35">
      <c r="B1310" s="30"/>
      <c r="C1310" s="284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x14ac:dyDescent="0.3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x14ac:dyDescent="0.3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17"/>
      <c r="M1312" s="116"/>
      <c r="N1312" s="213"/>
    </row>
    <row r="1313" spans="2:14" x14ac:dyDescent="0.3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x14ac:dyDescent="0.3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x14ac:dyDescent="0.3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x14ac:dyDescent="0.35">
      <c r="B1316" s="65"/>
      <c r="C1316" s="78"/>
      <c r="D1316" s="109"/>
      <c r="E1316" s="68"/>
      <c r="F1316" s="68"/>
      <c r="G1316" s="215"/>
      <c r="H1316" s="216"/>
      <c r="I1316" s="225"/>
      <c r="J1316" s="348"/>
      <c r="K1316" s="69"/>
      <c r="L1316" s="217"/>
      <c r="M1316" s="116"/>
      <c r="N1316" s="213"/>
    </row>
    <row r="1317" spans="2:14" x14ac:dyDescent="0.3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x14ac:dyDescent="0.3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x14ac:dyDescent="0.3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17"/>
      <c r="M1319" s="116"/>
      <c r="N1319" s="213"/>
    </row>
    <row r="1320" spans="2:14" x14ac:dyDescent="0.3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x14ac:dyDescent="0.3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x14ac:dyDescent="0.3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x14ac:dyDescent="0.3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x14ac:dyDescent="0.3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x14ac:dyDescent="0.3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x14ac:dyDescent="0.3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x14ac:dyDescent="0.3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x14ac:dyDescent="0.35">
      <c r="B1328" s="65"/>
      <c r="C1328" s="78"/>
      <c r="D1328" s="109"/>
      <c r="E1328" s="68"/>
      <c r="F1328" s="68"/>
      <c r="G1328" s="215"/>
      <c r="H1328" s="216"/>
      <c r="I1328" s="225"/>
      <c r="J1328" s="348"/>
      <c r="K1328" s="69"/>
      <c r="L1328" s="286"/>
      <c r="M1328" s="116"/>
      <c r="N1328" s="213"/>
    </row>
    <row r="1329" spans="2:14" x14ac:dyDescent="0.3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x14ac:dyDescent="0.3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x14ac:dyDescent="0.3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x14ac:dyDescent="0.3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x14ac:dyDescent="0.3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x14ac:dyDescent="0.3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x14ac:dyDescent="0.3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x14ac:dyDescent="0.3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x14ac:dyDescent="0.35">
      <c r="B1337" s="293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x14ac:dyDescent="0.35">
      <c r="B1338" s="65"/>
      <c r="C1338" s="78"/>
      <c r="D1338" s="109"/>
      <c r="E1338" s="68"/>
      <c r="F1338" s="68"/>
      <c r="G1338" s="215"/>
      <c r="H1338" s="216"/>
      <c r="I1338" s="225"/>
      <c r="J1338" s="348"/>
      <c r="K1338" s="69"/>
      <c r="L1338" s="286"/>
      <c r="M1338" s="116"/>
      <c r="N1338" s="213"/>
    </row>
    <row r="1339" spans="2:14" x14ac:dyDescent="0.35">
      <c r="B1339" s="65"/>
      <c r="C1339" s="78"/>
      <c r="D1339" s="109"/>
      <c r="E1339" s="68"/>
      <c r="F1339" s="68"/>
      <c r="G1339" s="285"/>
      <c r="H1339" s="216"/>
      <c r="I1339" s="225"/>
      <c r="J1339" s="348"/>
      <c r="K1339" s="69"/>
      <c r="L1339" s="286"/>
      <c r="M1339" s="116"/>
      <c r="N1339" s="213"/>
    </row>
    <row r="1340" spans="2:14" x14ac:dyDescent="0.35">
      <c r="B1340" s="65"/>
      <c r="C1340" s="78"/>
      <c r="D1340" s="109"/>
      <c r="E1340" s="68"/>
      <c r="F1340" s="68"/>
      <c r="G1340" s="215"/>
      <c r="H1340" s="216"/>
      <c r="I1340" s="225"/>
      <c r="J1340" s="348"/>
      <c r="K1340" s="69"/>
      <c r="L1340" s="286"/>
      <c r="M1340" s="116"/>
      <c r="N1340" s="213"/>
    </row>
    <row r="1341" spans="2:14" x14ac:dyDescent="0.3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x14ac:dyDescent="0.3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x14ac:dyDescent="0.3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x14ac:dyDescent="0.3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x14ac:dyDescent="0.3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x14ac:dyDescent="0.3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x14ac:dyDescent="0.35">
      <c r="B1347" s="65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x14ac:dyDescent="0.35">
      <c r="B1348" s="293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x14ac:dyDescent="0.35">
      <c r="B1349" s="293"/>
      <c r="C1349" s="78"/>
      <c r="D1349" s="109"/>
      <c r="E1349" s="68"/>
      <c r="F1349" s="68"/>
      <c r="G1349" s="285"/>
      <c r="H1349" s="216"/>
      <c r="I1349" s="294"/>
      <c r="J1349" s="349"/>
      <c r="K1349" s="69"/>
      <c r="L1349" s="286"/>
      <c r="M1349" s="116"/>
      <c r="N1349" s="213"/>
    </row>
    <row r="1350" spans="2:14" x14ac:dyDescent="0.35">
      <c r="B1350" s="293"/>
      <c r="C1350" s="78"/>
      <c r="D1350" s="109"/>
      <c r="E1350" s="68"/>
      <c r="F1350" s="68"/>
      <c r="G1350" s="215"/>
      <c r="H1350" s="216"/>
      <c r="I1350" s="294"/>
      <c r="J1350" s="349"/>
      <c r="K1350" s="69"/>
      <c r="L1350" s="286"/>
      <c r="M1350" s="116"/>
      <c r="N1350" s="213"/>
    </row>
    <row r="1351" spans="2:14" x14ac:dyDescent="0.35">
      <c r="B1351" s="293"/>
      <c r="C1351" s="78"/>
      <c r="D1351" s="109"/>
      <c r="E1351" s="68"/>
      <c r="F1351" s="68"/>
      <c r="G1351" s="289"/>
      <c r="H1351" s="216"/>
      <c r="I1351" s="294"/>
      <c r="J1351" s="349"/>
      <c r="K1351" s="69"/>
      <c r="L1351" s="286"/>
      <c r="M1351" s="116"/>
      <c r="N1351" s="213"/>
    </row>
    <row r="1352" spans="2:14" x14ac:dyDescent="0.3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x14ac:dyDescent="0.3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x14ac:dyDescent="0.35">
      <c r="B1354" s="293"/>
      <c r="C1354" s="78"/>
      <c r="D1354" s="109"/>
      <c r="E1354" s="68"/>
      <c r="F1354" s="68"/>
      <c r="G1354" s="214"/>
      <c r="H1354" s="216"/>
      <c r="I1354" s="294"/>
      <c r="J1354" s="349"/>
      <c r="K1354" s="69"/>
      <c r="L1354" s="286"/>
      <c r="M1354" s="116"/>
      <c r="N1354" s="213"/>
    </row>
    <row r="1355" spans="2:14" x14ac:dyDescent="0.35">
      <c r="B1355" s="293"/>
      <c r="C1355" s="78"/>
      <c r="D1355" s="109"/>
      <c r="E1355" s="68"/>
      <c r="F1355" s="68"/>
      <c r="G1355" s="289"/>
      <c r="H1355" s="212"/>
      <c r="I1355" s="225"/>
      <c r="J1355" s="348"/>
      <c r="K1355" s="80"/>
      <c r="L1355" s="217"/>
      <c r="M1355" s="116"/>
      <c r="N1355" s="213"/>
    </row>
    <row r="1356" spans="2:14" x14ac:dyDescent="0.35">
      <c r="B1356" s="293"/>
      <c r="C1356" s="78"/>
      <c r="D1356" s="109"/>
      <c r="E1356" s="68"/>
      <c r="F1356" s="68"/>
      <c r="G1356" s="289"/>
      <c r="H1356" s="216"/>
      <c r="I1356" s="294"/>
      <c r="J1356" s="349"/>
      <c r="K1356" s="69"/>
      <c r="L1356" s="286"/>
      <c r="M1356" s="116"/>
      <c r="N1356" s="213"/>
    </row>
    <row r="1357" spans="2:14" x14ac:dyDescent="0.35">
      <c r="B1357" s="65"/>
      <c r="C1357" s="290"/>
      <c r="D1357" s="291"/>
      <c r="E1357" s="295"/>
      <c r="F1357" s="296"/>
      <c r="G1357" s="297"/>
      <c r="H1357" s="216"/>
      <c r="I1357" s="294"/>
      <c r="J1357" s="349"/>
      <c r="K1357" s="69"/>
      <c r="L1357" s="286"/>
      <c r="M1357" s="116"/>
      <c r="N1357" s="213"/>
    </row>
    <row r="1358" spans="2:14" x14ac:dyDescent="0.3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x14ac:dyDescent="0.3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x14ac:dyDescent="0.35">
      <c r="B1360" s="293"/>
      <c r="C1360" s="78"/>
      <c r="D1360" s="109"/>
      <c r="E1360" s="298"/>
      <c r="F1360" s="299"/>
      <c r="G1360" s="300"/>
      <c r="H1360" s="301"/>
      <c r="I1360" s="302"/>
      <c r="J1360" s="350"/>
      <c r="K1360" s="69"/>
      <c r="L1360" s="286"/>
      <c r="M1360" s="116"/>
      <c r="N1360" s="213"/>
    </row>
    <row r="1361" spans="2:14" x14ac:dyDescent="0.3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x14ac:dyDescent="0.3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x14ac:dyDescent="0.35">
      <c r="B1363" s="293"/>
      <c r="C1363" s="78"/>
      <c r="D1363" s="109"/>
      <c r="E1363" s="68"/>
      <c r="F1363" s="77"/>
      <c r="G1363" s="215"/>
      <c r="H1363" s="216"/>
      <c r="I1363" s="294"/>
      <c r="J1363" s="349"/>
      <c r="K1363" s="69"/>
      <c r="L1363" s="217"/>
      <c r="M1363" s="116"/>
      <c r="N1363" s="213"/>
    </row>
    <row r="1364" spans="2:14" x14ac:dyDescent="0.35">
      <c r="B1364" s="293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x14ac:dyDescent="0.35">
      <c r="B1365" s="65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x14ac:dyDescent="0.35">
      <c r="B1366" s="65"/>
      <c r="C1366" s="290"/>
      <c r="D1366" s="291"/>
      <c r="E1366" s="292"/>
      <c r="F1366" s="285"/>
      <c r="G1366" s="285"/>
      <c r="H1366" s="216"/>
      <c r="I1366" s="294"/>
      <c r="J1366" s="349"/>
      <c r="K1366" s="69"/>
      <c r="L1366" s="286"/>
      <c r="M1366" s="116"/>
      <c r="N1366" s="213"/>
    </row>
    <row r="1367" spans="2:14" x14ac:dyDescent="0.35">
      <c r="B1367" s="65"/>
      <c r="C1367" s="66"/>
      <c r="D1367" s="109"/>
      <c r="E1367" s="68"/>
      <c r="F1367" s="77"/>
      <c r="G1367" s="297"/>
      <c r="H1367" s="216"/>
      <c r="I1367" s="294"/>
      <c r="J1367" s="349"/>
      <c r="K1367" s="69"/>
      <c r="L1367" s="286"/>
      <c r="M1367" s="116"/>
      <c r="N1367" s="213"/>
    </row>
    <row r="1368" spans="2:14" x14ac:dyDescent="0.35">
      <c r="B1368" s="65"/>
      <c r="C1368" s="78"/>
      <c r="D1368" s="109"/>
      <c r="E1368" s="68"/>
      <c r="F1368" s="77"/>
      <c r="G1368" s="285"/>
      <c r="H1368" s="216"/>
      <c r="I1368" s="294"/>
      <c r="J1368" s="349"/>
      <c r="K1368" s="69"/>
      <c r="L1368" s="286"/>
      <c r="M1368" s="116"/>
      <c r="N1368" s="213"/>
    </row>
    <row r="1369" spans="2:14" x14ac:dyDescent="0.3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x14ac:dyDescent="0.3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x14ac:dyDescent="0.3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x14ac:dyDescent="0.3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x14ac:dyDescent="0.3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x14ac:dyDescent="0.3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x14ac:dyDescent="0.35">
      <c r="B1375" s="293"/>
      <c r="C1375" s="66"/>
      <c r="D1375" s="109"/>
      <c r="E1375" s="68"/>
      <c r="F1375" s="77"/>
      <c r="G1375" s="297"/>
      <c r="H1375" s="216"/>
      <c r="I1375" s="294"/>
      <c r="J1375" s="349"/>
      <c r="K1375" s="69"/>
      <c r="L1375" s="286"/>
      <c r="M1375" s="116"/>
      <c r="N1375" s="213"/>
    </row>
    <row r="1376" spans="2:14" x14ac:dyDescent="0.35">
      <c r="B1376" s="293"/>
      <c r="C1376" s="78"/>
      <c r="D1376" s="109"/>
      <c r="E1376" s="68"/>
      <c r="F1376" s="77"/>
      <c r="G1376" s="215"/>
      <c r="H1376" s="216"/>
      <c r="I1376" s="294"/>
      <c r="J1376" s="349"/>
      <c r="K1376" s="69"/>
      <c r="L1376" s="286"/>
      <c r="M1376" s="116"/>
      <c r="N1376" s="213"/>
    </row>
    <row r="1377" spans="2:14" x14ac:dyDescent="0.35">
      <c r="B1377" s="293"/>
      <c r="C1377" s="78"/>
      <c r="D1377" s="109"/>
      <c r="E1377" s="68"/>
      <c r="F1377" s="77"/>
      <c r="G1377" s="285"/>
      <c r="H1377" s="216"/>
      <c r="I1377" s="294"/>
      <c r="J1377" s="349"/>
      <c r="K1377" s="69"/>
      <c r="L1377" s="286"/>
      <c r="M1377" s="116"/>
      <c r="N1377" s="213"/>
    </row>
    <row r="1378" spans="2:14" x14ac:dyDescent="0.35">
      <c r="B1378" s="293"/>
      <c r="C1378" s="78"/>
      <c r="D1378" s="109"/>
      <c r="E1378" s="68"/>
      <c r="F1378" s="77"/>
      <c r="G1378" s="215"/>
      <c r="H1378" s="216"/>
      <c r="I1378" s="294"/>
      <c r="J1378" s="349"/>
      <c r="K1378" s="69"/>
      <c r="L1378" s="286"/>
      <c r="M1378" s="116"/>
      <c r="N1378" s="213"/>
    </row>
    <row r="1379" spans="2:14" x14ac:dyDescent="0.3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x14ac:dyDescent="0.3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x14ac:dyDescent="0.35">
      <c r="B1381" s="293"/>
      <c r="C1381" s="78"/>
      <c r="D1381" s="109"/>
      <c r="E1381" s="68"/>
      <c r="F1381" s="77"/>
      <c r="G1381" s="289"/>
      <c r="H1381" s="216"/>
      <c r="I1381" s="294"/>
      <c r="J1381" s="349"/>
      <c r="K1381" s="69"/>
      <c r="L1381" s="286"/>
      <c r="M1381" s="116"/>
      <c r="N1381" s="213"/>
    </row>
    <row r="1382" spans="2:14" x14ac:dyDescent="0.3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x14ac:dyDescent="0.3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x14ac:dyDescent="0.35">
      <c r="B1384" s="65"/>
      <c r="C1384" s="78"/>
      <c r="D1384" s="109"/>
      <c r="E1384" s="68"/>
      <c r="F1384" s="77"/>
      <c r="G1384" s="215"/>
      <c r="H1384" s="216"/>
      <c r="I1384" s="294"/>
      <c r="J1384" s="349"/>
      <c r="K1384" s="69"/>
      <c r="L1384" s="286"/>
      <c r="M1384" s="116"/>
      <c r="N1384" s="213"/>
    </row>
    <row r="1385" spans="2:14" x14ac:dyDescent="0.35">
      <c r="B1385" s="65"/>
      <c r="C1385" s="78"/>
      <c r="D1385" s="109"/>
      <c r="E1385" s="68"/>
      <c r="F1385" s="77"/>
      <c r="G1385" s="285"/>
      <c r="H1385" s="216"/>
      <c r="I1385" s="294"/>
      <c r="J1385" s="349"/>
      <c r="K1385" s="69"/>
      <c r="L1385" s="286"/>
      <c r="M1385" s="116"/>
      <c r="N1385" s="213"/>
    </row>
    <row r="1386" spans="2:14" x14ac:dyDescent="0.35">
      <c r="B1386" s="65"/>
      <c r="C1386" s="66"/>
      <c r="D1386" s="109"/>
      <c r="E1386" s="68"/>
      <c r="F1386" s="77"/>
      <c r="G1386" s="297"/>
      <c r="H1386" s="216"/>
      <c r="I1386" s="294"/>
      <c r="J1386" s="349"/>
      <c r="K1386" s="69"/>
      <c r="L1386" s="286"/>
      <c r="M1386" s="116"/>
      <c r="N1386" s="213"/>
    </row>
    <row r="1387" spans="2:14" x14ac:dyDescent="0.35">
      <c r="B1387" s="65"/>
      <c r="C1387" s="66"/>
      <c r="D1387" s="109"/>
      <c r="E1387" s="68"/>
      <c r="F1387" s="68"/>
      <c r="G1387" s="297"/>
      <c r="H1387" s="216"/>
      <c r="I1387" s="294"/>
      <c r="J1387" s="349"/>
      <c r="K1387" s="69"/>
      <c r="L1387" s="286"/>
      <c r="M1387" s="116"/>
      <c r="N1387" s="213"/>
    </row>
    <row r="1388" spans="2:14" x14ac:dyDescent="0.35">
      <c r="B1388" s="65"/>
      <c r="C1388" s="78"/>
      <c r="D1388" s="109"/>
      <c r="E1388" s="68"/>
      <c r="F1388" s="77"/>
      <c r="G1388" s="215"/>
      <c r="H1388" s="216"/>
      <c r="I1388" s="294"/>
      <c r="J1388" s="349"/>
      <c r="K1388" s="69"/>
      <c r="L1388" s="286"/>
      <c r="M1388" s="116"/>
      <c r="N1388" s="213"/>
    </row>
    <row r="1389" spans="2:14" x14ac:dyDescent="0.35">
      <c r="B1389" s="65"/>
      <c r="C1389" s="78"/>
      <c r="D1389" s="109"/>
      <c r="E1389" s="68"/>
      <c r="F1389" s="77"/>
      <c r="G1389" s="303"/>
      <c r="H1389" s="212"/>
      <c r="I1389" s="225"/>
      <c r="J1389" s="348"/>
      <c r="K1389" s="80"/>
      <c r="L1389" s="286"/>
      <c r="M1389" s="116"/>
      <c r="N1389" s="213"/>
    </row>
    <row r="1390" spans="2:14" x14ac:dyDescent="0.35">
      <c r="B1390" s="65"/>
      <c r="C1390" s="78"/>
      <c r="D1390" s="109"/>
      <c r="E1390" s="68"/>
      <c r="F1390" s="77"/>
      <c r="G1390" s="285"/>
      <c r="H1390" s="216"/>
      <c r="I1390" s="294"/>
      <c r="J1390" s="349"/>
      <c r="K1390" s="69"/>
      <c r="L1390" s="286"/>
      <c r="M1390" s="116"/>
      <c r="N1390" s="213"/>
    </row>
    <row r="1391" spans="2:14" x14ac:dyDescent="0.35">
      <c r="B1391" s="65"/>
      <c r="C1391" s="66"/>
      <c r="D1391" s="109"/>
      <c r="E1391" s="68"/>
      <c r="F1391" s="77"/>
      <c r="G1391" s="297"/>
      <c r="H1391" s="216"/>
      <c r="I1391" s="294"/>
      <c r="J1391" s="349"/>
      <c r="K1391" s="69"/>
      <c r="L1391" s="286"/>
      <c r="M1391" s="116"/>
      <c r="N1391" s="213"/>
    </row>
    <row r="1392" spans="2:14" x14ac:dyDescent="0.3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x14ac:dyDescent="0.3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x14ac:dyDescent="0.35">
      <c r="B1394" s="65"/>
      <c r="C1394" s="66"/>
      <c r="D1394" s="109"/>
      <c r="E1394" s="68"/>
      <c r="F1394" s="77"/>
      <c r="G1394" s="297"/>
      <c r="H1394" s="216"/>
      <c r="I1394" s="294"/>
      <c r="J1394" s="349"/>
      <c r="K1394" s="69"/>
      <c r="L1394" s="286"/>
      <c r="M1394" s="116"/>
      <c r="N1394" s="213"/>
    </row>
    <row r="1395" spans="2:14" x14ac:dyDescent="0.35">
      <c r="B1395" s="65"/>
      <c r="C1395" s="66"/>
      <c r="D1395" s="109"/>
      <c r="E1395" s="68"/>
      <c r="F1395" s="77"/>
      <c r="G1395" s="297"/>
      <c r="H1395" s="304"/>
      <c r="I1395" s="226"/>
      <c r="J1395" s="351"/>
      <c r="K1395" s="69"/>
      <c r="L1395" s="286"/>
      <c r="M1395" s="116"/>
      <c r="N1395" s="213"/>
    </row>
    <row r="1396" spans="2:14" x14ac:dyDescent="0.35">
      <c r="B1396" s="65"/>
      <c r="C1396" s="290"/>
      <c r="D1396" s="291"/>
      <c r="E1396" s="292"/>
      <c r="F1396" s="305"/>
      <c r="G1396" s="285"/>
      <c r="H1396" s="304"/>
      <c r="I1396" s="226"/>
      <c r="J1396" s="351"/>
      <c r="K1396" s="69"/>
      <c r="L1396" s="286"/>
      <c r="M1396" s="116"/>
      <c r="N1396" s="213"/>
    </row>
    <row r="1397" spans="2:14" x14ac:dyDescent="0.3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x14ac:dyDescent="0.3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x14ac:dyDescent="0.3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x14ac:dyDescent="0.3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x14ac:dyDescent="0.3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x14ac:dyDescent="0.35">
      <c r="B1402" s="91"/>
      <c r="C1402" s="78"/>
      <c r="D1402" s="109"/>
      <c r="E1402" s="68"/>
      <c r="F1402" s="68"/>
      <c r="G1402" s="215"/>
      <c r="H1402" s="216"/>
      <c r="I1402" s="294"/>
      <c r="J1402" s="349"/>
      <c r="K1402" s="69"/>
      <c r="L1402" s="286"/>
      <c r="M1402" s="116"/>
      <c r="N1402" s="213"/>
    </row>
    <row r="1403" spans="2:14" x14ac:dyDescent="0.3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x14ac:dyDescent="0.3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x14ac:dyDescent="0.3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x14ac:dyDescent="0.3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x14ac:dyDescent="0.3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x14ac:dyDescent="0.3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x14ac:dyDescent="0.3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x14ac:dyDescent="0.3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x14ac:dyDescent="0.3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x14ac:dyDescent="0.35">
      <c r="B1412" s="65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x14ac:dyDescent="0.35">
      <c r="B1413" s="65"/>
      <c r="C1413" s="290"/>
      <c r="D1413" s="291"/>
      <c r="E1413" s="292"/>
      <c r="F1413" s="305"/>
      <c r="G1413" s="285"/>
      <c r="H1413" s="304"/>
      <c r="I1413" s="226"/>
      <c r="J1413" s="351"/>
      <c r="K1413" s="69"/>
      <c r="L1413" s="286"/>
      <c r="M1413" s="116"/>
      <c r="N1413" s="213"/>
    </row>
    <row r="1414" spans="2:14" x14ac:dyDescent="0.35">
      <c r="B1414" s="65"/>
      <c r="C1414" s="66"/>
      <c r="D1414" s="109"/>
      <c r="E1414" s="68"/>
      <c r="F1414" s="77"/>
      <c r="G1414" s="297"/>
      <c r="H1414" s="304"/>
      <c r="I1414" s="226"/>
      <c r="J1414" s="351"/>
      <c r="K1414" s="69"/>
      <c r="L1414" s="286"/>
      <c r="M1414" s="116"/>
      <c r="N1414" s="213"/>
    </row>
    <row r="1415" spans="2:14" x14ac:dyDescent="0.3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x14ac:dyDescent="0.3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x14ac:dyDescent="0.3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x14ac:dyDescent="0.3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x14ac:dyDescent="0.3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x14ac:dyDescent="0.3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x14ac:dyDescent="0.3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x14ac:dyDescent="0.3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x14ac:dyDescent="0.3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x14ac:dyDescent="0.3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x14ac:dyDescent="0.35">
      <c r="B1425" s="91"/>
      <c r="C1425" s="66"/>
      <c r="D1425" s="109"/>
      <c r="E1425" s="68"/>
      <c r="F1425" s="77"/>
      <c r="G1425" s="297"/>
      <c r="H1425" s="304"/>
      <c r="I1425" s="226"/>
      <c r="J1425" s="351"/>
      <c r="K1425" s="69"/>
      <c r="L1425" s="286"/>
      <c r="M1425" s="116"/>
      <c r="N1425" s="213"/>
    </row>
    <row r="1426" spans="2:14" x14ac:dyDescent="0.35">
      <c r="B1426" s="91"/>
      <c r="C1426" s="66"/>
      <c r="D1426" s="109"/>
      <c r="E1426" s="68"/>
      <c r="F1426" s="68"/>
      <c r="G1426" s="297"/>
      <c r="H1426" s="304"/>
      <c r="I1426" s="226"/>
      <c r="J1426" s="351"/>
      <c r="K1426" s="69"/>
      <c r="L1426" s="286"/>
      <c r="M1426" s="116"/>
      <c r="N1426" s="213"/>
    </row>
    <row r="1427" spans="2:14" x14ac:dyDescent="0.35">
      <c r="B1427" s="91"/>
      <c r="C1427" s="66"/>
      <c r="D1427" s="109"/>
      <c r="E1427" s="68"/>
      <c r="F1427" s="77"/>
      <c r="G1427" s="26"/>
      <c r="H1427" s="304"/>
      <c r="I1427" s="226"/>
      <c r="J1427" s="351"/>
      <c r="K1427" s="69"/>
      <c r="L1427" s="286"/>
      <c r="M1427" s="116"/>
      <c r="N1427" s="213"/>
    </row>
    <row r="1428" spans="2:14" x14ac:dyDescent="0.3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x14ac:dyDescent="0.3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x14ac:dyDescent="0.3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x14ac:dyDescent="0.3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x14ac:dyDescent="0.3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x14ac:dyDescent="0.3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x14ac:dyDescent="0.35">
      <c r="B1434" s="65"/>
      <c r="C1434" s="23"/>
      <c r="D1434" s="37"/>
      <c r="E1434" s="60"/>
      <c r="F1434" s="26"/>
      <c r="G1434" s="26"/>
      <c r="H1434" s="304"/>
      <c r="I1434" s="226"/>
      <c r="J1434" s="351"/>
      <c r="K1434" s="69"/>
      <c r="L1434" s="286"/>
      <c r="M1434" s="116"/>
      <c r="N1434" s="213"/>
    </row>
    <row r="1435" spans="2:14" x14ac:dyDescent="0.35">
      <c r="B1435" s="65"/>
      <c r="C1435" s="66"/>
      <c r="D1435" s="109"/>
      <c r="E1435" s="68"/>
      <c r="F1435" s="77"/>
      <c r="G1435" s="297"/>
      <c r="H1435" s="304"/>
      <c r="I1435" s="226"/>
      <c r="J1435" s="351"/>
      <c r="K1435" s="69"/>
      <c r="L1435" s="286"/>
      <c r="M1435" s="116"/>
      <c r="N1435" s="213"/>
    </row>
    <row r="1436" spans="2:14" x14ac:dyDescent="0.35">
      <c r="B1436" s="65"/>
      <c r="C1436" s="78"/>
      <c r="D1436" s="109"/>
      <c r="E1436" s="68"/>
      <c r="F1436" s="77"/>
      <c r="G1436" s="306"/>
      <c r="H1436" s="216"/>
      <c r="I1436" s="294"/>
      <c r="J1436" s="349"/>
      <c r="K1436" s="69"/>
      <c r="L1436" s="217"/>
      <c r="M1436" s="116"/>
      <c r="N1436" s="213"/>
    </row>
    <row r="1437" spans="2:14" x14ac:dyDescent="0.35">
      <c r="B1437" s="91"/>
      <c r="C1437" s="78"/>
      <c r="D1437" s="109"/>
      <c r="E1437" s="68"/>
      <c r="F1437" s="77"/>
      <c r="G1437" s="303"/>
      <c r="H1437" s="304"/>
      <c r="I1437" s="226"/>
      <c r="J1437" s="351"/>
      <c r="K1437" s="69"/>
      <c r="L1437" s="286"/>
      <c r="M1437" s="116"/>
      <c r="N1437" s="213"/>
    </row>
    <row r="1438" spans="2:14" x14ac:dyDescent="0.3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x14ac:dyDescent="0.3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x14ac:dyDescent="0.3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x14ac:dyDescent="0.3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x14ac:dyDescent="0.3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x14ac:dyDescent="0.3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x14ac:dyDescent="0.35">
      <c r="B1444" s="91"/>
      <c r="C1444" s="23"/>
      <c r="D1444" s="37"/>
      <c r="E1444" s="60"/>
      <c r="F1444" s="26"/>
      <c r="G1444" s="104"/>
      <c r="H1444" s="304"/>
      <c r="I1444" s="226"/>
      <c r="J1444" s="351"/>
      <c r="K1444" s="69"/>
      <c r="L1444" s="286"/>
      <c r="M1444" s="116"/>
      <c r="N1444" s="213"/>
    </row>
    <row r="1445" spans="2:14" x14ac:dyDescent="0.3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x14ac:dyDescent="0.3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x14ac:dyDescent="0.35">
      <c r="B1447" s="65"/>
      <c r="C1447" s="23"/>
      <c r="D1447" s="291"/>
      <c r="E1447" s="292"/>
      <c r="F1447" s="305"/>
      <c r="G1447" s="285"/>
      <c r="H1447" s="304"/>
      <c r="I1447" s="226"/>
      <c r="J1447" s="351"/>
      <c r="K1447" s="69"/>
      <c r="L1447" s="286"/>
      <c r="M1447" s="116"/>
      <c r="N1447" s="213"/>
    </row>
    <row r="1448" spans="2:14" x14ac:dyDescent="0.3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x14ac:dyDescent="0.3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x14ac:dyDescent="0.3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80"/>
      <c r="L1450" s="286"/>
      <c r="M1450" s="116"/>
      <c r="N1450" s="213"/>
    </row>
    <row r="1451" spans="2:14" x14ac:dyDescent="0.35">
      <c r="B1451" s="91"/>
      <c r="C1451" s="23"/>
      <c r="D1451" s="37"/>
      <c r="E1451" s="60"/>
      <c r="F1451" s="26"/>
      <c r="G1451" s="104"/>
      <c r="H1451" s="304"/>
      <c r="I1451" s="226"/>
      <c r="J1451" s="351"/>
      <c r="K1451" s="69"/>
      <c r="L1451" s="286"/>
      <c r="M1451" s="116"/>
      <c r="N1451" s="213"/>
    </row>
    <row r="1452" spans="2:14" x14ac:dyDescent="0.3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27"/>
      <c r="L1452" s="286"/>
      <c r="M1452" s="116"/>
      <c r="N1452" s="213"/>
    </row>
    <row r="1453" spans="2:14" x14ac:dyDescent="0.3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69"/>
      <c r="L1453" s="286"/>
      <c r="M1453" s="116"/>
      <c r="N1453" s="213"/>
    </row>
    <row r="1454" spans="2:14" x14ac:dyDescent="0.35">
      <c r="B1454" s="91"/>
      <c r="C1454" s="78"/>
      <c r="D1454" s="109"/>
      <c r="E1454" s="68"/>
      <c r="F1454" s="77"/>
      <c r="G1454" s="215"/>
      <c r="H1454" s="304"/>
      <c r="I1454" s="226"/>
      <c r="J1454" s="351"/>
      <c r="K1454" s="69"/>
      <c r="L1454" s="286"/>
      <c r="M1454" s="116"/>
      <c r="N1454" s="213"/>
    </row>
    <row r="1455" spans="2:14" x14ac:dyDescent="0.35">
      <c r="B1455" s="91"/>
      <c r="C1455" s="66"/>
      <c r="D1455" s="109"/>
      <c r="E1455" s="68"/>
      <c r="F1455" s="77"/>
      <c r="G1455" s="297"/>
      <c r="H1455" s="304"/>
      <c r="I1455" s="226"/>
      <c r="J1455" s="351"/>
      <c r="K1455" s="69"/>
      <c r="L1455" s="286"/>
      <c r="M1455" s="116"/>
      <c r="N1455" s="213"/>
    </row>
    <row r="1456" spans="2:14" x14ac:dyDescent="0.35">
      <c r="B1456" s="91"/>
      <c r="C1456" s="66"/>
      <c r="D1456" s="109"/>
      <c r="E1456" s="68"/>
      <c r="F1456" s="77"/>
      <c r="G1456" s="26"/>
      <c r="H1456" s="304"/>
      <c r="I1456" s="226"/>
      <c r="J1456" s="351"/>
      <c r="K1456" s="69"/>
      <c r="L1456" s="286"/>
      <c r="M1456" s="116"/>
      <c r="N1456" s="213"/>
    </row>
    <row r="1457" spans="2:14" x14ac:dyDescent="0.35">
      <c r="B1457" s="91"/>
      <c r="C1457" s="78"/>
      <c r="D1457" s="109"/>
      <c r="E1457" s="68"/>
      <c r="F1457" s="77"/>
      <c r="G1457" s="215"/>
      <c r="H1457" s="304"/>
      <c r="I1457" s="226"/>
      <c r="J1457" s="351"/>
      <c r="K1457" s="69"/>
      <c r="L1457" s="286"/>
      <c r="M1457" s="116"/>
      <c r="N1457" s="213"/>
    </row>
    <row r="1458" spans="2:14" x14ac:dyDescent="0.3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69"/>
      <c r="L1458" s="286"/>
      <c r="M1458" s="116"/>
      <c r="N1458" s="213"/>
    </row>
    <row r="1459" spans="2:14" x14ac:dyDescent="0.3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291"/>
      <c r="L1459" s="286"/>
      <c r="M1459" s="116"/>
      <c r="N1459" s="213"/>
    </row>
    <row r="1460" spans="2:14" x14ac:dyDescent="0.35">
      <c r="B1460" s="65"/>
      <c r="C1460" s="66"/>
      <c r="D1460" s="109"/>
      <c r="E1460" s="68"/>
      <c r="F1460" s="77"/>
      <c r="G1460" s="104"/>
      <c r="H1460" s="304"/>
      <c r="I1460" s="226"/>
      <c r="J1460" s="351"/>
      <c r="K1460" s="69"/>
      <c r="L1460" s="286"/>
      <c r="M1460" s="116"/>
      <c r="N1460" s="213"/>
    </row>
    <row r="1461" spans="2:14" x14ac:dyDescent="0.35">
      <c r="B1461" s="65"/>
      <c r="C1461" s="66"/>
      <c r="D1461" s="109"/>
      <c r="E1461" s="68"/>
      <c r="F1461" s="77"/>
      <c r="G1461" s="297"/>
      <c r="H1461" s="304"/>
      <c r="I1461" s="226"/>
      <c r="J1461" s="351"/>
      <c r="K1461" s="69"/>
      <c r="L1461" s="286"/>
      <c r="M1461" s="116"/>
      <c r="N1461" s="213"/>
    </row>
    <row r="1462" spans="2:14" x14ac:dyDescent="0.35">
      <c r="B1462" s="65"/>
      <c r="C1462" s="287"/>
      <c r="D1462" s="287"/>
      <c r="E1462" s="307"/>
      <c r="F1462" s="308"/>
      <c r="G1462" s="308"/>
      <c r="H1462" s="304"/>
      <c r="I1462" s="226"/>
      <c r="J1462" s="351"/>
      <c r="K1462" s="69"/>
      <c r="L1462" s="286"/>
      <c r="M1462" s="116"/>
      <c r="N1462" s="213"/>
    </row>
    <row r="1463" spans="2:14" x14ac:dyDescent="0.35">
      <c r="B1463" s="65"/>
      <c r="C1463" s="78"/>
      <c r="D1463" s="109"/>
      <c r="E1463" s="68"/>
      <c r="F1463" s="77"/>
      <c r="G1463" s="215"/>
      <c r="H1463" s="216"/>
      <c r="I1463" s="294"/>
      <c r="J1463" s="349"/>
      <c r="K1463" s="69"/>
      <c r="L1463" s="286"/>
      <c r="M1463" s="116"/>
      <c r="N1463" s="213"/>
    </row>
    <row r="1464" spans="2:14" x14ac:dyDescent="0.3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x14ac:dyDescent="0.3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x14ac:dyDescent="0.3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x14ac:dyDescent="0.3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x14ac:dyDescent="0.3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x14ac:dyDescent="0.3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x14ac:dyDescent="0.3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x14ac:dyDescent="0.3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x14ac:dyDescent="0.35">
      <c r="B1472" s="65"/>
      <c r="C1472" s="78"/>
      <c r="D1472" s="109"/>
      <c r="E1472" s="68"/>
      <c r="F1472" s="77"/>
      <c r="G1472" s="309"/>
      <c r="H1472" s="216"/>
      <c r="I1472" s="294"/>
      <c r="J1472" s="349"/>
      <c r="K1472" s="69"/>
      <c r="L1472" s="217"/>
      <c r="M1472" s="116"/>
      <c r="N1472" s="213"/>
    </row>
    <row r="1473" spans="2:14" x14ac:dyDescent="0.3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x14ac:dyDescent="0.3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x14ac:dyDescent="0.3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x14ac:dyDescent="0.3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x14ac:dyDescent="0.35">
      <c r="B1477" s="65"/>
      <c r="C1477" s="66"/>
      <c r="D1477" s="109"/>
      <c r="E1477" s="68"/>
      <c r="F1477" s="77"/>
      <c r="G1477" s="311"/>
      <c r="H1477" s="121"/>
      <c r="I1477" s="107"/>
      <c r="J1477" s="352"/>
      <c r="K1477" s="69"/>
      <c r="L1477" s="286"/>
      <c r="M1477" s="116"/>
      <c r="N1477" s="213"/>
    </row>
    <row r="1478" spans="2:14" x14ac:dyDescent="0.35">
      <c r="B1478" s="65"/>
      <c r="C1478" s="66"/>
      <c r="D1478" s="109"/>
      <c r="E1478" s="68"/>
      <c r="F1478" s="77"/>
      <c r="G1478" s="297"/>
      <c r="H1478" s="121"/>
      <c r="I1478" s="107"/>
      <c r="J1478" s="352"/>
      <c r="K1478" s="69"/>
      <c r="L1478" s="286"/>
      <c r="M1478" s="116"/>
      <c r="N1478" s="213"/>
    </row>
    <row r="1479" spans="2:14" x14ac:dyDescent="0.35">
      <c r="B1479" s="65"/>
      <c r="C1479" s="66"/>
      <c r="D1479" s="109"/>
      <c r="E1479" s="68"/>
      <c r="F1479" s="77"/>
      <c r="G1479" s="104"/>
      <c r="H1479" s="121"/>
      <c r="I1479" s="107"/>
      <c r="J1479" s="352"/>
      <c r="K1479" s="69"/>
      <c r="L1479" s="286"/>
      <c r="M1479" s="116"/>
      <c r="N1479" s="213"/>
    </row>
    <row r="1480" spans="2:14" x14ac:dyDescent="0.35">
      <c r="B1480" s="65"/>
      <c r="C1480" s="66"/>
      <c r="D1480" s="109"/>
      <c r="E1480" s="68"/>
      <c r="F1480" s="77"/>
      <c r="G1480" s="297"/>
      <c r="H1480" s="121"/>
      <c r="I1480" s="107"/>
      <c r="J1480" s="352"/>
      <c r="K1480" s="69"/>
      <c r="L1480" s="286"/>
      <c r="M1480" s="116"/>
      <c r="N1480" s="213"/>
    </row>
    <row r="1481" spans="2:14" x14ac:dyDescent="0.35">
      <c r="B1481" s="91"/>
      <c r="C1481" s="78"/>
      <c r="D1481" s="109"/>
      <c r="E1481" s="68"/>
      <c r="F1481" s="77"/>
      <c r="G1481" s="312"/>
      <c r="H1481" s="121"/>
      <c r="I1481" s="107"/>
      <c r="J1481" s="352"/>
      <c r="K1481" s="69"/>
      <c r="L1481" s="286"/>
      <c r="M1481" s="116"/>
      <c r="N1481" s="213"/>
    </row>
    <row r="1482" spans="2:14" x14ac:dyDescent="0.35">
      <c r="B1482" s="91"/>
      <c r="C1482" s="66"/>
      <c r="D1482" s="109"/>
      <c r="E1482" s="68"/>
      <c r="F1482" s="77"/>
      <c r="G1482" s="104"/>
      <c r="H1482" s="121"/>
      <c r="I1482" s="107"/>
      <c r="J1482" s="352"/>
      <c r="K1482" s="69"/>
      <c r="L1482" s="286"/>
      <c r="M1482" s="116"/>
      <c r="N1482" s="213"/>
    </row>
    <row r="1483" spans="2:14" x14ac:dyDescent="0.35">
      <c r="B1483" s="91"/>
      <c r="C1483" s="66"/>
      <c r="D1483" s="109"/>
      <c r="E1483" s="68"/>
      <c r="F1483" s="68"/>
      <c r="G1483" s="104"/>
      <c r="H1483" s="121"/>
      <c r="I1483" s="107"/>
      <c r="J1483" s="352"/>
      <c r="K1483" s="69"/>
      <c r="L1483" s="286"/>
      <c r="M1483" s="116"/>
      <c r="N1483" s="213"/>
    </row>
    <row r="1484" spans="2:14" x14ac:dyDescent="0.35">
      <c r="B1484" s="91"/>
      <c r="C1484" s="66"/>
      <c r="D1484" s="109"/>
      <c r="E1484" s="68"/>
      <c r="F1484" s="77"/>
      <c r="G1484" s="297"/>
      <c r="H1484" s="121"/>
      <c r="I1484" s="107"/>
      <c r="J1484" s="352"/>
      <c r="K1484" s="69"/>
      <c r="L1484" s="286"/>
      <c r="M1484" s="116"/>
      <c r="N1484" s="213"/>
    </row>
    <row r="1485" spans="2:14" x14ac:dyDescent="0.3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x14ac:dyDescent="0.3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x14ac:dyDescent="0.3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x14ac:dyDescent="0.35">
      <c r="B1488" s="65"/>
      <c r="C1488" s="78"/>
      <c r="D1488" s="109"/>
      <c r="E1488" s="68"/>
      <c r="F1488" s="77"/>
      <c r="G1488" s="312"/>
      <c r="H1488" s="313"/>
      <c r="I1488" s="314"/>
      <c r="J1488" s="353"/>
      <c r="K1488" s="69"/>
      <c r="L1488" s="286"/>
      <c r="M1488" s="116"/>
      <c r="N1488" s="213"/>
    </row>
    <row r="1489" spans="2:14" x14ac:dyDescent="0.3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x14ac:dyDescent="0.3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x14ac:dyDescent="0.3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x14ac:dyDescent="0.3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x14ac:dyDescent="0.3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x14ac:dyDescent="0.35">
      <c r="B1494" s="91"/>
      <c r="C1494" s="78"/>
      <c r="D1494" s="109"/>
      <c r="E1494" s="68"/>
      <c r="F1494" s="77"/>
      <c r="G1494" s="312"/>
      <c r="H1494" s="313"/>
      <c r="I1494" s="314"/>
      <c r="J1494" s="353"/>
      <c r="K1494" s="69"/>
      <c r="L1494" s="286"/>
      <c r="M1494" s="116"/>
      <c r="N1494" s="213"/>
    </row>
    <row r="1495" spans="2:14" x14ac:dyDescent="0.3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x14ac:dyDescent="0.3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x14ac:dyDescent="0.35">
      <c r="B1497" s="91"/>
      <c r="C1497" s="78"/>
      <c r="D1497" s="109"/>
      <c r="E1497" s="68"/>
      <c r="F1497" s="77"/>
      <c r="G1497" s="312"/>
      <c r="H1497" s="121"/>
      <c r="I1497" s="107"/>
      <c r="J1497" s="352"/>
      <c r="K1497" s="69"/>
      <c r="L1497" s="286"/>
      <c r="M1497" s="116"/>
      <c r="N1497" s="213"/>
    </row>
    <row r="1498" spans="2:14" x14ac:dyDescent="0.35">
      <c r="B1498" s="91"/>
      <c r="C1498" s="66"/>
      <c r="D1498" s="109"/>
      <c r="E1498" s="68"/>
      <c r="F1498" s="77"/>
      <c r="G1498" s="104"/>
      <c r="H1498" s="121"/>
      <c r="I1498" s="107"/>
      <c r="J1498" s="352"/>
      <c r="K1498" s="69"/>
      <c r="L1498" s="286"/>
      <c r="M1498" s="116"/>
      <c r="N1498" s="213"/>
    </row>
    <row r="1499" spans="2:14" x14ac:dyDescent="0.35">
      <c r="B1499" s="91"/>
      <c r="C1499" s="78"/>
      <c r="D1499" s="109"/>
      <c r="E1499" s="68"/>
      <c r="F1499" s="77"/>
      <c r="G1499" s="312"/>
      <c r="H1499" s="121"/>
      <c r="I1499" s="107"/>
      <c r="J1499" s="352"/>
      <c r="K1499" s="69"/>
      <c r="L1499" s="286"/>
      <c r="M1499" s="116"/>
      <c r="N1499" s="213"/>
    </row>
    <row r="1500" spans="2:14" x14ac:dyDescent="0.35">
      <c r="B1500" s="6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x14ac:dyDescent="0.35">
      <c r="B1501" s="31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x14ac:dyDescent="0.35">
      <c r="B1502" s="316"/>
      <c r="C1502" s="66"/>
      <c r="D1502" s="109"/>
      <c r="E1502" s="68"/>
      <c r="F1502" s="77"/>
      <c r="G1502" s="104"/>
      <c r="H1502" s="121"/>
      <c r="I1502" s="107"/>
      <c r="J1502" s="352"/>
      <c r="K1502" s="69"/>
      <c r="L1502" s="126"/>
      <c r="M1502" s="116"/>
      <c r="N1502" s="218"/>
    </row>
    <row r="1503" spans="2:14" x14ac:dyDescent="0.35">
      <c r="B1503" s="316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126"/>
      <c r="M1503" s="116"/>
      <c r="N1503" s="218"/>
    </row>
    <row r="1504" spans="2:14" x14ac:dyDescent="0.35">
      <c r="B1504" s="315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217"/>
      <c r="M1504" s="116"/>
      <c r="N1504" s="213"/>
    </row>
    <row r="1505" spans="2:14" x14ac:dyDescent="0.35">
      <c r="B1505" s="91"/>
      <c r="C1505" s="66"/>
      <c r="D1505" s="109"/>
      <c r="E1505" s="68"/>
      <c r="F1505" s="77"/>
      <c r="G1505" s="104"/>
      <c r="H1505" s="121"/>
      <c r="I1505" s="107"/>
      <c r="J1505" s="352"/>
      <c r="K1505" s="69"/>
      <c r="L1505" s="126"/>
      <c r="M1505" s="116"/>
      <c r="N1505" s="218"/>
    </row>
    <row r="1506" spans="2:14" x14ac:dyDescent="0.35">
      <c r="B1506" s="91"/>
      <c r="C1506" s="317"/>
      <c r="D1506" s="65"/>
      <c r="E1506" s="68"/>
      <c r="F1506" s="117"/>
      <c r="G1506" s="117"/>
      <c r="H1506" s="121"/>
      <c r="I1506" s="107"/>
      <c r="J1506" s="352"/>
      <c r="K1506" s="69"/>
      <c r="L1506" s="126"/>
      <c r="M1506" s="116"/>
      <c r="N1506" s="218"/>
    </row>
    <row r="1507" spans="2:14" x14ac:dyDescent="0.3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x14ac:dyDescent="0.3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x14ac:dyDescent="0.3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x14ac:dyDescent="0.3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x14ac:dyDescent="0.3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x14ac:dyDescent="0.35">
      <c r="B1512" s="65"/>
      <c r="C1512" s="78"/>
      <c r="D1512" s="109"/>
      <c r="E1512" s="68"/>
      <c r="F1512" s="77"/>
      <c r="G1512" s="312"/>
      <c r="H1512" s="313"/>
      <c r="I1512" s="107"/>
      <c r="J1512" s="352"/>
      <c r="K1512" s="69"/>
      <c r="L1512" s="126"/>
      <c r="M1512" s="116"/>
      <c r="N1512" s="213"/>
    </row>
    <row r="1513" spans="2:14" x14ac:dyDescent="0.35">
      <c r="B1513" s="65"/>
      <c r="C1513" s="78"/>
      <c r="D1513" s="109"/>
      <c r="E1513" s="68"/>
      <c r="F1513" s="77"/>
      <c r="G1513" s="312"/>
      <c r="H1513" s="313"/>
      <c r="I1513" s="314"/>
      <c r="J1513" s="353"/>
      <c r="K1513" s="69"/>
      <c r="L1513" s="126"/>
      <c r="M1513" s="116"/>
      <c r="N1513" s="213"/>
    </row>
    <row r="1514" spans="2:14" x14ac:dyDescent="0.3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x14ac:dyDescent="0.3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x14ac:dyDescent="0.3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217"/>
      <c r="M1516" s="116"/>
      <c r="N1516" s="213"/>
    </row>
    <row r="1517" spans="2:14" x14ac:dyDescent="0.35">
      <c r="B1517" s="65"/>
      <c r="C1517" s="78"/>
      <c r="D1517" s="109"/>
      <c r="E1517" s="68"/>
      <c r="F1517" s="77"/>
      <c r="G1517" s="312"/>
      <c r="H1517" s="313"/>
      <c r="I1517" s="314"/>
      <c r="J1517" s="353"/>
      <c r="K1517" s="69"/>
      <c r="L1517" s="217"/>
      <c r="M1517" s="116"/>
      <c r="N1517" s="213"/>
    </row>
    <row r="1518" spans="2:14" x14ac:dyDescent="0.35">
      <c r="B1518" s="65"/>
      <c r="C1518" s="66"/>
      <c r="D1518" s="109"/>
      <c r="E1518" s="68"/>
      <c r="F1518" s="77"/>
      <c r="G1518" s="104"/>
      <c r="H1518" s="121"/>
      <c r="I1518" s="107"/>
      <c r="J1518" s="352"/>
      <c r="K1518" s="69"/>
      <c r="L1518" s="217"/>
      <c r="M1518" s="116"/>
      <c r="N1518" s="213"/>
    </row>
    <row r="1519" spans="2:14" x14ac:dyDescent="0.35">
      <c r="B1519" s="65"/>
      <c r="C1519" s="78"/>
      <c r="D1519" s="109"/>
      <c r="E1519" s="68"/>
      <c r="F1519" s="77"/>
      <c r="G1519" s="312"/>
      <c r="H1519" s="313"/>
      <c r="I1519" s="107"/>
      <c r="J1519" s="352"/>
      <c r="K1519" s="69"/>
      <c r="L1519" s="286"/>
      <c r="M1519" s="116"/>
      <c r="N1519" s="213"/>
    </row>
    <row r="1520" spans="2:14" x14ac:dyDescent="0.3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x14ac:dyDescent="0.3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x14ac:dyDescent="0.3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x14ac:dyDescent="0.3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x14ac:dyDescent="0.3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x14ac:dyDescent="0.3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x14ac:dyDescent="0.35">
      <c r="B1526" s="91"/>
      <c r="C1526" s="66"/>
      <c r="D1526" s="109"/>
      <c r="E1526" s="68"/>
      <c r="F1526" s="77"/>
      <c r="G1526" s="104"/>
      <c r="H1526" s="121"/>
      <c r="I1526" s="107"/>
      <c r="J1526" s="352"/>
      <c r="K1526" s="69"/>
      <c r="L1526" s="126"/>
      <c r="M1526" s="116"/>
      <c r="N1526" s="218"/>
    </row>
    <row r="1527" spans="2:14" x14ac:dyDescent="0.35">
      <c r="B1527" s="91"/>
      <c r="C1527" s="66"/>
      <c r="D1527" s="109"/>
      <c r="E1527" s="68"/>
      <c r="F1527" s="77"/>
      <c r="G1527" s="104"/>
      <c r="H1527" s="123"/>
      <c r="I1527" s="107"/>
      <c r="J1527" s="352"/>
      <c r="K1527" s="69"/>
      <c r="L1527" s="126"/>
      <c r="M1527" s="116"/>
      <c r="N1527" s="218"/>
    </row>
    <row r="1528" spans="2:14" x14ac:dyDescent="0.35">
      <c r="B1528" s="91"/>
      <c r="C1528" s="66"/>
      <c r="D1528" s="109"/>
      <c r="E1528" s="68"/>
      <c r="F1528" s="77"/>
      <c r="G1528" s="104"/>
      <c r="H1528" s="121"/>
      <c r="I1528" s="107"/>
      <c r="J1528" s="352"/>
      <c r="K1528" s="80"/>
      <c r="L1528" s="126"/>
      <c r="M1528" s="117"/>
      <c r="N1528" s="218"/>
    </row>
    <row r="1529" spans="2:14" x14ac:dyDescent="0.35">
      <c r="B1529" s="37"/>
      <c r="C1529" s="66"/>
      <c r="D1529" s="109"/>
      <c r="E1529" s="68"/>
      <c r="F1529" s="77"/>
      <c r="G1529" s="104"/>
      <c r="H1529" s="123"/>
      <c r="I1529" s="107"/>
      <c r="J1529" s="352"/>
      <c r="K1529" s="80"/>
      <c r="L1529" s="126"/>
      <c r="M1529" s="116"/>
      <c r="N1529" s="218"/>
    </row>
    <row r="1530" spans="2:14" x14ac:dyDescent="0.35">
      <c r="B1530" s="37"/>
      <c r="C1530" s="66"/>
      <c r="D1530" s="109"/>
      <c r="E1530" s="68"/>
      <c r="F1530" s="68"/>
      <c r="G1530" s="104"/>
      <c r="H1530" s="121"/>
      <c r="I1530" s="107"/>
      <c r="J1530" s="352"/>
      <c r="K1530" s="69"/>
      <c r="L1530" s="126"/>
      <c r="M1530" s="116"/>
      <c r="N1530" s="218"/>
    </row>
    <row r="1531" spans="2:14" x14ac:dyDescent="0.35">
      <c r="B1531" s="37"/>
      <c r="C1531" s="317"/>
      <c r="D1531" s="65"/>
      <c r="E1531" s="68"/>
      <c r="F1531" s="117"/>
      <c r="G1531" s="117"/>
      <c r="H1531" s="121"/>
      <c r="I1531" s="107"/>
      <c r="J1531" s="352"/>
      <c r="K1531" s="69"/>
      <c r="L1531" s="126"/>
      <c r="M1531" s="116"/>
      <c r="N1531" s="218"/>
    </row>
    <row r="1532" spans="2:14" x14ac:dyDescent="0.3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x14ac:dyDescent="0.3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x14ac:dyDescent="0.3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x14ac:dyDescent="0.3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x14ac:dyDescent="0.3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x14ac:dyDescent="0.3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x14ac:dyDescent="0.35">
      <c r="B1538" s="65"/>
      <c r="C1538" s="78"/>
      <c r="D1538" s="109"/>
      <c r="E1538" s="68"/>
      <c r="F1538" s="77"/>
      <c r="G1538" s="312"/>
      <c r="H1538" s="313"/>
      <c r="I1538" s="314"/>
      <c r="J1538" s="353"/>
      <c r="K1538" s="69"/>
      <c r="L1538" s="217"/>
      <c r="M1538" s="116"/>
      <c r="N1538" s="213"/>
    </row>
    <row r="1539" spans="2:14" x14ac:dyDescent="0.35">
      <c r="B1539" s="91"/>
      <c r="C1539" s="66"/>
      <c r="D1539" s="109"/>
      <c r="E1539" s="68"/>
      <c r="F1539" s="77"/>
      <c r="G1539" s="104"/>
      <c r="H1539" s="121"/>
      <c r="I1539" s="107"/>
      <c r="J1539" s="352"/>
      <c r="K1539" s="69"/>
      <c r="L1539" s="126"/>
      <c r="M1539" s="116"/>
      <c r="N1539" s="218"/>
    </row>
    <row r="1540" spans="2:14" x14ac:dyDescent="0.35">
      <c r="B1540" s="65"/>
      <c r="C1540" s="78"/>
      <c r="D1540" s="109"/>
      <c r="E1540" s="68"/>
      <c r="F1540" s="77"/>
      <c r="G1540" s="312"/>
      <c r="H1540" s="313"/>
      <c r="I1540" s="314"/>
      <c r="J1540" s="353"/>
      <c r="K1540" s="69"/>
      <c r="L1540" s="217"/>
      <c r="M1540" s="116"/>
      <c r="N1540" s="213"/>
    </row>
    <row r="1541" spans="2:14" x14ac:dyDescent="0.3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x14ac:dyDescent="0.3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x14ac:dyDescent="0.35">
      <c r="B1543" s="91"/>
      <c r="C1543" s="78"/>
      <c r="D1543" s="109"/>
      <c r="E1543" s="68"/>
      <c r="F1543" s="77"/>
      <c r="G1543" s="312"/>
      <c r="H1543" s="313"/>
      <c r="I1543" s="107"/>
      <c r="J1543" s="352"/>
      <c r="K1543" s="69"/>
      <c r="L1543" s="126"/>
      <c r="M1543" s="116"/>
      <c r="N1543" s="218"/>
    </row>
    <row r="1544" spans="2:14" x14ac:dyDescent="0.3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x14ac:dyDescent="0.3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x14ac:dyDescent="0.3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x14ac:dyDescent="0.3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x14ac:dyDescent="0.3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x14ac:dyDescent="0.3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x14ac:dyDescent="0.3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x14ac:dyDescent="0.3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x14ac:dyDescent="0.3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x14ac:dyDescent="0.35">
      <c r="B1553" s="65"/>
      <c r="C1553" s="78"/>
      <c r="D1553" s="109"/>
      <c r="E1553" s="68"/>
      <c r="F1553" s="77"/>
      <c r="G1553" s="312"/>
      <c r="H1553" s="313"/>
      <c r="I1553" s="107"/>
      <c r="J1553" s="352"/>
      <c r="K1553" s="69"/>
      <c r="L1553" s="126"/>
      <c r="M1553" s="116"/>
      <c r="N1553" s="218"/>
    </row>
    <row r="1554" spans="2:14" x14ac:dyDescent="0.3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x14ac:dyDescent="0.3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x14ac:dyDescent="0.3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x14ac:dyDescent="0.3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x14ac:dyDescent="0.35">
      <c r="B1558" s="65"/>
      <c r="C1558" s="66"/>
      <c r="D1558" s="109"/>
      <c r="E1558" s="68"/>
      <c r="F1558" s="68"/>
      <c r="G1558" s="104"/>
      <c r="H1558" s="121"/>
      <c r="I1558" s="107"/>
      <c r="J1558" s="352"/>
      <c r="K1558" s="69"/>
      <c r="L1558" s="126"/>
      <c r="M1558" s="116"/>
      <c r="N1558" s="218"/>
    </row>
    <row r="1559" spans="2:14" x14ac:dyDescent="0.3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x14ac:dyDescent="0.3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x14ac:dyDescent="0.35">
      <c r="B1561" s="65"/>
      <c r="C1561" s="78"/>
      <c r="D1561" s="109"/>
      <c r="E1561" s="68"/>
      <c r="F1561" s="77"/>
      <c r="G1561" s="312"/>
      <c r="H1561" s="123"/>
      <c r="I1561" s="107"/>
      <c r="J1561" s="352"/>
      <c r="K1561" s="69"/>
      <c r="L1561" s="126"/>
      <c r="M1561" s="116"/>
      <c r="N1561" s="218"/>
    </row>
    <row r="1562" spans="2:14" x14ac:dyDescent="0.35">
      <c r="B1562" s="65"/>
      <c r="C1562" s="78"/>
      <c r="D1562" s="109"/>
      <c r="E1562" s="68"/>
      <c r="F1562" s="77"/>
      <c r="G1562" s="312"/>
      <c r="H1562" s="313"/>
      <c r="I1562" s="314"/>
      <c r="J1562" s="353"/>
      <c r="K1562" s="69"/>
      <c r="L1562" s="217"/>
      <c r="M1562" s="116"/>
      <c r="N1562" s="213"/>
    </row>
    <row r="1563" spans="2:14" x14ac:dyDescent="0.35">
      <c r="B1563" s="91"/>
      <c r="C1563" s="66"/>
      <c r="D1563" s="109"/>
      <c r="E1563" s="68"/>
      <c r="F1563" s="77"/>
      <c r="G1563" s="104"/>
      <c r="H1563" s="121"/>
      <c r="I1563" s="129"/>
      <c r="J1563" s="354"/>
      <c r="K1563" s="80"/>
      <c r="L1563" s="126"/>
      <c r="M1563" s="116"/>
      <c r="N1563" s="218"/>
    </row>
    <row r="1564" spans="2:14" x14ac:dyDescent="0.35">
      <c r="B1564" s="65"/>
      <c r="C1564" s="78"/>
      <c r="D1564" s="109"/>
      <c r="E1564" s="68"/>
      <c r="F1564" s="77"/>
      <c r="G1564" s="312"/>
      <c r="H1564" s="313"/>
      <c r="I1564" s="314"/>
      <c r="J1564" s="353"/>
      <c r="K1564" s="69"/>
      <c r="L1564" s="217"/>
      <c r="M1564" s="116"/>
      <c r="N1564" s="213"/>
    </row>
    <row r="1565" spans="2:14" x14ac:dyDescent="0.35">
      <c r="B1565" s="65"/>
      <c r="C1565" s="66"/>
      <c r="D1565" s="109"/>
      <c r="E1565" s="68"/>
      <c r="F1565" s="77"/>
      <c r="G1565" s="104"/>
      <c r="H1565" s="121"/>
      <c r="I1565" s="107"/>
      <c r="J1565" s="352"/>
      <c r="K1565" s="69"/>
      <c r="L1565" s="126"/>
      <c r="M1565" s="116"/>
      <c r="N1565" s="318"/>
    </row>
    <row r="1566" spans="2:14" x14ac:dyDescent="0.35">
      <c r="B1566" s="65"/>
      <c r="C1566" s="78"/>
      <c r="D1566" s="109"/>
      <c r="E1566" s="68"/>
      <c r="F1566" s="77"/>
      <c r="G1566" s="312"/>
      <c r="H1566" s="313"/>
      <c r="I1566" s="314"/>
      <c r="J1566" s="353"/>
      <c r="K1566" s="69"/>
      <c r="L1566" s="217"/>
      <c r="M1566" s="116"/>
      <c r="N1566" s="318"/>
    </row>
    <row r="1567" spans="2:14" x14ac:dyDescent="0.3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x14ac:dyDescent="0.3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x14ac:dyDescent="0.3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x14ac:dyDescent="0.3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x14ac:dyDescent="0.3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x14ac:dyDescent="0.3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x14ac:dyDescent="0.3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x14ac:dyDescent="0.3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x14ac:dyDescent="0.3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69"/>
      <c r="L1575" s="126"/>
      <c r="M1575" s="116"/>
      <c r="N1575" s="218"/>
    </row>
    <row r="1576" spans="2:14" x14ac:dyDescent="0.3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79"/>
      <c r="L1576" s="126"/>
      <c r="M1576" s="115"/>
      <c r="N1576" s="218"/>
    </row>
    <row r="1577" spans="2:14" x14ac:dyDescent="0.3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x14ac:dyDescent="0.3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x14ac:dyDescent="0.3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79"/>
      <c r="L1579" s="126"/>
      <c r="M1579" s="115"/>
      <c r="N1579" s="218"/>
    </row>
    <row r="1580" spans="2:14" x14ac:dyDescent="0.3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x14ac:dyDescent="0.3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x14ac:dyDescent="0.3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x14ac:dyDescent="0.3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x14ac:dyDescent="0.3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x14ac:dyDescent="0.35">
      <c r="B1585" s="65"/>
      <c r="C1585" s="78"/>
      <c r="D1585" s="109"/>
      <c r="E1585" s="68"/>
      <c r="F1585" s="77"/>
      <c r="G1585" s="312"/>
      <c r="H1585" s="313"/>
      <c r="I1585" s="107"/>
      <c r="J1585" s="352"/>
      <c r="K1585" s="69"/>
      <c r="L1585" s="126"/>
      <c r="M1585" s="116"/>
      <c r="N1585" s="218"/>
    </row>
    <row r="1586" spans="2:14" x14ac:dyDescent="0.35">
      <c r="B1586" s="65"/>
      <c r="C1586" s="66"/>
      <c r="D1586" s="109"/>
      <c r="E1586" s="68"/>
      <c r="F1586" s="77"/>
      <c r="G1586" s="104"/>
      <c r="H1586" s="121"/>
      <c r="I1586" s="107"/>
      <c r="J1586" s="352"/>
      <c r="K1586" s="69"/>
      <c r="L1586" s="126"/>
      <c r="M1586" s="116"/>
      <c r="N1586" s="218"/>
    </row>
    <row r="1587" spans="2:14" x14ac:dyDescent="0.35">
      <c r="B1587" s="65"/>
      <c r="C1587" s="66"/>
      <c r="D1587" s="109"/>
      <c r="E1587" s="68"/>
      <c r="F1587" s="77"/>
      <c r="G1587" s="104"/>
      <c r="H1587" s="123"/>
      <c r="I1587" s="107"/>
      <c r="J1587" s="352"/>
      <c r="K1587" s="69"/>
      <c r="L1587" s="126"/>
      <c r="M1587" s="116"/>
      <c r="N1587" s="218"/>
    </row>
    <row r="1588" spans="2:14" x14ac:dyDescent="0.3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x14ac:dyDescent="0.3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x14ac:dyDescent="0.35">
      <c r="B1590" s="65"/>
      <c r="C1590" s="78"/>
      <c r="D1590" s="109"/>
      <c r="E1590" s="68"/>
      <c r="F1590" s="77"/>
      <c r="G1590" s="312"/>
      <c r="H1590" s="313"/>
      <c r="I1590" s="107"/>
      <c r="J1590" s="352"/>
      <c r="K1590" s="69"/>
      <c r="L1590" s="126"/>
      <c r="M1590" s="116"/>
      <c r="N1590" s="218"/>
    </row>
    <row r="1591" spans="2:14" x14ac:dyDescent="0.35">
      <c r="B1591" s="65"/>
      <c r="C1591" s="78"/>
      <c r="D1591" s="109"/>
      <c r="E1591" s="68"/>
      <c r="F1591" s="77"/>
      <c r="G1591" s="312"/>
      <c r="H1591" s="313"/>
      <c r="I1591" s="314"/>
      <c r="J1591" s="353"/>
      <c r="K1591" s="69"/>
      <c r="L1591" s="217"/>
      <c r="M1591" s="116"/>
      <c r="N1591" s="213"/>
    </row>
    <row r="1592" spans="2:14" x14ac:dyDescent="0.35">
      <c r="B1592" s="91"/>
      <c r="C1592" s="66"/>
      <c r="D1592" s="109"/>
      <c r="E1592" s="68"/>
      <c r="F1592" s="77"/>
      <c r="G1592" s="104"/>
      <c r="H1592" s="121"/>
      <c r="I1592" s="107"/>
      <c r="J1592" s="352"/>
      <c r="K1592" s="69"/>
      <c r="L1592" s="126"/>
      <c r="M1592" s="116"/>
      <c r="N1592" s="218"/>
    </row>
    <row r="1593" spans="2:14" x14ac:dyDescent="0.35">
      <c r="B1593" s="65"/>
      <c r="C1593" s="78"/>
      <c r="D1593" s="109"/>
      <c r="E1593" s="68"/>
      <c r="F1593" s="77"/>
      <c r="G1593" s="312"/>
      <c r="H1593" s="313"/>
      <c r="I1593" s="314"/>
      <c r="J1593" s="353"/>
      <c r="K1593" s="69"/>
      <c r="L1593" s="217"/>
      <c r="M1593" s="116"/>
      <c r="N1593" s="213"/>
    </row>
    <row r="1594" spans="2:14" x14ac:dyDescent="0.3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x14ac:dyDescent="0.3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x14ac:dyDescent="0.3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x14ac:dyDescent="0.35">
      <c r="B1597" s="91"/>
      <c r="C1597" s="66"/>
      <c r="D1597" s="109"/>
      <c r="E1597" s="68"/>
      <c r="F1597" s="68"/>
      <c r="G1597" s="104"/>
      <c r="H1597" s="121"/>
      <c r="I1597" s="107"/>
      <c r="J1597" s="352"/>
      <c r="K1597" s="69"/>
      <c r="L1597" s="120"/>
      <c r="M1597" s="116"/>
      <c r="N1597" s="219"/>
    </row>
    <row r="1598" spans="2:14" x14ac:dyDescent="0.35">
      <c r="B1598" s="91"/>
      <c r="C1598" s="66"/>
      <c r="D1598" s="109"/>
      <c r="E1598" s="68"/>
      <c r="F1598" s="77"/>
      <c r="G1598" s="104"/>
      <c r="H1598" s="123"/>
      <c r="I1598" s="107"/>
      <c r="J1598" s="352"/>
      <c r="K1598" s="69"/>
      <c r="L1598" s="120"/>
      <c r="M1598" s="116"/>
      <c r="N1598" s="219"/>
    </row>
    <row r="1599" spans="2:14" x14ac:dyDescent="0.35">
      <c r="B1599" s="65"/>
      <c r="C1599" s="78"/>
      <c r="D1599" s="109"/>
      <c r="E1599" s="68"/>
      <c r="F1599" s="77"/>
      <c r="G1599" s="312"/>
      <c r="H1599" s="313"/>
      <c r="I1599" s="314"/>
      <c r="J1599" s="353"/>
      <c r="K1599" s="69"/>
      <c r="L1599" s="319"/>
      <c r="M1599" s="116"/>
      <c r="N1599" s="319"/>
    </row>
    <row r="1600" spans="2:14" x14ac:dyDescent="0.35">
      <c r="B1600" s="91"/>
      <c r="C1600" s="66"/>
      <c r="D1600" s="109"/>
      <c r="E1600" s="68"/>
      <c r="F1600" s="77"/>
      <c r="G1600" s="104"/>
      <c r="H1600" s="121"/>
      <c r="I1600" s="107"/>
      <c r="J1600" s="352"/>
      <c r="K1600" s="69"/>
      <c r="L1600" s="120"/>
      <c r="M1600" s="116"/>
      <c r="N1600" s="219"/>
    </row>
    <row r="1601" spans="2:14" x14ac:dyDescent="0.3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319"/>
      <c r="M1601" s="116"/>
      <c r="N1601" s="319"/>
    </row>
    <row r="1602" spans="2:14" x14ac:dyDescent="0.3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118"/>
      <c r="M1602" s="116"/>
      <c r="N1602" s="319"/>
    </row>
    <row r="1603" spans="2:14" x14ac:dyDescent="0.35">
      <c r="B1603" s="65"/>
      <c r="C1603" s="66"/>
      <c r="D1603" s="109"/>
      <c r="E1603" s="68"/>
      <c r="F1603" s="77"/>
      <c r="G1603" s="104"/>
      <c r="H1603" s="121"/>
      <c r="I1603" s="107"/>
      <c r="J1603" s="352"/>
      <c r="K1603" s="69"/>
      <c r="L1603" s="118"/>
      <c r="M1603" s="116"/>
      <c r="N1603" s="319"/>
    </row>
    <row r="1604" spans="2:14" x14ac:dyDescent="0.3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x14ac:dyDescent="0.3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x14ac:dyDescent="0.3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x14ac:dyDescent="0.35">
      <c r="B1607" s="65"/>
      <c r="C1607" s="66"/>
      <c r="D1607" s="109"/>
      <c r="E1607" s="68"/>
      <c r="F1607" s="68"/>
      <c r="G1607" s="104"/>
      <c r="H1607" s="121"/>
      <c r="I1607" s="107"/>
      <c r="J1607" s="352"/>
      <c r="K1607" s="69"/>
      <c r="L1607" s="120"/>
      <c r="M1607" s="116"/>
      <c r="N1607" s="219"/>
    </row>
    <row r="1608" spans="2:14" x14ac:dyDescent="0.35">
      <c r="B1608" s="65"/>
      <c r="C1608" s="78"/>
      <c r="D1608" s="109"/>
      <c r="E1608" s="68"/>
      <c r="F1608" s="77"/>
      <c r="G1608" s="312"/>
      <c r="H1608" s="313"/>
      <c r="I1608" s="314"/>
      <c r="J1608" s="353"/>
      <c r="K1608" s="69"/>
      <c r="L1608" s="120"/>
      <c r="M1608" s="116"/>
      <c r="N1608" s="219"/>
    </row>
    <row r="1609" spans="2:14" x14ac:dyDescent="0.35">
      <c r="B1609" s="65"/>
      <c r="C1609" s="66"/>
      <c r="D1609" s="109"/>
      <c r="E1609" s="68"/>
      <c r="F1609" s="77"/>
      <c r="G1609" s="104"/>
      <c r="H1609" s="123"/>
      <c r="I1609" s="107"/>
      <c r="J1609" s="352"/>
      <c r="K1609" s="69"/>
      <c r="L1609" s="120"/>
      <c r="M1609" s="116"/>
      <c r="N1609" s="219"/>
    </row>
    <row r="1610" spans="2:14" x14ac:dyDescent="0.3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x14ac:dyDescent="0.3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x14ac:dyDescent="0.35">
      <c r="B1612" s="65"/>
      <c r="C1612" s="66"/>
      <c r="D1612" s="109"/>
      <c r="E1612" s="68"/>
      <c r="F1612" s="77"/>
      <c r="G1612" s="104"/>
      <c r="H1612" s="123"/>
      <c r="I1612" s="107"/>
      <c r="J1612" s="352"/>
      <c r="K1612" s="69"/>
      <c r="L1612" s="120"/>
      <c r="M1612" s="116"/>
      <c r="N1612" s="219"/>
    </row>
    <row r="1613" spans="2:14" x14ac:dyDescent="0.35">
      <c r="B1613" s="65"/>
      <c r="C1613" s="66"/>
      <c r="D1613" s="109"/>
      <c r="E1613" s="68"/>
      <c r="F1613" s="77"/>
      <c r="G1613" s="312"/>
      <c r="H1613" s="123"/>
      <c r="I1613" s="107"/>
      <c r="J1613" s="352"/>
      <c r="K1613" s="69"/>
      <c r="L1613" s="120"/>
      <c r="M1613" s="116"/>
      <c r="N1613" s="219"/>
    </row>
    <row r="1614" spans="2:14" x14ac:dyDescent="0.3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x14ac:dyDescent="0.3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x14ac:dyDescent="0.35">
      <c r="B1616" s="91"/>
      <c r="C1616" s="78"/>
      <c r="D1616" s="109"/>
      <c r="E1616" s="68"/>
      <c r="F1616" s="77"/>
      <c r="G1616" s="312"/>
      <c r="H1616" s="313"/>
      <c r="I1616" s="314"/>
      <c r="J1616" s="353"/>
      <c r="K1616" s="69"/>
      <c r="L1616" s="120"/>
      <c r="M1616" s="116"/>
      <c r="N1616" s="219"/>
    </row>
    <row r="1617" spans="2:14" x14ac:dyDescent="0.3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x14ac:dyDescent="0.3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x14ac:dyDescent="0.35">
      <c r="B1619" s="91"/>
      <c r="C1619" s="66"/>
      <c r="D1619" s="109"/>
      <c r="E1619" s="68"/>
      <c r="F1619" s="77"/>
      <c r="G1619" s="104"/>
      <c r="H1619" s="121"/>
      <c r="I1619" s="107"/>
      <c r="J1619" s="352"/>
      <c r="K1619" s="69"/>
      <c r="L1619" s="120"/>
      <c r="M1619" s="116"/>
      <c r="N1619" s="219"/>
    </row>
    <row r="1620" spans="2:14" x14ac:dyDescent="0.35">
      <c r="B1620" s="91"/>
      <c r="C1620" s="66"/>
      <c r="D1620" s="109"/>
      <c r="E1620" s="68"/>
      <c r="F1620" s="77"/>
      <c r="G1620" s="104"/>
      <c r="H1620" s="123"/>
      <c r="I1620" s="107"/>
      <c r="J1620" s="352"/>
      <c r="K1620" s="69"/>
      <c r="L1620" s="120"/>
      <c r="M1620" s="116"/>
      <c r="N1620" s="219"/>
    </row>
    <row r="1621" spans="2:14" x14ac:dyDescent="0.3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x14ac:dyDescent="0.3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x14ac:dyDescent="0.3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319"/>
      <c r="M1623" s="116"/>
      <c r="N1623" s="319"/>
    </row>
    <row r="1624" spans="2:14" x14ac:dyDescent="0.35">
      <c r="B1624" s="91"/>
      <c r="C1624" s="66"/>
      <c r="D1624" s="109"/>
      <c r="E1624" s="68"/>
      <c r="F1624" s="68"/>
      <c r="G1624" s="104"/>
      <c r="H1624" s="121"/>
      <c r="I1624" s="107"/>
      <c r="J1624" s="352"/>
      <c r="K1624" s="69"/>
      <c r="L1624" s="118"/>
      <c r="M1624" s="116"/>
      <c r="N1624" s="319"/>
    </row>
    <row r="1625" spans="2:14" x14ac:dyDescent="0.3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x14ac:dyDescent="0.3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x14ac:dyDescent="0.35">
      <c r="B1627" s="65"/>
      <c r="C1627" s="66"/>
      <c r="D1627" s="109"/>
      <c r="E1627" s="68"/>
      <c r="F1627" s="77"/>
      <c r="G1627" s="104"/>
      <c r="H1627" s="121"/>
      <c r="I1627" s="107"/>
      <c r="J1627" s="352"/>
      <c r="K1627" s="69"/>
      <c r="L1627" s="319"/>
      <c r="M1627" s="116"/>
      <c r="N1627" s="319"/>
    </row>
    <row r="1628" spans="2:14" x14ac:dyDescent="0.3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x14ac:dyDescent="0.3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x14ac:dyDescent="0.3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19"/>
    </row>
    <row r="1631" spans="2:14" x14ac:dyDescent="0.3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20"/>
    </row>
    <row r="1632" spans="2:14" x14ac:dyDescent="0.35">
      <c r="B1632" s="91"/>
      <c r="C1632" s="66"/>
      <c r="D1632" s="109"/>
      <c r="E1632" s="68"/>
      <c r="F1632" s="68"/>
      <c r="G1632" s="104"/>
      <c r="H1632" s="123"/>
      <c r="I1632" s="107"/>
      <c r="J1632" s="352"/>
      <c r="K1632" s="69"/>
      <c r="L1632" s="120"/>
      <c r="M1632" s="116"/>
      <c r="N1632" s="320"/>
    </row>
    <row r="1633" spans="2:14" x14ac:dyDescent="0.35">
      <c r="B1633" s="91"/>
      <c r="C1633" s="66"/>
      <c r="D1633" s="109"/>
      <c r="E1633" s="68"/>
      <c r="F1633" s="77"/>
      <c r="G1633" s="104"/>
      <c r="H1633" s="123"/>
      <c r="I1633" s="107"/>
      <c r="J1633" s="352"/>
      <c r="K1633" s="69"/>
      <c r="L1633" s="120"/>
      <c r="M1633" s="116"/>
      <c r="N1633" s="320"/>
    </row>
    <row r="1634" spans="2:14" x14ac:dyDescent="0.35">
      <c r="B1634" s="91"/>
      <c r="C1634" s="78"/>
      <c r="D1634" s="109"/>
      <c r="E1634" s="68"/>
      <c r="F1634" s="77"/>
      <c r="G1634" s="312"/>
      <c r="H1634" s="123"/>
      <c r="I1634" s="107"/>
      <c r="J1634" s="352"/>
      <c r="K1634" s="69"/>
      <c r="L1634" s="120"/>
      <c r="M1634" s="116"/>
      <c r="N1634" s="320"/>
    </row>
    <row r="1635" spans="2:14" x14ac:dyDescent="0.3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x14ac:dyDescent="0.3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x14ac:dyDescent="0.3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x14ac:dyDescent="0.35">
      <c r="B1638" s="91"/>
      <c r="C1638" s="66"/>
      <c r="D1638" s="109"/>
      <c r="E1638" s="68"/>
      <c r="F1638" s="77"/>
      <c r="G1638" s="104"/>
      <c r="H1638" s="123"/>
      <c r="I1638" s="107"/>
      <c r="J1638" s="352"/>
      <c r="K1638" s="69"/>
      <c r="L1638" s="120"/>
      <c r="M1638" s="116"/>
      <c r="N1638" s="220"/>
    </row>
    <row r="1639" spans="2:14" x14ac:dyDescent="0.35">
      <c r="B1639" s="91"/>
      <c r="C1639" s="66"/>
      <c r="D1639" s="109"/>
      <c r="E1639" s="68"/>
      <c r="F1639" s="77"/>
      <c r="G1639" s="312"/>
      <c r="H1639" s="123"/>
      <c r="I1639" s="107"/>
      <c r="J1639" s="352"/>
      <c r="K1639" s="69"/>
      <c r="L1639" s="120"/>
      <c r="M1639" s="116"/>
      <c r="N1639" s="220"/>
    </row>
    <row r="1640" spans="2:14" x14ac:dyDescent="0.3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x14ac:dyDescent="0.3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x14ac:dyDescent="0.3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x14ac:dyDescent="0.3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x14ac:dyDescent="0.3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x14ac:dyDescent="0.35">
      <c r="B1645" s="91"/>
      <c r="C1645" s="66"/>
      <c r="D1645" s="109"/>
      <c r="E1645" s="68"/>
      <c r="F1645" s="77"/>
      <c r="G1645" s="104"/>
      <c r="H1645" s="121"/>
      <c r="I1645" s="107"/>
      <c r="J1645" s="352"/>
      <c r="K1645" s="69"/>
      <c r="L1645" s="120"/>
      <c r="M1645" s="116"/>
      <c r="N1645" s="220"/>
    </row>
    <row r="1646" spans="2:14" x14ac:dyDescent="0.35">
      <c r="B1646" s="91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x14ac:dyDescent="0.35">
      <c r="B1647" s="37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x14ac:dyDescent="0.35">
      <c r="B1648" s="37"/>
      <c r="C1648" s="66"/>
      <c r="D1648" s="109"/>
      <c r="E1648" s="68"/>
      <c r="F1648" s="77"/>
      <c r="G1648" s="312"/>
      <c r="H1648" s="123"/>
      <c r="I1648" s="107"/>
      <c r="J1648" s="352"/>
      <c r="K1648" s="69"/>
      <c r="L1648" s="120"/>
      <c r="M1648" s="116"/>
      <c r="N1648" s="220"/>
    </row>
    <row r="1649" spans="2:14" x14ac:dyDescent="0.35">
      <c r="B1649" s="37"/>
      <c r="C1649" s="66"/>
      <c r="D1649" s="109"/>
      <c r="E1649" s="68"/>
      <c r="F1649" s="77"/>
      <c r="G1649" s="104"/>
      <c r="H1649" s="123"/>
      <c r="I1649" s="107"/>
      <c r="J1649" s="352"/>
      <c r="K1649" s="69"/>
      <c r="L1649" s="120"/>
      <c r="M1649" s="116"/>
      <c r="N1649" s="220"/>
    </row>
    <row r="1650" spans="2:14" x14ac:dyDescent="0.35">
      <c r="B1650" s="37"/>
      <c r="C1650" s="78"/>
      <c r="D1650" s="109"/>
      <c r="E1650" s="68"/>
      <c r="F1650" s="77"/>
      <c r="G1650" s="312"/>
      <c r="H1650" s="313"/>
      <c r="I1650" s="314"/>
      <c r="J1650" s="353"/>
      <c r="K1650" s="69"/>
      <c r="L1650" s="120"/>
      <c r="M1650" s="116"/>
      <c r="N1650" s="220"/>
    </row>
    <row r="1651" spans="2:14" x14ac:dyDescent="0.35">
      <c r="B1651" s="37"/>
      <c r="C1651" s="66"/>
      <c r="D1651" s="109"/>
      <c r="E1651" s="68"/>
      <c r="F1651" s="77"/>
      <c r="G1651" s="104"/>
      <c r="H1651" s="123"/>
      <c r="I1651" s="107"/>
      <c r="J1651" s="352"/>
      <c r="K1651" s="69"/>
      <c r="L1651" s="120"/>
      <c r="M1651" s="116"/>
      <c r="N1651" s="220"/>
    </row>
    <row r="1652" spans="2:14" x14ac:dyDescent="0.35">
      <c r="B1652" s="37"/>
      <c r="C1652" s="66"/>
      <c r="D1652" s="109"/>
      <c r="E1652" s="68"/>
      <c r="F1652" s="68"/>
      <c r="G1652" s="312"/>
      <c r="H1652" s="123"/>
      <c r="I1652" s="107"/>
      <c r="J1652" s="352"/>
      <c r="K1652" s="69"/>
      <c r="L1652" s="120"/>
      <c r="M1652" s="116"/>
      <c r="N1652" s="220"/>
    </row>
    <row r="1653" spans="2:14" x14ac:dyDescent="0.3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120"/>
      <c r="M1653" s="116"/>
      <c r="N1653" s="220"/>
    </row>
    <row r="1654" spans="2:14" x14ac:dyDescent="0.3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319"/>
      <c r="M1654" s="116"/>
      <c r="N1654" s="320"/>
    </row>
    <row r="1655" spans="2:14" x14ac:dyDescent="0.35">
      <c r="B1655" s="37"/>
      <c r="C1655" s="78"/>
      <c r="D1655" s="109"/>
      <c r="E1655" s="68"/>
      <c r="F1655" s="77"/>
      <c r="G1655" s="312"/>
      <c r="H1655" s="123"/>
      <c r="I1655" s="107"/>
      <c r="J1655" s="352"/>
      <c r="K1655" s="69"/>
      <c r="L1655" s="118"/>
      <c r="M1655" s="116"/>
      <c r="N1655" s="320"/>
    </row>
    <row r="1656" spans="2:14" x14ac:dyDescent="0.35">
      <c r="B1656" s="37"/>
      <c r="C1656" s="78"/>
      <c r="D1656" s="109"/>
      <c r="E1656" s="68"/>
      <c r="F1656" s="77"/>
      <c r="G1656" s="312"/>
      <c r="H1656" s="313"/>
      <c r="I1656" s="314"/>
      <c r="J1656" s="353"/>
      <c r="K1656" s="69"/>
      <c r="L1656" s="319"/>
      <c r="M1656" s="116"/>
      <c r="N1656" s="320"/>
    </row>
    <row r="1657" spans="2:14" x14ac:dyDescent="0.35">
      <c r="B1657" s="37"/>
      <c r="C1657" s="66"/>
      <c r="D1657" s="109"/>
      <c r="E1657" s="68"/>
      <c r="F1657" s="77"/>
      <c r="G1657" s="104"/>
      <c r="H1657" s="123"/>
      <c r="I1657" s="107"/>
      <c r="J1657" s="352"/>
      <c r="K1657" s="69"/>
      <c r="L1657" s="118"/>
      <c r="M1657" s="116"/>
      <c r="N1657" s="320"/>
    </row>
    <row r="1658" spans="2:14" x14ac:dyDescent="0.3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x14ac:dyDescent="0.3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x14ac:dyDescent="0.3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x14ac:dyDescent="0.35">
      <c r="B1661" s="91"/>
      <c r="C1661" s="66"/>
      <c r="D1661" s="109"/>
      <c r="E1661" s="68"/>
      <c r="F1661" s="77"/>
      <c r="G1661" s="104"/>
      <c r="H1661" s="123"/>
      <c r="I1661" s="107"/>
      <c r="J1661" s="352"/>
      <c r="K1661" s="69"/>
      <c r="L1661" s="120"/>
      <c r="M1661" s="116"/>
      <c r="N1661" s="220"/>
    </row>
    <row r="1662" spans="2:14" x14ac:dyDescent="0.35">
      <c r="B1662" s="65"/>
      <c r="C1662" s="78"/>
      <c r="D1662" s="109"/>
      <c r="E1662" s="68"/>
      <c r="F1662" s="77"/>
      <c r="G1662" s="312"/>
      <c r="H1662" s="313"/>
      <c r="I1662" s="314"/>
      <c r="J1662" s="353"/>
      <c r="K1662" s="69"/>
      <c r="L1662" s="319"/>
      <c r="M1662" s="116"/>
      <c r="N1662" s="320"/>
    </row>
    <row r="1663" spans="2:14" x14ac:dyDescent="0.35">
      <c r="B1663" s="91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x14ac:dyDescent="0.35">
      <c r="B1664" s="37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x14ac:dyDescent="0.35">
      <c r="B1665" s="37"/>
      <c r="C1665" s="66"/>
      <c r="D1665" s="109"/>
      <c r="E1665" s="68"/>
      <c r="F1665" s="68"/>
      <c r="G1665" s="104"/>
      <c r="H1665" s="121"/>
      <c r="I1665" s="107"/>
      <c r="J1665" s="352"/>
      <c r="K1665" s="69"/>
      <c r="L1665" s="319"/>
      <c r="M1665" s="116"/>
      <c r="N1665" s="320"/>
    </row>
    <row r="1666" spans="2:14" x14ac:dyDescent="0.3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x14ac:dyDescent="0.3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x14ac:dyDescent="0.3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x14ac:dyDescent="0.3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x14ac:dyDescent="0.3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x14ac:dyDescent="0.3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x14ac:dyDescent="0.3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79"/>
      <c r="L1672" s="120"/>
      <c r="M1672" s="115"/>
      <c r="N1672" s="220"/>
    </row>
    <row r="1673" spans="2:14" x14ac:dyDescent="0.3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x14ac:dyDescent="0.3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x14ac:dyDescent="0.3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114"/>
      <c r="L1675" s="118"/>
      <c r="M1675" s="117"/>
      <c r="N1675" s="321"/>
    </row>
    <row r="1676" spans="2:14" x14ac:dyDescent="0.3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1"/>
    </row>
    <row r="1677" spans="2:14" x14ac:dyDescent="0.3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0"/>
    </row>
    <row r="1678" spans="2:14" x14ac:dyDescent="0.3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1"/>
    </row>
    <row r="1679" spans="2:14" x14ac:dyDescent="0.3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x14ac:dyDescent="0.3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x14ac:dyDescent="0.3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x14ac:dyDescent="0.3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x14ac:dyDescent="0.3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319"/>
      <c r="M1683" s="116"/>
      <c r="N1683" s="320"/>
    </row>
    <row r="1684" spans="2:14" x14ac:dyDescent="0.3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x14ac:dyDescent="0.3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x14ac:dyDescent="0.35">
      <c r="B1686" s="91"/>
      <c r="C1686" s="66"/>
      <c r="D1686" s="109"/>
      <c r="E1686" s="68"/>
      <c r="F1686" s="68"/>
      <c r="G1686" s="104"/>
      <c r="H1686" s="121"/>
      <c r="I1686" s="107"/>
      <c r="J1686" s="352"/>
      <c r="K1686" s="69"/>
      <c r="L1686" s="118"/>
      <c r="M1686" s="116"/>
      <c r="N1686" s="321"/>
    </row>
    <row r="1687" spans="2:14" x14ac:dyDescent="0.3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x14ac:dyDescent="0.3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x14ac:dyDescent="0.3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x14ac:dyDescent="0.3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x14ac:dyDescent="0.3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116"/>
      <c r="N1691" s="320"/>
    </row>
    <row r="1692" spans="2:14" x14ac:dyDescent="0.3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82"/>
      <c r="N1692" s="320"/>
    </row>
    <row r="1693" spans="2:14" x14ac:dyDescent="0.3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x14ac:dyDescent="0.3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x14ac:dyDescent="0.3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x14ac:dyDescent="0.3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x14ac:dyDescent="0.3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x14ac:dyDescent="0.35">
      <c r="B1698" s="91"/>
      <c r="C1698" s="78"/>
      <c r="D1698" s="100"/>
      <c r="E1698" s="101"/>
      <c r="F1698" s="77"/>
      <c r="G1698" s="312"/>
      <c r="H1698" s="322"/>
      <c r="I1698" s="107"/>
      <c r="J1698" s="352"/>
      <c r="K1698" s="69"/>
      <c r="L1698" s="84"/>
      <c r="M1698" s="82"/>
      <c r="N1698" s="320"/>
    </row>
    <row r="1699" spans="2:14" x14ac:dyDescent="0.3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x14ac:dyDescent="0.3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x14ac:dyDescent="0.3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x14ac:dyDescent="0.35">
      <c r="B1702" s="65"/>
      <c r="C1702" s="78"/>
      <c r="D1702" s="100"/>
      <c r="E1702" s="101"/>
      <c r="F1702" s="77"/>
      <c r="G1702" s="312"/>
      <c r="H1702" s="322"/>
      <c r="I1702" s="314"/>
      <c r="J1702" s="353"/>
      <c r="K1702" s="69"/>
      <c r="L1702" s="84"/>
      <c r="M1702" s="82"/>
      <c r="N1702" s="320"/>
    </row>
    <row r="1703" spans="2:14" x14ac:dyDescent="0.3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x14ac:dyDescent="0.3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x14ac:dyDescent="0.35">
      <c r="B1705" s="65"/>
      <c r="C1705" s="78"/>
      <c r="D1705" s="100"/>
      <c r="E1705" s="101"/>
      <c r="F1705" s="77"/>
      <c r="G1705" s="312"/>
      <c r="H1705" s="322"/>
      <c r="I1705" s="314"/>
      <c r="J1705" s="353"/>
      <c r="K1705" s="69"/>
      <c r="L1705" s="84"/>
      <c r="M1705" s="82"/>
      <c r="N1705" s="320"/>
    </row>
    <row r="1706" spans="2:14" x14ac:dyDescent="0.35">
      <c r="B1706" s="65"/>
      <c r="C1706" s="66"/>
      <c r="D1706" s="109"/>
      <c r="E1706" s="101"/>
      <c r="F1706" s="77"/>
      <c r="G1706" s="104"/>
      <c r="H1706" s="106"/>
      <c r="I1706" s="107"/>
      <c r="J1706" s="352"/>
      <c r="K1706" s="69"/>
      <c r="L1706" s="323"/>
      <c r="M1706" s="82"/>
      <c r="N1706" s="320"/>
    </row>
    <row r="1707" spans="2:14" x14ac:dyDescent="0.3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84"/>
      <c r="M1707" s="82"/>
      <c r="N1707" s="320"/>
    </row>
    <row r="1708" spans="2:14" x14ac:dyDescent="0.3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323"/>
      <c r="M1708" s="82"/>
      <c r="N1708" s="320"/>
    </row>
    <row r="1709" spans="2:14" x14ac:dyDescent="0.3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0"/>
    </row>
    <row r="1710" spans="2:14" x14ac:dyDescent="0.3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x14ac:dyDescent="0.3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x14ac:dyDescent="0.3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x14ac:dyDescent="0.35">
      <c r="B1713" s="65"/>
      <c r="C1713" s="78"/>
      <c r="D1713" s="100"/>
      <c r="E1713" s="101"/>
      <c r="F1713" s="77"/>
      <c r="G1713" s="312"/>
      <c r="H1713" s="322"/>
      <c r="I1713" s="107"/>
      <c r="J1713" s="352"/>
      <c r="K1713" s="69"/>
      <c r="L1713" s="84"/>
      <c r="M1713" s="82"/>
      <c r="N1713" s="324"/>
    </row>
    <row r="1714" spans="2:14" x14ac:dyDescent="0.3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x14ac:dyDescent="0.3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x14ac:dyDescent="0.3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x14ac:dyDescent="0.3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x14ac:dyDescent="0.3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x14ac:dyDescent="0.35">
      <c r="B1719" s="91"/>
      <c r="C1719" s="66"/>
      <c r="D1719" s="100"/>
      <c r="E1719" s="101"/>
      <c r="F1719" s="68"/>
      <c r="G1719" s="104"/>
      <c r="H1719" s="106"/>
      <c r="I1719" s="107"/>
      <c r="J1719" s="352"/>
      <c r="K1719" s="69"/>
      <c r="L1719" s="84"/>
      <c r="M1719" s="82"/>
      <c r="N1719" s="324"/>
    </row>
    <row r="1720" spans="2:14" x14ac:dyDescent="0.35">
      <c r="B1720" s="91"/>
      <c r="C1720" s="78"/>
      <c r="D1720" s="100"/>
      <c r="E1720" s="101"/>
      <c r="F1720" s="77"/>
      <c r="G1720" s="312"/>
      <c r="H1720" s="322"/>
      <c r="I1720" s="107"/>
      <c r="J1720" s="352"/>
      <c r="K1720" s="69"/>
      <c r="L1720" s="84"/>
      <c r="M1720" s="82"/>
      <c r="N1720" s="324"/>
    </row>
    <row r="1721" spans="2:14" x14ac:dyDescent="0.3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69"/>
      <c r="L1721" s="84"/>
      <c r="M1721" s="82"/>
      <c r="N1721" s="324"/>
    </row>
    <row r="1722" spans="2:14" x14ac:dyDescent="0.3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70"/>
      <c r="L1722" s="84"/>
      <c r="M1722" s="82"/>
      <c r="N1722" s="324"/>
    </row>
    <row r="1723" spans="2:14" x14ac:dyDescent="0.3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69"/>
      <c r="L1723" s="84"/>
      <c r="M1723" s="82"/>
      <c r="N1723" s="324"/>
    </row>
    <row r="1724" spans="2:14" x14ac:dyDescent="0.35">
      <c r="B1724" s="91"/>
      <c r="C1724" s="78"/>
      <c r="D1724" s="100"/>
      <c r="E1724" s="101"/>
      <c r="F1724" s="68"/>
      <c r="G1724" s="312"/>
      <c r="H1724" s="322"/>
      <c r="I1724" s="107"/>
      <c r="J1724" s="352"/>
      <c r="K1724" s="69"/>
      <c r="L1724" s="84"/>
      <c r="M1724" s="82"/>
      <c r="N1724" s="324"/>
    </row>
    <row r="1725" spans="2:14" x14ac:dyDescent="0.35">
      <c r="B1725" s="91"/>
      <c r="C1725" s="66"/>
      <c r="D1725" s="100"/>
      <c r="E1725" s="101"/>
      <c r="F1725" s="77"/>
      <c r="G1725" s="104"/>
      <c r="H1725" s="106"/>
      <c r="I1725" s="107"/>
      <c r="J1725" s="352"/>
      <c r="K1725" s="69"/>
      <c r="L1725" s="323"/>
      <c r="M1725" s="82"/>
      <c r="N1725" s="324"/>
    </row>
    <row r="1726" spans="2:14" x14ac:dyDescent="0.35">
      <c r="B1726" s="65"/>
      <c r="C1726" s="78"/>
      <c r="D1726" s="100"/>
      <c r="E1726" s="101"/>
      <c r="F1726" s="77"/>
      <c r="G1726" s="312"/>
      <c r="H1726" s="322"/>
      <c r="I1726" s="314"/>
      <c r="J1726" s="353"/>
      <c r="K1726" s="69"/>
      <c r="L1726" s="323"/>
      <c r="M1726" s="82"/>
      <c r="N1726" s="324"/>
    </row>
    <row r="1727" spans="2:14" x14ac:dyDescent="0.35">
      <c r="B1727" s="65"/>
      <c r="C1727" s="66"/>
      <c r="D1727" s="100"/>
      <c r="E1727" s="101"/>
      <c r="F1727" s="68"/>
      <c r="G1727" s="104"/>
      <c r="H1727" s="106"/>
      <c r="I1727" s="107"/>
      <c r="J1727" s="352"/>
      <c r="K1727" s="69"/>
      <c r="L1727" s="84"/>
      <c r="M1727" s="82"/>
      <c r="N1727" s="324"/>
    </row>
    <row r="1728" spans="2:14" x14ac:dyDescent="0.3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84"/>
      <c r="M1728" s="82"/>
      <c r="N1728" s="324"/>
    </row>
    <row r="1729" spans="2:14" x14ac:dyDescent="0.3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x14ac:dyDescent="0.3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x14ac:dyDescent="0.35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x14ac:dyDescent="0.35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x14ac:dyDescent="0.35">
      <c r="B1733" s="65"/>
      <c r="C1733" s="78"/>
      <c r="D1733" s="100"/>
      <c r="E1733" s="101"/>
      <c r="F1733" s="77"/>
      <c r="G1733" s="312"/>
      <c r="H1733" s="322"/>
      <c r="I1733" s="314"/>
      <c r="J1733" s="353"/>
      <c r="K1733" s="69"/>
      <c r="L1733" s="323"/>
      <c r="M1733" s="82"/>
      <c r="N1733" s="324"/>
    </row>
    <row r="1734" spans="2:14" x14ac:dyDescent="0.35">
      <c r="B1734" s="65"/>
      <c r="C1734" s="78"/>
      <c r="D1734" s="100"/>
      <c r="E1734" s="102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x14ac:dyDescent="0.3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x14ac:dyDescent="0.3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x14ac:dyDescent="0.3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x14ac:dyDescent="0.3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x14ac:dyDescent="0.35">
      <c r="B1739" s="65"/>
      <c r="C1739" s="66"/>
      <c r="D1739" s="90"/>
      <c r="E1739" s="67"/>
      <c r="F1739" s="77"/>
      <c r="G1739" s="77"/>
      <c r="H1739" s="106"/>
      <c r="I1739" s="94"/>
      <c r="J1739" s="357"/>
      <c r="K1739" s="80"/>
      <c r="L1739" s="84"/>
      <c r="M1739" s="82"/>
      <c r="N1739" s="328"/>
    </row>
    <row r="1740" spans="2:14" x14ac:dyDescent="0.35">
      <c r="B1740" s="65"/>
      <c r="C1740" s="78"/>
      <c r="D1740" s="90"/>
      <c r="E1740" s="67"/>
      <c r="F1740" s="77"/>
      <c r="G1740" s="329"/>
      <c r="H1740" s="322"/>
      <c r="I1740" s="327"/>
      <c r="J1740" s="356"/>
      <c r="K1740" s="69"/>
      <c r="L1740" s="323"/>
      <c r="M1740" s="82"/>
      <c r="N1740" s="328"/>
    </row>
    <row r="1741" spans="2:14" x14ac:dyDescent="0.35">
      <c r="B1741" s="65"/>
      <c r="C1741" s="66"/>
      <c r="D1741" s="90"/>
      <c r="E1741" s="67"/>
      <c r="F1741" s="77"/>
      <c r="G1741" s="77"/>
      <c r="H1741" s="106"/>
      <c r="I1741" s="95"/>
      <c r="J1741" s="358"/>
      <c r="K1741" s="80"/>
      <c r="L1741" s="84"/>
      <c r="M1741" s="82"/>
      <c r="N1741" s="328"/>
    </row>
    <row r="1742" spans="2:14" x14ac:dyDescent="0.35">
      <c r="B1742" s="91"/>
      <c r="C1742" s="66"/>
      <c r="D1742" s="90"/>
      <c r="E1742" s="67"/>
      <c r="F1742" s="77"/>
      <c r="G1742" s="77"/>
      <c r="H1742" s="106"/>
      <c r="I1742" s="95"/>
      <c r="J1742" s="358"/>
      <c r="K1742" s="69"/>
      <c r="L1742" s="84"/>
      <c r="M1742" s="82"/>
      <c r="N1742" s="328"/>
    </row>
    <row r="1743" spans="2:14" x14ac:dyDescent="0.35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x14ac:dyDescent="0.35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x14ac:dyDescent="0.3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80"/>
      <c r="L1745" s="84"/>
      <c r="M1745" s="82"/>
      <c r="N1745" s="328"/>
    </row>
    <row r="1746" spans="2:14" x14ac:dyDescent="0.3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69"/>
      <c r="L1746" s="84"/>
      <c r="M1746" s="82"/>
      <c r="N1746" s="328"/>
    </row>
    <row r="1747" spans="2:14" x14ac:dyDescent="0.35">
      <c r="B1747" s="91"/>
      <c r="C1747" s="78"/>
      <c r="D1747" s="90"/>
      <c r="E1747" s="67"/>
      <c r="F1747" s="77"/>
      <c r="G1747" s="329"/>
      <c r="H1747" s="322"/>
      <c r="I1747" s="327"/>
      <c r="J1747" s="356"/>
      <c r="K1747" s="69"/>
      <c r="L1747" s="84"/>
      <c r="M1747" s="82"/>
      <c r="N1747" s="328"/>
    </row>
    <row r="1748" spans="2:14" x14ac:dyDescent="0.35">
      <c r="B1748" s="91"/>
      <c r="C1748" s="66"/>
      <c r="D1748" s="90"/>
      <c r="E1748" s="67"/>
      <c r="F1748" s="77"/>
      <c r="G1748" s="77"/>
      <c r="H1748" s="106"/>
      <c r="I1748" s="94"/>
      <c r="J1748" s="357"/>
      <c r="K1748" s="69"/>
      <c r="L1748" s="84"/>
      <c r="M1748" s="82"/>
      <c r="N1748" s="328"/>
    </row>
    <row r="1749" spans="2:14" x14ac:dyDescent="0.3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69"/>
      <c r="L1749" s="84"/>
      <c r="M1749" s="82"/>
      <c r="N1749" s="328"/>
    </row>
    <row r="1750" spans="2:14" x14ac:dyDescent="0.3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80"/>
      <c r="L1750" s="84"/>
      <c r="M1750" s="82"/>
      <c r="N1750" s="328"/>
    </row>
    <row r="1751" spans="2:14" x14ac:dyDescent="0.35">
      <c r="B1751" s="91"/>
      <c r="C1751" s="66"/>
      <c r="D1751" s="90"/>
      <c r="E1751" s="67"/>
      <c r="F1751" s="77"/>
      <c r="G1751" s="77"/>
      <c r="H1751" s="106"/>
      <c r="I1751" s="94"/>
      <c r="J1751" s="357"/>
      <c r="K1751" s="69"/>
      <c r="L1751" s="84"/>
      <c r="M1751" s="82"/>
      <c r="N1751" s="324"/>
    </row>
    <row r="1752" spans="2:14" x14ac:dyDescent="0.3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323"/>
      <c r="M1752" s="82"/>
      <c r="N1752" s="324"/>
    </row>
    <row r="1753" spans="2:14" x14ac:dyDescent="0.3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84"/>
      <c r="M1753" s="82"/>
      <c r="N1753" s="324"/>
    </row>
    <row r="1754" spans="2:14" x14ac:dyDescent="0.35">
      <c r="B1754" s="65"/>
      <c r="C1754" s="78"/>
      <c r="D1754" s="90"/>
      <c r="E1754" s="67"/>
      <c r="F1754" s="77"/>
      <c r="G1754" s="329"/>
      <c r="H1754" s="322"/>
      <c r="I1754" s="327"/>
      <c r="J1754" s="356"/>
      <c r="K1754" s="69"/>
      <c r="L1754" s="323"/>
      <c r="M1754" s="82"/>
      <c r="N1754" s="324"/>
    </row>
    <row r="1755" spans="2:14" x14ac:dyDescent="0.35">
      <c r="B1755" s="37"/>
      <c r="C1755" s="52"/>
      <c r="D1755" s="24"/>
      <c r="E1755" s="25"/>
      <c r="F1755" s="26"/>
      <c r="G1755" s="26"/>
      <c r="H1755" s="330"/>
      <c r="I1755" s="41"/>
      <c r="J1755" s="359"/>
      <c r="K1755" s="27"/>
      <c r="L1755" s="331"/>
      <c r="M1755" s="34"/>
      <c r="N1755" s="332"/>
    </row>
    <row r="1756" spans="2:14" x14ac:dyDescent="0.3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"/>
      <c r="M1756" s="34"/>
      <c r="N1756" s="332"/>
    </row>
    <row r="1757" spans="2:14" x14ac:dyDescent="0.3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x14ac:dyDescent="0.3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x14ac:dyDescent="0.3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x14ac:dyDescent="0.35">
      <c r="B1760" s="30"/>
      <c r="C1760" s="52"/>
      <c r="D1760" s="24"/>
      <c r="E1760" s="25"/>
      <c r="F1760" s="26"/>
      <c r="G1760" s="26"/>
      <c r="H1760" s="330"/>
      <c r="I1760" s="41"/>
      <c r="J1760" s="359"/>
      <c r="K1760" s="27"/>
      <c r="L1760" s="331"/>
      <c r="M1760" s="34"/>
      <c r="N1760" s="332"/>
    </row>
    <row r="1761" spans="2:14" x14ac:dyDescent="0.3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x14ac:dyDescent="0.3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x14ac:dyDescent="0.3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x14ac:dyDescent="0.35">
      <c r="B1764" s="30"/>
      <c r="C1764" s="2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x14ac:dyDescent="0.35">
      <c r="B1765" s="30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x14ac:dyDescent="0.35">
      <c r="B1766" s="37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x14ac:dyDescent="0.35">
      <c r="B1767" s="37"/>
      <c r="C1767" s="52"/>
      <c r="D1767" s="24"/>
      <c r="E1767" s="25"/>
      <c r="F1767" s="60"/>
      <c r="G1767" s="26"/>
      <c r="H1767" s="330"/>
      <c r="I1767" s="41"/>
      <c r="J1767" s="359"/>
      <c r="K1767" s="27"/>
      <c r="L1767" s="33"/>
      <c r="M1767" s="34"/>
      <c r="N1767" s="35"/>
    </row>
    <row r="1768" spans="2:14" x14ac:dyDescent="0.3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x14ac:dyDescent="0.3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x14ac:dyDescent="0.3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x14ac:dyDescent="0.3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x14ac:dyDescent="0.3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x14ac:dyDescent="0.3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x14ac:dyDescent="0.3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1"/>
      <c r="M1774" s="34"/>
      <c r="N1774" s="35"/>
    </row>
    <row r="1775" spans="2:14" x14ac:dyDescent="0.35">
      <c r="B1775" s="37"/>
      <c r="C1775" s="23"/>
      <c r="D1775" s="24"/>
      <c r="E1775" s="25"/>
      <c r="F1775" s="60"/>
      <c r="G1775" s="26"/>
      <c r="H1775" s="330"/>
      <c r="I1775" s="42"/>
      <c r="J1775" s="361"/>
      <c r="K1775" s="27"/>
      <c r="L1775" s="33"/>
      <c r="M1775" s="34"/>
      <c r="N1775" s="35"/>
    </row>
    <row r="1776" spans="2:14" x14ac:dyDescent="0.35">
      <c r="B1776" s="37"/>
      <c r="C1776" s="52"/>
      <c r="D1776" s="24"/>
      <c r="E1776" s="25"/>
      <c r="F1776" s="26"/>
      <c r="G1776" s="26"/>
      <c r="H1776" s="330"/>
      <c r="I1776" s="41"/>
      <c r="J1776" s="359"/>
      <c r="K1776" s="27"/>
      <c r="L1776" s="33"/>
      <c r="M1776" s="34"/>
      <c r="N1776" s="35"/>
    </row>
    <row r="1777" spans="2:14" x14ac:dyDescent="0.35">
      <c r="B1777" s="37"/>
      <c r="C1777" s="52"/>
      <c r="D1777" s="24"/>
      <c r="E1777" s="25"/>
      <c r="F1777" s="60"/>
      <c r="G1777" s="26"/>
      <c r="H1777" s="330"/>
      <c r="I1777" s="41"/>
      <c r="J1777" s="359"/>
      <c r="K1777" s="27"/>
      <c r="L1777" s="33"/>
      <c r="M1777" s="34"/>
      <c r="N1777" s="35"/>
    </row>
    <row r="1778" spans="2:14" x14ac:dyDescent="0.35">
      <c r="B1778" s="37"/>
      <c r="C1778" s="53"/>
      <c r="D1778" s="24"/>
      <c r="E1778" s="25"/>
      <c r="F1778" s="26"/>
      <c r="G1778" s="326"/>
      <c r="H1778" s="333"/>
      <c r="I1778" s="334"/>
      <c r="J1778" s="360"/>
      <c r="K1778" s="27"/>
      <c r="L1778" s="331"/>
      <c r="M1778" s="34"/>
      <c r="N1778" s="35"/>
    </row>
    <row r="1779" spans="2:14" x14ac:dyDescent="0.35">
      <c r="B1779" s="30"/>
      <c r="C1779" s="52"/>
      <c r="D1779" s="24"/>
      <c r="E1779" s="25"/>
      <c r="F1779" s="26"/>
      <c r="G1779" s="26"/>
      <c r="H1779" s="330"/>
      <c r="I1779" s="41"/>
      <c r="J1779" s="359"/>
      <c r="K1779" s="27"/>
      <c r="L1779" s="33"/>
      <c r="M1779" s="34"/>
      <c r="N1779" s="35"/>
    </row>
    <row r="1780" spans="2:14" x14ac:dyDescent="0.3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x14ac:dyDescent="0.3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x14ac:dyDescent="0.3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x14ac:dyDescent="0.3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x14ac:dyDescent="0.3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x14ac:dyDescent="0.3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x14ac:dyDescent="0.3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x14ac:dyDescent="0.3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x14ac:dyDescent="0.3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x14ac:dyDescent="0.35">
      <c r="B1789" s="30"/>
      <c r="C1789" s="52"/>
      <c r="D1789" s="24"/>
      <c r="E1789" s="25"/>
      <c r="F1789" s="26"/>
      <c r="G1789" s="26"/>
      <c r="H1789" s="330"/>
      <c r="I1789" s="41"/>
      <c r="J1789" s="359"/>
      <c r="K1789" s="27"/>
      <c r="L1789" s="33"/>
      <c r="M1789" s="34"/>
      <c r="N1789" s="35"/>
    </row>
    <row r="1790" spans="2:14" x14ac:dyDescent="0.35">
      <c r="B1790" s="30"/>
      <c r="C1790" s="23"/>
      <c r="D1790" s="24"/>
      <c r="E1790" s="25"/>
      <c r="F1790" s="26"/>
      <c r="G1790" s="26"/>
      <c r="H1790" s="330"/>
      <c r="I1790" s="41"/>
      <c r="J1790" s="359"/>
      <c r="K1790" s="36"/>
      <c r="L1790" s="33"/>
      <c r="M1790" s="34"/>
      <c r="N1790" s="35"/>
    </row>
    <row r="1791" spans="2:14" x14ac:dyDescent="0.35">
      <c r="B1791" s="30"/>
      <c r="C1791" s="23"/>
      <c r="D1791" s="24"/>
      <c r="E1791" s="25"/>
      <c r="F1791" s="26"/>
      <c r="G1791" s="326"/>
      <c r="H1791" s="333"/>
      <c r="I1791" s="334"/>
      <c r="J1791" s="360"/>
      <c r="K1791" s="27"/>
      <c r="L1791" s="33"/>
      <c r="M1791" s="34"/>
      <c r="N1791" s="35"/>
    </row>
    <row r="1792" spans="2:14" x14ac:dyDescent="0.35">
      <c r="B1792" s="30"/>
      <c r="C1792" s="52"/>
      <c r="D1792" s="24"/>
      <c r="E1792" s="25"/>
      <c r="F1792" s="26"/>
      <c r="G1792" s="26"/>
      <c r="H1792" s="330"/>
      <c r="I1792" s="41"/>
      <c r="J1792" s="359"/>
      <c r="K1792" s="27"/>
      <c r="L1792" s="33"/>
      <c r="M1792" s="34"/>
      <c r="N1792" s="35"/>
    </row>
    <row r="1793" spans="2:14" x14ac:dyDescent="0.35">
      <c r="B1793" s="37"/>
      <c r="C1793" s="52"/>
      <c r="D1793" s="24"/>
      <c r="E1793" s="25"/>
      <c r="F1793" s="26"/>
      <c r="G1793" s="26"/>
      <c r="H1793" s="330"/>
      <c r="I1793" s="42"/>
      <c r="J1793" s="361"/>
      <c r="K1793" s="27"/>
      <c r="L1793" s="33"/>
      <c r="M1793" s="34"/>
      <c r="N1793" s="35"/>
    </row>
    <row r="1794" spans="2:14" x14ac:dyDescent="0.35">
      <c r="B1794" s="37"/>
      <c r="C1794" s="52"/>
      <c r="D1794" s="24"/>
      <c r="E1794" s="25"/>
      <c r="F1794" s="60"/>
      <c r="G1794" s="26"/>
      <c r="H1794" s="330"/>
      <c r="I1794" s="41"/>
      <c r="J1794" s="359"/>
      <c r="K1794" s="27"/>
      <c r="L1794" s="33"/>
      <c r="M1794" s="34"/>
      <c r="N1794" s="35"/>
    </row>
    <row r="1795" spans="2:14" x14ac:dyDescent="0.35">
      <c r="B1795" s="37"/>
      <c r="C1795" s="52"/>
      <c r="D1795" s="24"/>
      <c r="E1795" s="25"/>
      <c r="F1795" s="26"/>
      <c r="G1795" s="26"/>
      <c r="H1795" s="330"/>
      <c r="I1795" s="41"/>
      <c r="J1795" s="359"/>
      <c r="K1795" s="27"/>
      <c r="L1795" s="33"/>
      <c r="M1795" s="34"/>
      <c r="N1795" s="35"/>
    </row>
    <row r="1796" spans="2:14" x14ac:dyDescent="0.35">
      <c r="B1796" s="37"/>
      <c r="C1796" s="52"/>
      <c r="D1796" s="24"/>
      <c r="E1796" s="25"/>
      <c r="F1796" s="26"/>
      <c r="G1796" s="26"/>
      <c r="H1796" s="330"/>
      <c r="I1796" s="42"/>
      <c r="J1796" s="361"/>
      <c r="K1796" s="27"/>
      <c r="L1796" s="33"/>
      <c r="M1796" s="34"/>
      <c r="N1796" s="35"/>
    </row>
    <row r="1797" spans="2:14" x14ac:dyDescent="0.35">
      <c r="B1797" s="37"/>
      <c r="C1797" s="53"/>
      <c r="D1797" s="24"/>
      <c r="E1797" s="25"/>
      <c r="F1797" s="26"/>
      <c r="G1797" s="326"/>
      <c r="H1797" s="333"/>
      <c r="I1797" s="334"/>
      <c r="J1797" s="360"/>
      <c r="K1797" s="27"/>
      <c r="L1797" s="331"/>
      <c r="M1797" s="34"/>
      <c r="N1797" s="35"/>
    </row>
    <row r="1798" spans="2:14" x14ac:dyDescent="0.35">
      <c r="B1798" s="37"/>
      <c r="C1798" s="52"/>
      <c r="D1798" s="24"/>
      <c r="E1798" s="25"/>
      <c r="F1798" s="26"/>
      <c r="G1798" s="26"/>
      <c r="H1798" s="330"/>
      <c r="I1798" s="42"/>
      <c r="J1798" s="361"/>
      <c r="K1798" s="27"/>
      <c r="L1798" s="33"/>
      <c r="M1798" s="34"/>
      <c r="N1798" s="35"/>
    </row>
    <row r="1799" spans="2:14" x14ac:dyDescent="0.35">
      <c r="B1799" s="37"/>
      <c r="C1799" s="23"/>
      <c r="D1799" s="24"/>
      <c r="E1799" s="25"/>
      <c r="F1799" s="26"/>
      <c r="G1799" s="326"/>
      <c r="H1799" s="333"/>
      <c r="I1799" s="335"/>
      <c r="J1799" s="362"/>
      <c r="K1799" s="27"/>
      <c r="L1799" s="33"/>
      <c r="M1799" s="34"/>
      <c r="N1799" s="35"/>
    </row>
    <row r="1800" spans="2:14" x14ac:dyDescent="0.35">
      <c r="B1800" s="37"/>
      <c r="C1800" s="52"/>
      <c r="D1800" s="24"/>
      <c r="E1800" s="25"/>
      <c r="F1800" s="26"/>
      <c r="G1800" s="26"/>
      <c r="H1800" s="330"/>
      <c r="I1800" s="42"/>
      <c r="J1800" s="361"/>
      <c r="K1800" s="36"/>
      <c r="L1800" s="33"/>
      <c r="M1800" s="34"/>
      <c r="N1800" s="35"/>
    </row>
    <row r="1801" spans="2:14" x14ac:dyDescent="0.35">
      <c r="B1801" s="37"/>
      <c r="C1801" s="53"/>
      <c r="D1801" s="24"/>
      <c r="E1801" s="25"/>
      <c r="F1801" s="26"/>
      <c r="G1801" s="26"/>
      <c r="H1801" s="330"/>
      <c r="I1801" s="335"/>
      <c r="J1801" s="362"/>
      <c r="K1801" s="36"/>
      <c r="L1801" s="331"/>
      <c r="M1801" s="34"/>
      <c r="N1801" s="35"/>
    </row>
    <row r="1802" spans="2:14" x14ac:dyDescent="0.3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1"/>
      <c r="M1802" s="34"/>
      <c r="N1802" s="35"/>
    </row>
    <row r="1803" spans="2:14" x14ac:dyDescent="0.3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"/>
      <c r="M1803" s="34"/>
      <c r="N1803" s="35"/>
    </row>
    <row r="1804" spans="2:14" x14ac:dyDescent="0.35">
      <c r="B1804" s="37"/>
      <c r="C1804" s="53"/>
      <c r="D1804" s="24"/>
      <c r="E1804" s="25"/>
      <c r="F1804" s="26"/>
      <c r="G1804" s="26"/>
      <c r="H1804" s="330"/>
      <c r="I1804" s="334"/>
      <c r="J1804" s="360"/>
      <c r="K1804" s="36"/>
      <c r="L1804" s="33"/>
      <c r="M1804" s="34"/>
      <c r="N1804" s="35"/>
    </row>
    <row r="1805" spans="2:14" x14ac:dyDescent="0.3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x14ac:dyDescent="0.3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x14ac:dyDescent="0.3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x14ac:dyDescent="0.35">
      <c r="B1808" s="30"/>
      <c r="C1808" s="52"/>
      <c r="D1808" s="24"/>
      <c r="E1808" s="25"/>
      <c r="F1808" s="26"/>
      <c r="G1808" s="26"/>
      <c r="H1808" s="330"/>
      <c r="I1808" s="41"/>
      <c r="J1808" s="359"/>
      <c r="K1808" s="27"/>
      <c r="L1808" s="33"/>
      <c r="M1808" s="34"/>
      <c r="N1808" s="35"/>
    </row>
    <row r="1809" spans="2:14" x14ac:dyDescent="0.3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x14ac:dyDescent="0.3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x14ac:dyDescent="0.3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x14ac:dyDescent="0.3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x14ac:dyDescent="0.3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x14ac:dyDescent="0.3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x14ac:dyDescent="0.3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x14ac:dyDescent="0.3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x14ac:dyDescent="0.35">
      <c r="B1817" s="30"/>
      <c r="C1817" s="52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x14ac:dyDescent="0.35">
      <c r="B1818" s="30"/>
      <c r="C1818" s="23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x14ac:dyDescent="0.35">
      <c r="B1819" s="30"/>
      <c r="C1819" s="52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x14ac:dyDescent="0.35">
      <c r="B1820" s="30"/>
      <c r="C1820" s="53"/>
      <c r="D1820" s="24"/>
      <c r="E1820" s="25"/>
      <c r="F1820" s="26"/>
      <c r="G1820" s="326"/>
      <c r="H1820" s="333"/>
      <c r="I1820" s="334"/>
      <c r="J1820" s="360"/>
      <c r="K1820" s="36"/>
      <c r="L1820" s="33"/>
      <c r="M1820" s="34"/>
      <c r="N1820" s="35"/>
    </row>
    <row r="1821" spans="2:14" x14ac:dyDescent="0.3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27"/>
      <c r="L1821" s="33"/>
      <c r="M1821" s="34"/>
      <c r="N1821" s="35"/>
    </row>
    <row r="1822" spans="2:14" x14ac:dyDescent="0.3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36"/>
      <c r="L1822" s="33"/>
      <c r="M1822" s="34"/>
      <c r="N1822" s="35"/>
    </row>
    <row r="1823" spans="2:14" x14ac:dyDescent="0.35">
      <c r="B1823" s="37"/>
      <c r="C1823" s="52"/>
      <c r="D1823" s="24"/>
      <c r="E1823" s="25"/>
      <c r="F1823" s="26"/>
      <c r="G1823" s="26"/>
      <c r="H1823" s="330"/>
      <c r="I1823" s="41"/>
      <c r="J1823" s="359"/>
      <c r="K1823" s="27"/>
      <c r="L1823" s="33"/>
      <c r="M1823" s="34"/>
      <c r="N1823" s="35"/>
    </row>
    <row r="1824" spans="2:14" x14ac:dyDescent="0.35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x14ac:dyDescent="0.35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x14ac:dyDescent="0.35">
      <c r="B1826" s="37"/>
      <c r="C1826" s="23"/>
      <c r="D1826" s="24"/>
      <c r="E1826" s="25"/>
      <c r="F1826" s="26"/>
      <c r="G1826" s="26"/>
      <c r="H1826" s="330"/>
      <c r="I1826" s="41"/>
      <c r="J1826" s="359"/>
      <c r="K1826" s="27"/>
      <c r="L1826" s="33"/>
      <c r="M1826" s="34"/>
      <c r="N1826" s="35"/>
    </row>
    <row r="1827" spans="2:14" x14ac:dyDescent="0.35">
      <c r="B1827" s="37"/>
      <c r="C1827" s="52"/>
      <c r="D1827" s="24"/>
      <c r="E1827" s="25"/>
      <c r="F1827" s="26"/>
      <c r="G1827" s="26"/>
      <c r="H1827" s="330"/>
      <c r="I1827" s="42"/>
      <c r="J1827" s="361"/>
      <c r="K1827" s="36"/>
      <c r="L1827" s="33"/>
      <c r="M1827" s="34"/>
      <c r="N1827" s="35"/>
    </row>
    <row r="1828" spans="2:14" x14ac:dyDescent="0.35">
      <c r="B1828" s="37"/>
      <c r="C1828" s="52"/>
      <c r="D1828" s="24"/>
      <c r="E1828" s="25"/>
      <c r="F1828" s="26"/>
      <c r="G1828" s="26"/>
      <c r="H1828" s="330"/>
      <c r="I1828" s="41"/>
      <c r="J1828" s="359"/>
      <c r="K1828" s="27"/>
      <c r="L1828" s="33"/>
      <c r="M1828" s="34"/>
      <c r="N1828" s="35"/>
    </row>
    <row r="1829" spans="2:14" x14ac:dyDescent="0.35">
      <c r="B1829" s="37"/>
      <c r="C1829" s="52"/>
      <c r="D1829" s="24"/>
      <c r="E1829" s="25"/>
      <c r="F1829" s="26"/>
      <c r="G1829" s="26"/>
      <c r="H1829" s="330"/>
      <c r="I1829" s="42"/>
      <c r="J1829" s="361"/>
      <c r="K1829" s="36"/>
      <c r="L1829" s="331"/>
      <c r="M1829" s="34"/>
      <c r="N1829" s="35"/>
    </row>
    <row r="1830" spans="2:14" x14ac:dyDescent="0.3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x14ac:dyDescent="0.3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x14ac:dyDescent="0.35">
      <c r="B1832" s="37"/>
      <c r="C1832" s="23"/>
      <c r="D1832" s="24"/>
      <c r="E1832" s="25"/>
      <c r="F1832" s="26"/>
      <c r="G1832" s="326"/>
      <c r="H1832" s="333"/>
      <c r="I1832" s="335"/>
      <c r="J1832" s="362"/>
      <c r="K1832" s="27"/>
      <c r="L1832" s="33"/>
      <c r="M1832" s="34"/>
      <c r="N1832" s="35"/>
    </row>
    <row r="1833" spans="2:14" x14ac:dyDescent="0.3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x14ac:dyDescent="0.3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x14ac:dyDescent="0.35">
      <c r="B1835" s="37"/>
      <c r="C1835" s="52"/>
      <c r="D1835" s="24"/>
      <c r="E1835" s="25"/>
      <c r="F1835" s="26"/>
      <c r="G1835" s="26"/>
      <c r="H1835" s="330"/>
      <c r="I1835" s="41"/>
      <c r="J1835" s="359"/>
      <c r="K1835" s="27"/>
      <c r="L1835" s="33"/>
      <c r="M1835" s="34"/>
      <c r="N1835" s="35"/>
    </row>
    <row r="1836" spans="2:14" x14ac:dyDescent="0.35">
      <c r="B1836" s="37"/>
      <c r="C1836" s="23"/>
      <c r="D1836" s="24"/>
      <c r="E1836" s="25"/>
      <c r="F1836" s="26"/>
      <c r="G1836" s="326"/>
      <c r="H1836" s="333"/>
      <c r="I1836" s="335"/>
      <c r="J1836" s="362"/>
      <c r="K1836" s="27"/>
      <c r="L1836" s="33"/>
      <c r="M1836" s="34"/>
      <c r="N1836" s="35"/>
    </row>
    <row r="1837" spans="2:14" x14ac:dyDescent="0.3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x14ac:dyDescent="0.3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x14ac:dyDescent="0.3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x14ac:dyDescent="0.3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x14ac:dyDescent="0.35">
      <c r="B1841" s="37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x14ac:dyDescent="0.3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27"/>
      <c r="L1842" s="33"/>
      <c r="M1842" s="34"/>
      <c r="N1842" s="35"/>
    </row>
    <row r="1843" spans="2:14" x14ac:dyDescent="0.3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36"/>
      <c r="L1843" s="33"/>
      <c r="M1843" s="34"/>
      <c r="N1843" s="35"/>
    </row>
    <row r="1844" spans="2:14" x14ac:dyDescent="0.35">
      <c r="B1844" s="30"/>
      <c r="C1844" s="23"/>
      <c r="D1844" s="24"/>
      <c r="E1844" s="25"/>
      <c r="F1844" s="26"/>
      <c r="G1844" s="326"/>
      <c r="H1844" s="333"/>
      <c r="I1844" s="334"/>
      <c r="J1844" s="360"/>
      <c r="K1844" s="27"/>
      <c r="L1844" s="33"/>
      <c r="M1844" s="34"/>
      <c r="N1844" s="35"/>
    </row>
    <row r="1845" spans="2:14" x14ac:dyDescent="0.35">
      <c r="B1845" s="30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35">
      <c r="B1846" s="37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35">
      <c r="B1847" s="37"/>
      <c r="C1847" s="23"/>
      <c r="D1847" s="24"/>
      <c r="E1847" s="25"/>
      <c r="F1847" s="26"/>
      <c r="G1847" s="26"/>
      <c r="H1847" s="330"/>
      <c r="I1847" s="42"/>
      <c r="J1847" s="361"/>
      <c r="K1847" s="36"/>
      <c r="L1847" s="33"/>
      <c r="M1847" s="34"/>
      <c r="N1847" s="35"/>
    </row>
    <row r="1848" spans="2:14" x14ac:dyDescent="0.35">
      <c r="B1848" s="30"/>
      <c r="C1848" s="23"/>
      <c r="D1848" s="24"/>
      <c r="E1848" s="25"/>
      <c r="F1848" s="26"/>
      <c r="G1848" s="26"/>
      <c r="H1848" s="330"/>
      <c r="I1848" s="41"/>
      <c r="J1848" s="359"/>
      <c r="K1848" s="27"/>
      <c r="L1848" s="33"/>
      <c r="M1848" s="34"/>
      <c r="N1848" s="35"/>
    </row>
    <row r="1849" spans="2:14" x14ac:dyDescent="0.35">
      <c r="B1849" s="30"/>
      <c r="C1849" s="23"/>
      <c r="D1849" s="24"/>
      <c r="E1849" s="25"/>
      <c r="F1849" s="26"/>
      <c r="G1849" s="26"/>
      <c r="H1849" s="330"/>
      <c r="I1849" s="42"/>
      <c r="J1849" s="361"/>
      <c r="K1849" s="27"/>
      <c r="L1849" s="33"/>
      <c r="M1849" s="34"/>
      <c r="N1849" s="35"/>
    </row>
    <row r="1850" spans="2:14" x14ac:dyDescent="0.35">
      <c r="B1850" s="30"/>
      <c r="C1850" s="23"/>
      <c r="D1850" s="24"/>
      <c r="E1850" s="25"/>
      <c r="F1850" s="26"/>
      <c r="G1850" s="326"/>
      <c r="H1850" s="333"/>
      <c r="I1850" s="334"/>
      <c r="J1850" s="360"/>
      <c r="K1850" s="27"/>
      <c r="L1850" s="33"/>
      <c r="M1850" s="34"/>
      <c r="N1850" s="35"/>
    </row>
    <row r="1851" spans="2:14" x14ac:dyDescent="0.35">
      <c r="B1851" s="37"/>
      <c r="C1851" s="23"/>
      <c r="D1851" s="24"/>
      <c r="E1851" s="25"/>
      <c r="F1851" s="26"/>
      <c r="G1851" s="26"/>
      <c r="H1851" s="330"/>
      <c r="I1851" s="41"/>
      <c r="J1851" s="359"/>
      <c r="K1851" s="27"/>
      <c r="L1851" s="33"/>
      <c r="M1851" s="34"/>
      <c r="N1851" s="35"/>
    </row>
    <row r="1852" spans="2:14" x14ac:dyDescent="0.35">
      <c r="B1852" s="37"/>
      <c r="C1852" s="23"/>
      <c r="D1852" s="24"/>
      <c r="E1852" s="25"/>
      <c r="F1852" s="26"/>
      <c r="G1852" s="26"/>
      <c r="H1852" s="330"/>
      <c r="I1852" s="335"/>
      <c r="J1852" s="362"/>
      <c r="K1852" s="27"/>
      <c r="L1852" s="33"/>
      <c r="M1852" s="34"/>
      <c r="N1852" s="35"/>
    </row>
    <row r="1853" spans="2:14" x14ac:dyDescent="0.3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x14ac:dyDescent="0.3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x14ac:dyDescent="0.35">
      <c r="B1855" s="37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x14ac:dyDescent="0.35">
      <c r="B1856" s="30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x14ac:dyDescent="0.3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x14ac:dyDescent="0.3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x14ac:dyDescent="0.3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x14ac:dyDescent="0.3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"/>
      <c r="M1860" s="34"/>
      <c r="N1860" s="35"/>
    </row>
    <row r="1861" spans="2:14" x14ac:dyDescent="0.3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1"/>
      <c r="M1861" s="34"/>
      <c r="N1861" s="35"/>
    </row>
    <row r="1862" spans="2:14" x14ac:dyDescent="0.3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x14ac:dyDescent="0.3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x14ac:dyDescent="0.3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x14ac:dyDescent="0.35">
      <c r="B1865" s="30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35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35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x14ac:dyDescent="0.35">
      <c r="B1868" s="37"/>
      <c r="C1868" s="23"/>
      <c r="D1868" s="24"/>
      <c r="E1868" s="25"/>
      <c r="F1868" s="26"/>
      <c r="G1868" s="26"/>
      <c r="H1868" s="330"/>
      <c r="I1868" s="41"/>
      <c r="J1868" s="359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4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9:E1178 E7:E47">
    <cfRule type="cellIs" dxfId="30" priority="170" operator="greaterThan">
      <formula>7</formula>
    </cfRule>
  </conditionalFormatting>
  <conditionalFormatting sqref="E1488:E4766">
    <cfRule type="cellIs" dxfId="29" priority="137" operator="greaterThan">
      <formula>7</formula>
    </cfRule>
  </conditionalFormatting>
  <conditionalFormatting sqref="I49:I1250 G49:G51 I7:I47">
    <cfRule type="cellIs" dxfId="28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27" priority="297711" operator="greaterThan">
      <formula>$H$48</formula>
    </cfRule>
  </conditionalFormatting>
  <conditionalFormatting sqref="L7:L1250">
    <cfRule type="top10" dxfId="26" priority="297722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7.25" x14ac:dyDescent="0.35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4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5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4">
      <c r="I5" s="20"/>
    </row>
    <row r="6" spans="2:75" ht="45" customHeight="1" x14ac:dyDescent="0.35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5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5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5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5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5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5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5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5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5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5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5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5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5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5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5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5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5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5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5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5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5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5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5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5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5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5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5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5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5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5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5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5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5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35"/>
  <sheetData>
    <row r="3" spans="2:9" ht="17.25" x14ac:dyDescent="0.35">
      <c r="B3" s="4" t="s">
        <v>0</v>
      </c>
      <c r="C3" s="5" t="s">
        <v>7</v>
      </c>
      <c r="D3" s="5" t="s">
        <v>8</v>
      </c>
      <c r="F3" s="14" t="s">
        <v>74</v>
      </c>
    </row>
    <row r="4" spans="2:9" ht="17.25" x14ac:dyDescent="0.35">
      <c r="B4" s="6">
        <v>1</v>
      </c>
      <c r="C4" s="7" t="s">
        <v>9</v>
      </c>
      <c r="D4" s="8" t="s">
        <v>47</v>
      </c>
      <c r="F4" t="s">
        <v>73</v>
      </c>
    </row>
    <row r="5" spans="2:9" ht="17.25" x14ac:dyDescent="0.35">
      <c r="B5" s="9">
        <v>2</v>
      </c>
      <c r="C5" s="10" t="s">
        <v>10</v>
      </c>
      <c r="D5" s="10"/>
    </row>
    <row r="6" spans="2:9" ht="17.25" x14ac:dyDescent="0.35">
      <c r="B6" s="6">
        <v>3</v>
      </c>
      <c r="C6" s="8" t="s">
        <v>11</v>
      </c>
      <c r="D6" s="8" t="s">
        <v>47</v>
      </c>
    </row>
    <row r="7" spans="2:9" ht="17.25" x14ac:dyDescent="0.35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7.25" x14ac:dyDescent="0.35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7.25" x14ac:dyDescent="0.35">
      <c r="B9" s="9">
        <v>6</v>
      </c>
      <c r="C9" s="10" t="s">
        <v>14</v>
      </c>
      <c r="D9" s="10" t="s">
        <v>47</v>
      </c>
    </row>
    <row r="10" spans="2:9" ht="17.25" x14ac:dyDescent="0.35">
      <c r="B10" s="6">
        <v>7</v>
      </c>
      <c r="C10" s="8" t="s">
        <v>15</v>
      </c>
      <c r="D10" s="8"/>
      <c r="I10" t="s">
        <v>93</v>
      </c>
    </row>
    <row r="11" spans="2:9" ht="17.25" x14ac:dyDescent="0.35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7.25" x14ac:dyDescent="0.35">
      <c r="B12" s="6">
        <v>9</v>
      </c>
      <c r="C12" s="8" t="s">
        <v>17</v>
      </c>
      <c r="D12" s="8" t="s">
        <v>47</v>
      </c>
      <c r="F12" t="s">
        <v>70</v>
      </c>
    </row>
    <row r="13" spans="2:9" ht="17.25" x14ac:dyDescent="0.35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7.25" x14ac:dyDescent="0.35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7.25" x14ac:dyDescent="0.35">
      <c r="B15" s="9">
        <v>12</v>
      </c>
      <c r="C15" s="10" t="s">
        <v>159</v>
      </c>
      <c r="D15" s="10"/>
    </row>
    <row r="16" spans="2:9" ht="17.25" x14ac:dyDescent="0.35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7.25" x14ac:dyDescent="0.35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7.25" x14ac:dyDescent="0.35">
      <c r="B18" s="6">
        <v>15</v>
      </c>
      <c r="C18" s="8" t="s">
        <v>22</v>
      </c>
      <c r="D18" s="8"/>
    </row>
    <row r="19" spans="2:9" ht="17.25" x14ac:dyDescent="0.35">
      <c r="B19" s="9">
        <v>16</v>
      </c>
      <c r="C19" s="10" t="s">
        <v>23</v>
      </c>
      <c r="D19" s="10" t="s">
        <v>47</v>
      </c>
      <c r="F19" t="s">
        <v>55</v>
      </c>
    </row>
    <row r="20" spans="2:9" ht="17.25" x14ac:dyDescent="0.35">
      <c r="B20" s="6">
        <v>17</v>
      </c>
      <c r="C20" s="8" t="s">
        <v>24</v>
      </c>
      <c r="D20" s="8" t="s">
        <v>47</v>
      </c>
      <c r="F20" t="s">
        <v>56</v>
      </c>
    </row>
    <row r="21" spans="2:9" ht="17.25" x14ac:dyDescent="0.35">
      <c r="B21" s="9">
        <v>18</v>
      </c>
      <c r="C21" s="10" t="s">
        <v>25</v>
      </c>
      <c r="D21" s="10" t="s">
        <v>47</v>
      </c>
      <c r="F21" t="s">
        <v>58</v>
      </c>
    </row>
    <row r="22" spans="2:9" ht="17.25" x14ac:dyDescent="0.35">
      <c r="B22" s="6">
        <v>19</v>
      </c>
      <c r="C22" s="8" t="s">
        <v>26</v>
      </c>
      <c r="D22" s="8" t="s">
        <v>47</v>
      </c>
      <c r="F22" t="s">
        <v>57</v>
      </c>
    </row>
    <row r="23" spans="2:9" ht="17.25" x14ac:dyDescent="0.35">
      <c r="B23" s="9">
        <v>20</v>
      </c>
      <c r="C23" s="10" t="s">
        <v>27</v>
      </c>
      <c r="D23" s="10" t="s">
        <v>47</v>
      </c>
    </row>
    <row r="24" spans="2:9" ht="17.25" x14ac:dyDescent="0.35">
      <c r="B24" s="6">
        <v>21</v>
      </c>
      <c r="C24" s="8" t="s">
        <v>28</v>
      </c>
      <c r="D24" s="8" t="s">
        <v>47</v>
      </c>
      <c r="F24" t="s">
        <v>59</v>
      </c>
    </row>
    <row r="25" spans="2:9" ht="17.25" x14ac:dyDescent="0.35">
      <c r="B25" s="9">
        <v>22</v>
      </c>
      <c r="C25" s="10" t="s">
        <v>29</v>
      </c>
      <c r="D25" s="10"/>
      <c r="F25" t="s">
        <v>60</v>
      </c>
    </row>
    <row r="26" spans="2:9" ht="17.25" x14ac:dyDescent="0.35">
      <c r="B26" s="6">
        <v>23</v>
      </c>
      <c r="C26" s="8" t="s">
        <v>30</v>
      </c>
      <c r="D26" s="8" t="s">
        <v>52</v>
      </c>
    </row>
    <row r="27" spans="2:9" ht="17.25" x14ac:dyDescent="0.35">
      <c r="B27" s="9">
        <v>24</v>
      </c>
      <c r="C27" s="10" t="s">
        <v>31</v>
      </c>
      <c r="D27" s="10" t="s">
        <v>47</v>
      </c>
      <c r="F27" t="s">
        <v>61</v>
      </c>
    </row>
    <row r="28" spans="2:9" ht="17.25" x14ac:dyDescent="0.35">
      <c r="B28" s="6">
        <v>25</v>
      </c>
      <c r="C28" s="8" t="s">
        <v>32</v>
      </c>
      <c r="D28" s="8"/>
      <c r="F28" t="s">
        <v>62</v>
      </c>
    </row>
    <row r="29" spans="2:9" ht="17.25" x14ac:dyDescent="0.35">
      <c r="B29" s="9">
        <v>26</v>
      </c>
      <c r="C29" s="10" t="s">
        <v>33</v>
      </c>
      <c r="D29" s="10" t="s">
        <v>47</v>
      </c>
    </row>
    <row r="30" spans="2:9" ht="17.25" x14ac:dyDescent="0.35">
      <c r="B30" s="6">
        <v>27</v>
      </c>
      <c r="C30" s="8" t="s">
        <v>34</v>
      </c>
      <c r="D30" s="8"/>
      <c r="F30" t="s">
        <v>63</v>
      </c>
    </row>
    <row r="31" spans="2:9" ht="17.25" x14ac:dyDescent="0.35">
      <c r="B31" s="9">
        <v>28</v>
      </c>
      <c r="C31" s="10" t="s">
        <v>35</v>
      </c>
      <c r="D31" s="10" t="s">
        <v>47</v>
      </c>
      <c r="F31" t="s">
        <v>64</v>
      </c>
    </row>
    <row r="32" spans="2:9" ht="17.25" x14ac:dyDescent="0.35">
      <c r="B32" s="6">
        <v>29</v>
      </c>
      <c r="C32" s="8" t="s">
        <v>36</v>
      </c>
      <c r="D32" s="8" t="s">
        <v>47</v>
      </c>
    </row>
    <row r="33" spans="2:16" ht="17.25" x14ac:dyDescent="0.35">
      <c r="B33" s="9">
        <v>30</v>
      </c>
      <c r="C33" s="10" t="s">
        <v>158</v>
      </c>
      <c r="D33" s="10"/>
      <c r="F33" t="s">
        <v>75</v>
      </c>
    </row>
    <row r="34" spans="2:16" ht="17.25" x14ac:dyDescent="0.35">
      <c r="B34" s="6">
        <v>31</v>
      </c>
      <c r="C34" s="8" t="s">
        <v>37</v>
      </c>
      <c r="D34" s="10" t="s">
        <v>47</v>
      </c>
      <c r="F34" t="s">
        <v>78</v>
      </c>
    </row>
    <row r="35" spans="2:16" ht="17.25" x14ac:dyDescent="0.35">
      <c r="B35" s="9">
        <v>32</v>
      </c>
      <c r="C35" s="10" t="s">
        <v>38</v>
      </c>
      <c r="D35" s="10" t="s">
        <v>47</v>
      </c>
      <c r="F35" t="s">
        <v>65</v>
      </c>
    </row>
    <row r="36" spans="2:16" ht="17.25" x14ac:dyDescent="0.35">
      <c r="B36" s="6">
        <v>33</v>
      </c>
      <c r="C36" s="8" t="s">
        <v>39</v>
      </c>
      <c r="D36" s="8" t="s">
        <v>47</v>
      </c>
      <c r="F36" t="s">
        <v>66</v>
      </c>
    </row>
    <row r="37" spans="2:16" ht="17.25" x14ac:dyDescent="0.35">
      <c r="B37" s="9">
        <v>34</v>
      </c>
      <c r="C37" s="10" t="s">
        <v>40</v>
      </c>
      <c r="D37" s="10" t="s">
        <v>47</v>
      </c>
    </row>
    <row r="38" spans="2:16" ht="17.25" x14ac:dyDescent="0.35">
      <c r="B38" s="6">
        <v>35</v>
      </c>
      <c r="C38" s="8" t="s">
        <v>41</v>
      </c>
      <c r="D38" s="8"/>
    </row>
    <row r="39" spans="2:16" ht="17.25" x14ac:dyDescent="0.35">
      <c r="B39" s="9">
        <v>36</v>
      </c>
      <c r="C39" s="10" t="s">
        <v>42</v>
      </c>
      <c r="D39" s="10" t="s">
        <v>47</v>
      </c>
      <c r="F39" t="s">
        <v>67</v>
      </c>
    </row>
    <row r="40" spans="2:16" ht="17.25" x14ac:dyDescent="0.35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7.25" x14ac:dyDescent="0.35">
      <c r="B41" s="9">
        <v>38</v>
      </c>
      <c r="C41" s="10" t="s">
        <v>44</v>
      </c>
      <c r="D41" s="10" t="s">
        <v>47</v>
      </c>
    </row>
    <row r="42" spans="2:16" ht="17.25" x14ac:dyDescent="0.35">
      <c r="B42" s="6">
        <v>39</v>
      </c>
      <c r="C42" s="8" t="s">
        <v>45</v>
      </c>
      <c r="D42" s="8" t="s">
        <v>47</v>
      </c>
      <c r="F42" t="s">
        <v>76</v>
      </c>
    </row>
    <row r="43" spans="2:16" ht="17.25" x14ac:dyDescent="0.35">
      <c r="B43" s="9">
        <v>40</v>
      </c>
      <c r="C43" s="10" t="s">
        <v>46</v>
      </c>
      <c r="D43" s="10" t="s">
        <v>47</v>
      </c>
      <c r="F43" t="s">
        <v>77</v>
      </c>
    </row>
    <row r="44" spans="2:16" ht="17.25" x14ac:dyDescent="0.35">
      <c r="B44" s="9">
        <v>41</v>
      </c>
      <c r="C44" t="s">
        <v>118</v>
      </c>
      <c r="D44" s="10"/>
    </row>
    <row r="45" spans="2:16" ht="17.25" x14ac:dyDescent="0.35">
      <c r="B45" s="9">
        <v>42</v>
      </c>
      <c r="C45" s="18" t="s">
        <v>102</v>
      </c>
      <c r="D45" s="10"/>
      <c r="F45" t="s">
        <v>79</v>
      </c>
    </row>
    <row r="46" spans="2:16" ht="17.25" x14ac:dyDescent="0.35">
      <c r="B46" s="366">
        <v>43</v>
      </c>
      <c r="C46" t="s">
        <v>145</v>
      </c>
      <c r="F46" t="s">
        <v>80</v>
      </c>
    </row>
    <row r="48" spans="2:16" ht="17.25" x14ac:dyDescent="0.35">
      <c r="F48" t="s">
        <v>81</v>
      </c>
    </row>
    <row r="49" spans="6:6" ht="17.25" x14ac:dyDescent="0.35">
      <c r="F49" t="s">
        <v>82</v>
      </c>
    </row>
    <row r="51" spans="6:6" ht="17.25" x14ac:dyDescent="0.35">
      <c r="F51" t="s">
        <v>83</v>
      </c>
    </row>
    <row r="52" spans="6:6" ht="17.25" x14ac:dyDescent="0.35">
      <c r="F52" t="s">
        <v>84</v>
      </c>
    </row>
    <row r="54" spans="6:6" ht="17.25" x14ac:dyDescent="0.35">
      <c r="F54" t="s">
        <v>85</v>
      </c>
    </row>
    <row r="55" spans="6:6" ht="17.25" x14ac:dyDescent="0.35">
      <c r="F55" t="s">
        <v>86</v>
      </c>
    </row>
    <row r="57" spans="6:6" ht="17.25" x14ac:dyDescent="0.35">
      <c r="F57" t="s">
        <v>87</v>
      </c>
    </row>
    <row r="58" spans="6:6" ht="17.25" x14ac:dyDescent="0.35">
      <c r="F58" t="s">
        <v>88</v>
      </c>
    </row>
    <row r="60" spans="6:6" ht="17.25" x14ac:dyDescent="0.35">
      <c r="F60" t="s">
        <v>89</v>
      </c>
    </row>
    <row r="61" spans="6:6" ht="17.25" x14ac:dyDescent="0.35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7.25" x14ac:dyDescent="0.35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5"/>
    <row r="6" spans="3:42" x14ac:dyDescent="0.35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5">
      <c r="C7" s="153" t="s">
        <v>121</v>
      </c>
      <c r="D7">
        <v>168</v>
      </c>
      <c r="E7">
        <v>3492</v>
      </c>
      <c r="AN7" t="s">
        <v>137</v>
      </c>
      <c r="AO7" s="229" t="e">
        <f>#REF!/12</f>
        <v>#REF!</v>
      </c>
    </row>
    <row r="8" spans="3:42" x14ac:dyDescent="0.35">
      <c r="C8" s="153" t="s">
        <v>122</v>
      </c>
      <c r="D8">
        <v>180</v>
      </c>
      <c r="E8">
        <v>3931</v>
      </c>
    </row>
    <row r="9" spans="3:42" x14ac:dyDescent="0.35">
      <c r="C9" s="153" t="s">
        <v>117</v>
      </c>
      <c r="D9">
        <v>348</v>
      </c>
      <c r="E9">
        <v>7423</v>
      </c>
      <c r="I9" t="s">
        <v>138</v>
      </c>
    </row>
    <row r="10" spans="3:42" x14ac:dyDescent="0.35">
      <c r="H10" s="230">
        <f>7267*3200</f>
        <v>23254400</v>
      </c>
      <c r="J10" s="232"/>
    </row>
    <row r="11" spans="3:42" x14ac:dyDescent="0.35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35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35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7.25" x14ac:dyDescent="0.35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5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5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5">
      <c r="B16" s="153">
        <v>29</v>
      </c>
      <c r="C16">
        <v>8</v>
      </c>
      <c r="D16">
        <v>217</v>
      </c>
      <c r="E16" s="189">
        <v>27.125</v>
      </c>
    </row>
    <row r="17" spans="2:5" x14ac:dyDescent="0.35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5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5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5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5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5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5">
      <c r="B30" s="153">
        <v>39</v>
      </c>
      <c r="C30">
        <v>7</v>
      </c>
      <c r="D30">
        <v>126</v>
      </c>
      <c r="E30" s="189">
        <v>18</v>
      </c>
    </row>
    <row r="31" spans="2:5" x14ac:dyDescent="0.35">
      <c r="B31" s="153">
        <v>37</v>
      </c>
      <c r="C31">
        <v>4</v>
      </c>
      <c r="D31">
        <v>57</v>
      </c>
      <c r="E31" s="189">
        <v>14.25</v>
      </c>
    </row>
    <row r="32" spans="2:5" x14ac:dyDescent="0.35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2025-11-25T06:08:13Z</dcterms:modified>
</cp:coreProperties>
</file>