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BF0E46C-5207-429F-91AC-7400128D755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Import!$B$6:$N$1869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Import!$B$1:$R$49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Q8" i="1"/>
  <c r="T8" i="1"/>
  <c r="H9" i="1"/>
  <c r="M9" i="1"/>
  <c r="O9" i="1"/>
  <c r="T9" i="1"/>
  <c r="H10" i="1"/>
  <c r="M10" i="1"/>
  <c r="O10" i="1"/>
  <c r="T10" i="1"/>
  <c r="H11" i="1"/>
  <c r="M11" i="1"/>
  <c r="O11" i="1"/>
  <c r="Q11" i="1"/>
  <c r="T11" i="1"/>
  <c r="H12" i="1"/>
  <c r="M12" i="1"/>
  <c r="O12" i="1"/>
  <c r="T12" i="1"/>
  <c r="H13" i="1"/>
  <c r="M13" i="1"/>
  <c r="O13" i="1"/>
  <c r="T13" i="1"/>
  <c r="H14" i="1"/>
  <c r="M14" i="1"/>
  <c r="O14" i="1"/>
  <c r="Q14" i="1"/>
  <c r="T14" i="1"/>
  <c r="H15" i="1"/>
  <c r="M15" i="1"/>
  <c r="O15" i="1"/>
  <c r="T15" i="1"/>
  <c r="H16" i="1"/>
  <c r="M16" i="1"/>
  <c r="O16" i="1"/>
  <c r="T16" i="1"/>
  <c r="H17" i="1"/>
  <c r="M17" i="1"/>
  <c r="O17" i="1"/>
  <c r="T17" i="1"/>
  <c r="H18" i="1"/>
  <c r="M18" i="1"/>
  <c r="O18" i="1"/>
  <c r="Q18" i="1"/>
  <c r="T18" i="1"/>
  <c r="H19" i="1"/>
  <c r="M19" i="1"/>
  <c r="O19" i="1"/>
  <c r="T19" i="1"/>
  <c r="H20" i="1"/>
  <c r="M20" i="1"/>
  <c r="O20" i="1"/>
  <c r="T20" i="1"/>
  <c r="H21" i="1"/>
  <c r="M21" i="1"/>
  <c r="O21" i="1"/>
  <c r="T21" i="1"/>
  <c r="H22" i="1"/>
  <c r="M22" i="1"/>
  <c r="O22" i="1"/>
  <c r="Q22" i="1"/>
  <c r="T22" i="1"/>
  <c r="H23" i="1"/>
  <c r="M23" i="1"/>
  <c r="O23" i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/>
  <c r="T26" i="1"/>
  <c r="H27" i="1"/>
  <c r="M27" i="1"/>
  <c r="O27" i="1"/>
  <c r="Q27" i="1" s="1"/>
  <c r="T27" i="1"/>
  <c r="H28" i="1"/>
  <c r="M28" i="1"/>
  <c r="O28" i="1"/>
  <c r="Q28" i="1" s="1"/>
  <c r="T28" i="1"/>
  <c r="H29" i="1"/>
  <c r="M29" i="1"/>
  <c r="O29" i="1"/>
  <c r="Q29" i="1" s="1"/>
  <c r="T29" i="1"/>
  <c r="H30" i="1"/>
  <c r="M30" i="1"/>
  <c r="O30" i="1"/>
  <c r="Q30" i="1"/>
  <c r="T30" i="1"/>
  <c r="H31" i="1"/>
  <c r="M31" i="1"/>
  <c r="O31" i="1"/>
  <c r="Q31" i="1" s="1"/>
  <c r="T31" i="1"/>
  <c r="H32" i="1"/>
  <c r="M32" i="1"/>
  <c r="O32" i="1"/>
  <c r="Q32" i="1" s="1"/>
  <c r="T32" i="1"/>
  <c r="H33" i="1"/>
  <c r="M33" i="1"/>
  <c r="O33" i="1"/>
  <c r="Q33" i="1" s="1"/>
  <c r="T33" i="1"/>
  <c r="H34" i="1"/>
  <c r="M34" i="1"/>
  <c r="O34" i="1"/>
  <c r="Q34" i="1"/>
  <c r="T34" i="1"/>
  <c r="H35" i="1"/>
  <c r="M35" i="1"/>
  <c r="O35" i="1"/>
  <c r="Q35" i="1" s="1"/>
  <c r="T35" i="1"/>
  <c r="H36" i="1"/>
  <c r="M36" i="1"/>
  <c r="O36" i="1"/>
  <c r="Q36" i="1" s="1"/>
  <c r="T36" i="1"/>
  <c r="H37" i="1"/>
  <c r="M37" i="1"/>
  <c r="O37" i="1"/>
  <c r="Q37" i="1" s="1"/>
  <c r="T37" i="1"/>
  <c r="H38" i="1"/>
  <c r="M38" i="1"/>
  <c r="O38" i="1"/>
  <c r="Q38" i="1"/>
  <c r="T38" i="1"/>
  <c r="H39" i="1"/>
  <c r="M39" i="1"/>
  <c r="O39" i="1"/>
  <c r="Q39" i="1" s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 s="1"/>
  <c r="T43" i="1"/>
  <c r="H44" i="1"/>
  <c r="M44" i="1"/>
  <c r="O44" i="1"/>
  <c r="Q44" i="1" s="1"/>
  <c r="T44" i="1"/>
  <c r="H45" i="1"/>
  <c r="M45" i="1"/>
  <c r="O45" i="1"/>
  <c r="Q45" i="1" s="1"/>
  <c r="T45" i="1"/>
  <c r="H46" i="1"/>
  <c r="M46" i="1"/>
  <c r="O46" i="1"/>
  <c r="Q46" i="1"/>
  <c r="T46" i="1"/>
  <c r="H47" i="1"/>
  <c r="M47" i="1"/>
  <c r="O47" i="1"/>
  <c r="Q47" i="1" s="1"/>
  <c r="T47" i="1"/>
  <c r="H48" i="1"/>
  <c r="M48" i="1"/>
  <c r="O48" i="1"/>
  <c r="Q48" i="1" s="1"/>
  <c r="T48" i="1"/>
  <c r="C49" i="1"/>
  <c r="G49" i="1"/>
  <c r="I12" i="1" s="1"/>
  <c r="F49" i="1"/>
  <c r="E49" i="1"/>
  <c r="G11" i="6"/>
  <c r="F11" i="6"/>
  <c r="E11" i="6"/>
  <c r="T7" i="1"/>
  <c r="O7" i="1"/>
  <c r="Q7" i="1" s="1"/>
  <c r="M7" i="1"/>
  <c r="N9" i="1" s="1"/>
  <c r="H7" i="1"/>
  <c r="P3" i="6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E12" i="3"/>
  <c r="D13" i="3"/>
  <c r="Q23" i="1" l="1"/>
  <c r="Q17" i="1"/>
  <c r="Q16" i="1"/>
  <c r="Q15" i="1"/>
  <c r="Q9" i="1"/>
  <c r="N48" i="1"/>
  <c r="N44" i="1"/>
  <c r="N40" i="1"/>
  <c r="N36" i="1"/>
  <c r="N32" i="1"/>
  <c r="N28" i="1"/>
  <c r="N24" i="1"/>
  <c r="N20" i="1"/>
  <c r="N16" i="1"/>
  <c r="N12" i="1"/>
  <c r="N8" i="1"/>
  <c r="N47" i="1"/>
  <c r="N43" i="1"/>
  <c r="N39" i="1"/>
  <c r="N35" i="1"/>
  <c r="N31" i="1"/>
  <c r="N27" i="1"/>
  <c r="N23" i="1"/>
  <c r="N19" i="1"/>
  <c r="N15" i="1"/>
  <c r="N11" i="1"/>
  <c r="N7" i="1"/>
  <c r="Q21" i="1"/>
  <c r="Q20" i="1"/>
  <c r="Q19" i="1"/>
  <c r="Q13" i="1"/>
  <c r="Q12" i="1"/>
  <c r="N46" i="1"/>
  <c r="N42" i="1"/>
  <c r="N38" i="1"/>
  <c r="N34" i="1"/>
  <c r="N30" i="1"/>
  <c r="N26" i="1"/>
  <c r="N22" i="1"/>
  <c r="N18" i="1"/>
  <c r="N14" i="1"/>
  <c r="N10" i="1"/>
  <c r="Q10" i="1"/>
  <c r="N45" i="1"/>
  <c r="N41" i="1"/>
  <c r="N37" i="1"/>
  <c r="N33" i="1"/>
  <c r="N29" i="1"/>
  <c r="N25" i="1"/>
  <c r="N21" i="1"/>
  <c r="N17" i="1"/>
  <c r="N13" i="1"/>
  <c r="I9" i="1"/>
  <c r="P9" i="1" s="1"/>
  <c r="L9" i="1" s="1"/>
  <c r="I44" i="1"/>
  <c r="J44" i="1" s="1"/>
  <c r="I42" i="1"/>
  <c r="J42" i="1" s="1"/>
  <c r="I41" i="1"/>
  <c r="P41" i="1" s="1"/>
  <c r="L41" i="1" s="1"/>
  <c r="I28" i="1"/>
  <c r="I26" i="1"/>
  <c r="J26" i="1" s="1"/>
  <c r="I8" i="1"/>
  <c r="J8" i="1" s="1"/>
  <c r="I31" i="1"/>
  <c r="J31" i="1" s="1"/>
  <c r="I25" i="1"/>
  <c r="P25" i="1" s="1"/>
  <c r="L25" i="1" s="1"/>
  <c r="I20" i="1"/>
  <c r="J20" i="1" s="1"/>
  <c r="I10" i="1"/>
  <c r="J10" i="1" s="1"/>
  <c r="P12" i="1"/>
  <c r="L12" i="1" s="1"/>
  <c r="J12" i="1"/>
  <c r="P44" i="1"/>
  <c r="L44" i="1" s="1"/>
  <c r="I43" i="1"/>
  <c r="I40" i="1"/>
  <c r="I38" i="1"/>
  <c r="J38" i="1" s="1"/>
  <c r="I37" i="1"/>
  <c r="I27" i="1"/>
  <c r="I24" i="1"/>
  <c r="I18" i="1"/>
  <c r="J18" i="1" s="1"/>
  <c r="I17" i="1"/>
  <c r="I11" i="1"/>
  <c r="I39" i="1"/>
  <c r="I36" i="1"/>
  <c r="I34" i="1"/>
  <c r="J34" i="1" s="1"/>
  <c r="I33" i="1"/>
  <c r="I22" i="1"/>
  <c r="J22" i="1" s="1"/>
  <c r="I21" i="1"/>
  <c r="I19" i="1"/>
  <c r="I16" i="1"/>
  <c r="I14" i="1"/>
  <c r="J14" i="1" s="1"/>
  <c r="I13" i="1"/>
  <c r="P20" i="1"/>
  <c r="L20" i="1" s="1"/>
  <c r="I48" i="1"/>
  <c r="I47" i="1"/>
  <c r="I46" i="1"/>
  <c r="J46" i="1" s="1"/>
  <c r="I45" i="1"/>
  <c r="I35" i="1"/>
  <c r="I32" i="1"/>
  <c r="I30" i="1"/>
  <c r="J30" i="1" s="1"/>
  <c r="I29" i="1"/>
  <c r="I23" i="1"/>
  <c r="I15" i="1"/>
  <c r="J9" i="1"/>
  <c r="P38" i="1"/>
  <c r="L38" i="1" s="1"/>
  <c r="I7" i="1"/>
  <c r="P7" i="1" s="1"/>
  <c r="L7" i="1" s="1"/>
  <c r="H49" i="1"/>
  <c r="U28" i="1" s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9" i="1" l="1"/>
  <c r="U42" i="1"/>
  <c r="U16" i="1"/>
  <c r="U36" i="1"/>
  <c r="U25" i="1"/>
  <c r="U22" i="1"/>
  <c r="U12" i="1"/>
  <c r="U44" i="1"/>
  <c r="U46" i="1"/>
  <c r="U33" i="1"/>
  <c r="U24" i="1"/>
  <c r="U30" i="1"/>
  <c r="U17" i="1"/>
  <c r="U37" i="1"/>
  <c r="U45" i="1"/>
  <c r="U14" i="1"/>
  <c r="U20" i="1"/>
  <c r="U31" i="1"/>
  <c r="U27" i="1"/>
  <c r="U43" i="1"/>
  <c r="U47" i="1"/>
  <c r="U19" i="1"/>
  <c r="U35" i="1"/>
  <c r="U39" i="1"/>
  <c r="U32" i="1"/>
  <c r="U40" i="1"/>
  <c r="U48" i="1"/>
  <c r="U13" i="1"/>
  <c r="U21" i="1"/>
  <c r="P34" i="1"/>
  <c r="L34" i="1" s="1"/>
  <c r="U34" i="1"/>
  <c r="U11" i="1"/>
  <c r="U15" i="1"/>
  <c r="P26" i="1"/>
  <c r="L26" i="1" s="1"/>
  <c r="U29" i="1"/>
  <c r="U41" i="1"/>
  <c r="U26" i="1"/>
  <c r="U38" i="1"/>
  <c r="U10" i="1"/>
  <c r="U18" i="1"/>
  <c r="J25" i="1"/>
  <c r="U8" i="1"/>
  <c r="U23" i="1"/>
  <c r="P10" i="1"/>
  <c r="L10" i="1" s="1"/>
  <c r="P31" i="1"/>
  <c r="L31" i="1" s="1"/>
  <c r="P30" i="1"/>
  <c r="L30" i="1" s="1"/>
  <c r="P42" i="1"/>
  <c r="L42" i="1" s="1"/>
  <c r="P22" i="1"/>
  <c r="L22" i="1" s="1"/>
  <c r="J41" i="1"/>
  <c r="P8" i="1"/>
  <c r="L8" i="1" s="1"/>
  <c r="J28" i="1"/>
  <c r="P28" i="1"/>
  <c r="L28" i="1" s="1"/>
  <c r="P23" i="1"/>
  <c r="L23" i="1" s="1"/>
  <c r="J23" i="1"/>
  <c r="P21" i="1"/>
  <c r="L21" i="1" s="1"/>
  <c r="J21" i="1"/>
  <c r="P17" i="1"/>
  <c r="L17" i="1" s="1"/>
  <c r="J17" i="1"/>
  <c r="J35" i="1"/>
  <c r="P35" i="1"/>
  <c r="L35" i="1" s="1"/>
  <c r="J39" i="1"/>
  <c r="P39" i="1"/>
  <c r="L39" i="1" s="1"/>
  <c r="P37" i="1"/>
  <c r="L37" i="1" s="1"/>
  <c r="J37" i="1"/>
  <c r="P29" i="1"/>
  <c r="L29" i="1" s="1"/>
  <c r="J29" i="1"/>
  <c r="P48" i="1"/>
  <c r="L48" i="1" s="1"/>
  <c r="J48" i="1"/>
  <c r="P16" i="1"/>
  <c r="L16" i="1" s="1"/>
  <c r="J16" i="1"/>
  <c r="P33" i="1"/>
  <c r="L33" i="1" s="1"/>
  <c r="J33" i="1"/>
  <c r="J24" i="1"/>
  <c r="P24" i="1"/>
  <c r="L24" i="1" s="1"/>
  <c r="P32" i="1"/>
  <c r="L32" i="1" s="1"/>
  <c r="J32" i="1"/>
  <c r="P13" i="1"/>
  <c r="L13" i="1" s="1"/>
  <c r="J13" i="1"/>
  <c r="P36" i="1"/>
  <c r="L36" i="1" s="1"/>
  <c r="J36" i="1"/>
  <c r="J43" i="1"/>
  <c r="P43" i="1"/>
  <c r="L43" i="1" s="1"/>
  <c r="J47" i="1"/>
  <c r="P47" i="1"/>
  <c r="L47" i="1" s="1"/>
  <c r="P18" i="1"/>
  <c r="L18" i="1" s="1"/>
  <c r="J7" i="1"/>
  <c r="I49" i="1"/>
  <c r="P14" i="1"/>
  <c r="L14" i="1" s="1"/>
  <c r="P46" i="1"/>
  <c r="L46" i="1" s="1"/>
  <c r="P15" i="1"/>
  <c r="L15" i="1" s="1"/>
  <c r="J15" i="1"/>
  <c r="P45" i="1"/>
  <c r="L45" i="1" s="1"/>
  <c r="J45" i="1"/>
  <c r="P19" i="1"/>
  <c r="L19" i="1" s="1"/>
  <c r="J19" i="1"/>
  <c r="J11" i="1"/>
  <c r="P11" i="1"/>
  <c r="L11" i="1" s="1"/>
  <c r="J27" i="1"/>
  <c r="P27" i="1"/>
  <c r="L27" i="1" s="1"/>
  <c r="J40" i="1"/>
  <c r="P40" i="1"/>
  <c r="L40" i="1" s="1"/>
  <c r="N49" i="1"/>
  <c r="U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9" i="1" l="1"/>
  <c r="R8" i="1"/>
  <c r="S8" i="1" s="1"/>
  <c r="R11" i="1"/>
  <c r="S11" i="1" s="1"/>
  <c r="R20" i="1"/>
  <c r="S20" i="1" s="1"/>
  <c r="R28" i="1"/>
  <c r="S28" i="1" s="1"/>
  <c r="R29" i="1"/>
  <c r="S29" i="1" s="1"/>
  <c r="R30" i="1"/>
  <c r="S30" i="1" s="1"/>
  <c r="R31" i="1"/>
  <c r="S31" i="1" s="1"/>
  <c r="R44" i="1"/>
  <c r="S44" i="1" s="1"/>
  <c r="R45" i="1"/>
  <c r="S45" i="1" s="1"/>
  <c r="R47" i="1"/>
  <c r="S47" i="1" s="1"/>
  <c r="R48" i="1"/>
  <c r="S48" i="1" s="1"/>
  <c r="R10" i="1"/>
  <c r="S10" i="1" s="1"/>
  <c r="R19" i="1"/>
  <c r="S19" i="1" s="1"/>
  <c r="R24" i="1"/>
  <c r="S24" i="1" s="1"/>
  <c r="R26" i="1"/>
  <c r="S26" i="1" s="1"/>
  <c r="R40" i="1"/>
  <c r="S40" i="1" s="1"/>
  <c r="R42" i="1"/>
  <c r="S42" i="1" s="1"/>
  <c r="R43" i="1"/>
  <c r="S43" i="1" s="1"/>
  <c r="R12" i="1"/>
  <c r="S12" i="1" s="1"/>
  <c r="R13" i="1"/>
  <c r="S13" i="1" s="1"/>
  <c r="R14" i="1"/>
  <c r="S14" i="1" s="1"/>
  <c r="R21" i="1"/>
  <c r="S21" i="1" s="1"/>
  <c r="R22" i="1"/>
  <c r="S22" i="1" s="1"/>
  <c r="R32" i="1"/>
  <c r="S32" i="1" s="1"/>
  <c r="R33" i="1"/>
  <c r="S33" i="1" s="1"/>
  <c r="R34" i="1"/>
  <c r="S34" i="1" s="1"/>
  <c r="R35" i="1"/>
  <c r="S35" i="1" s="1"/>
  <c r="R46" i="1"/>
  <c r="S46" i="1" s="1"/>
  <c r="R9" i="1"/>
  <c r="S9" i="1" s="1"/>
  <c r="R15" i="1"/>
  <c r="S15" i="1" s="1"/>
  <c r="R16" i="1"/>
  <c r="S16" i="1" s="1"/>
  <c r="R17" i="1"/>
  <c r="S17" i="1" s="1"/>
  <c r="R18" i="1"/>
  <c r="S18" i="1" s="1"/>
  <c r="R23" i="1"/>
  <c r="S23" i="1" s="1"/>
  <c r="R36" i="1"/>
  <c r="S36" i="1" s="1"/>
  <c r="R37" i="1"/>
  <c r="S37" i="1" s="1"/>
  <c r="R38" i="1"/>
  <c r="S38" i="1" s="1"/>
  <c r="R39" i="1"/>
  <c r="S39" i="1" s="1"/>
  <c r="R25" i="1"/>
  <c r="S25" i="1" s="1"/>
  <c r="R27" i="1"/>
  <c r="S27" i="1" s="1"/>
  <c r="R41" i="1"/>
  <c r="S41" i="1" s="1"/>
  <c r="R7" i="1"/>
  <c r="S7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<sst xmlns="http://schemas.openxmlformats.org/spreadsheetml/2006/main" count="312" uniqueCount="201">
  <si>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</si>
  <si>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</si>
  <si>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</si>
  <si>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</si>
  <si>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</si>
  <si>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</si>
  <si>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</si>
  <si>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</si>
  <si>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</si>
  <si>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</si>
  <si>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</si>
  <si>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</si>
  <si>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</si>
  <si>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</si>
  <si>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</si>
  <si>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</si>
  <si>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</si>
  <si>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</si>
  <si>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</si>
  <si>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</si>
  <si>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</si>
  <si>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</si>
  <si>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</si>
  <si>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</si>
  <si>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</si>
  <si>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</si>
  <si>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</si>
  <si>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</si>
  <si>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</si>
  <si>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</si>
  <si>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</si>
  <si>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</si>
  <si>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</si>
  <si>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</si>
  <si>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</si>
  <si>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</si>
  <si>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</si>
  <si>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</si>
  <si>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</si>
  <si>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</si>
  <si>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</si>
  <si>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</si>
  <si>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</si>
  <si>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</si>
  <si>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</si>
  <si>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</si>
  <si>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</si>
  <si>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</si>
  <si>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</si>
  <si>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</si>
  <si>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</si>
  <si>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</si>
  <si>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</si>
  <si>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</si>
  <si>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</si>
  <si>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</si>
  <si>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</si>
  <si>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</si>
  <si>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</si>
  <si>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</si>
  <si>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</si>
  <si>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</si>
  <si>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</si>
  <si>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</si>
  <si>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</si>
  <si>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</si>
  <si>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</si>
  <si>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</si>
  <si>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</si>
  <si>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</si>
  <si>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</si>
  <si>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</si>
  <si>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</si>
  <si>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</si>
  <si>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</si>
  <si>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</si>
  <si>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</si>
  <si>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</si>
  <si>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</si>
  <si>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</si>
  <si>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</si>
  <si>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</si>
  <si>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</si>
  <si>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</si>
  <si>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</si>
  <si>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</si>
  <si>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</si>
  <si>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</si>
  <si>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</si>
  <si>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</si>
  <si>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</si>
  <si>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</si>
  <si>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</si>
  <si>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</si>
  <si>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</si>
  <si>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</si>
  <si>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</si>
  <si>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</si>
  <si>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</si>
  <si>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</si>
  <si>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</si>
  <si>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</si>
  <si>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</si>
  <si>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</si>
  <si>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</si>
  <si>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</si>
  <si>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</si>
  <si>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</si>
  <si>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</si>
  <si>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</si>
  <si>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</si>
  <si>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</si>
  <si>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</si>
  <si>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</si>
  <si>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</si>
  <si>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</si>
  <si>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</si>
  <si>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</si>
  <si>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</si>
  <si>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</si>
  <si>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</si>
  <si>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</si>
  <si>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</si>
  <si>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</si>
  <si>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</si>
  <si>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</si>
  <si>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</si>
  <si>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</si>
  <si>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</si>
  <si>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</si>
  <si>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</si>
  <si>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</si>
  <si>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</si>
  <si>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</si>
  <si>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</si>
  <si>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</si>
  <si>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</si>
  <si>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</si>
  <si>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</si>
  <si>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</si>
  <si>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</si>
  <si>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</si>
  <si>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</si>
  <si>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</si>
  <si>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</si>
  <si>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</si>
  <si>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SANCHEZ BETANCOURT FRANSCISCO</t>
  </si>
  <si>
    <t>ALBERTO ARISTIZABAL RAFAEL</t>
  </si>
  <si>
    <t>MURILLO  YORMAN ANDRES</t>
  </si>
  <si>
    <t>DAVID  HENRY GIOVANNY</t>
  </si>
  <si>
    <t>PEREZ GARCIA JUAN ESTEBAN</t>
  </si>
  <si>
    <t>GONZALEZ IPUANA RENE</t>
  </si>
  <si>
    <t>OSORIO URREGO SANTIAGO</t>
  </si>
  <si>
    <t>TSJ935</t>
  </si>
  <si>
    <t>TSJ338</t>
  </si>
  <si>
    <t>OCAMPO OCAMPO ANTONIO JOSE</t>
  </si>
  <si>
    <t>MARTINEZ CHAVERRA LUIS NORBERTO</t>
  </si>
  <si>
    <t>MARIN ALZATE KEVIN ANDRES</t>
  </si>
  <si>
    <t>MIRANDA MACHADO ALVARO</t>
  </si>
  <si>
    <t>SUAREZ ESCUDERO JONATAN</t>
  </si>
  <si>
    <t>LONDOÑO LOPERA DUVAN ANDRES</t>
  </si>
  <si>
    <t>MARULANDA JARAMILLO DAWER ANDRES</t>
  </si>
  <si>
    <t>MACEA ARBELAEZ MATEO</t>
  </si>
  <si>
    <t>PARIAS MURIEL JHON FREDY</t>
  </si>
  <si>
    <t>ESPINOZA CHAVARRIA GUILLERMO LEON</t>
  </si>
  <si>
    <t>JARAMILLO JARAMILLO FRANCISCO WBEIMAR</t>
  </si>
  <si>
    <t>PARRA VILLA YUBER ALONSO</t>
  </si>
  <si>
    <t>CARTAGENA RAMIREZ FREDY ALONSO</t>
  </si>
  <si>
    <t>QUIRAMA CASTAÑEDA JHON JADER</t>
  </si>
  <si>
    <t>SALDARRIAGA PARRA LUIS ALBERTO</t>
  </si>
  <si>
    <t>CALLE BOTERO ANDRES CAMILO</t>
  </si>
  <si>
    <t>YEPES TORRES JHON ALEXANDER</t>
  </si>
  <si>
    <t>VERENZUELA MARTINEZ ALEXANDER</t>
  </si>
  <si>
    <t>LEON PEREZ RAUL ENRIQUE</t>
  </si>
  <si>
    <t>JIMENEZ HURTADO CARLOS ESTIVEN</t>
  </si>
  <si>
    <t>HINCAPIE VILLA JUAN ESTIVEN</t>
  </si>
  <si>
    <t>LOPERA ALVAREZ ESTIVEN</t>
  </si>
  <si>
    <t>JIMENEZ HERNANDEZ ESTEBAN CAMILO</t>
  </si>
  <si>
    <t>DURANGO DAVID JOSE</t>
  </si>
  <si>
    <t>MONTOYA OSPINA GILBERTO ANTONIO</t>
  </si>
  <si>
    <t>TUBERQUIA URREGO HAROL</t>
  </si>
  <si>
    <t>CIRO MARIN RODRIGO ALBERTO</t>
  </si>
  <si>
    <t>LOPEZ PINEDA DANIEL ESTIVEN</t>
  </si>
  <si>
    <t>PALMAR PANA EDIXON JOSUE</t>
  </si>
  <si>
    <t>AGUDELO GARCIA DENIN ANGELO</t>
  </si>
  <si>
    <t>GONZALEZ PEREZ RAFAEL JOSE</t>
  </si>
  <si>
    <t>IBARGUEN GARRIDO JUAN ESTEBAN</t>
  </si>
  <si>
    <t>GUTIERREZ ARICAPA DANIEL HUMBERTO</t>
  </si>
  <si>
    <t xml:space="preserve">HERNANDEZ MACIAS GILBERTO </t>
  </si>
  <si>
    <t xml:space="preserve">JULIAN MACIAS Realizó 4 viajes donde movilizó 58 Usuarios </t>
  </si>
  <si>
    <t xml:space="preserve">2 Descuentos (despachador y conduct) </t>
  </si>
  <si>
    <t xml:space="preserve">4 Descuentos (transbordo y despachador) </t>
  </si>
  <si>
    <t xml:space="preserve">1 Desucuento (Conduct) </t>
  </si>
  <si>
    <t xml:space="preserve">4 Descuentos (transbordo) </t>
  </si>
  <si>
    <t xml:space="preserve">2 Descuentos (Usuarios desubicados) </t>
  </si>
  <si>
    <t xml:space="preserve">1 Descuento (Despachador) </t>
  </si>
  <si>
    <t>4 Descuentos (conducts y asociado)</t>
  </si>
  <si>
    <t xml:space="preserve">2 Descuentos (oficina y despachador) </t>
  </si>
  <si>
    <t xml:space="preserve">1 Descuento (Usuario desubicado) </t>
  </si>
  <si>
    <t xml:space="preserve">20 Descuentos (transbordo)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</si>
  <si>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20.7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</si>
</sst>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alisto MT"/>
      <family val="2"/>
      <scheme val="minor"/>
    </font>
    <font>
      <sz val="11"/>
      <color theme="1"/>
      <name val="Calisto MT"/>
      <family val="2"/>
      <scheme val="minor"/>
    </font>
    <font>
      <sz val="11"/>
      <color theme="0"/>
      <name val="Calisto MT"/>
      <family val="2"/>
      <scheme val="minor"/>
    </font>
    <font>
      <b/>
      <sz val="11"/>
      <color theme="0"/>
      <name val="Calisto MT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alisto MT"/>
      <family val="2"/>
      <scheme val="minor"/>
    </font>
    <font>
      <sz val="11"/>
      <color rgb="FFFF0000"/>
      <name val="Calisto MT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alisto MT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alisto MT"/>
      <family val="2"/>
      <scheme val="minor"/>
    </font>
    <font>
      <b/>
      <sz val="14"/>
      <color theme="1"/>
      <name val="Calisto MT"/>
      <family val="2"/>
      <scheme val="minor"/>
    </font>
    <font>
      <sz val="8"/>
      <name val="Calisto MT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Import!$C$7:$C$49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 formatCode="General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 formatCode="General">
                  <c:v>22</c:v>
                </c:pt>
                <c:pt idx="21" formatCode="General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 formatCode="General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 formatCode="General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</c:numCache>
            </c:numRef>
          </c:cat>
          <c:val>
            <c:numRef>
              <c:f>Import!$H$7:$H$49</c:f>
              <c:numCache>
                <c:formatCode>_-* #,##0.0_-;\-* #,##0.0_-;_-* "-"??_-;_-@_-</c:formatCode>
                <c:ptCount val="42"/>
                <c:pt idx="0">
                  <c:v>14.666666666666666</c:v>
                </c:pt>
                <c:pt idx="1">
                  <c:v>21.111111111111111</c:v>
                </c:pt>
                <c:pt idx="2">
                  <c:v>20.444444444444443</c:v>
                </c:pt>
                <c:pt idx="3">
                  <c:v>17.555555555555557</c:v>
                </c:pt>
                <c:pt idx="4">
                  <c:v>21.555555555555557</c:v>
                </c:pt>
                <c:pt idx="5">
                  <c:v>18.75</c:v>
                </c:pt>
                <c:pt idx="6">
                  <c:v>26.75</c:v>
                </c:pt>
                <c:pt idx="7">
                  <c:v>15.7</c:v>
                </c:pt>
                <c:pt idx="8">
                  <c:v>21.875</c:v>
                </c:pt>
                <c:pt idx="9">
                  <c:v>21.222222222222221</c:v>
                </c:pt>
                <c:pt idx="10">
                  <c:v>23</c:v>
                </c:pt>
                <c:pt idx="11">
                  <c:v>23.4</c:v>
                </c:pt>
                <c:pt idx="12">
                  <c:v>21.7</c:v>
                </c:pt>
                <c:pt idx="13">
                  <c:v>23.571428571428573</c:v>
                </c:pt>
                <c:pt idx="14">
                  <c:v>19.666666666666668</c:v>
                </c:pt>
                <c:pt idx="15">
                  <c:v>17</c:v>
                </c:pt>
                <c:pt idx="16">
                  <c:v>21.555555555555557</c:v>
                </c:pt>
                <c:pt idx="17">
                  <c:v>19.875</c:v>
                </c:pt>
                <c:pt idx="18">
                  <c:v>19.3</c:v>
                </c:pt>
                <c:pt idx="19">
                  <c:v>19.428571428571427</c:v>
                </c:pt>
                <c:pt idx="20">
                  <c:v>24.25</c:v>
                </c:pt>
                <c:pt idx="21">
                  <c:v>23.285714285714285</c:v>
                </c:pt>
                <c:pt idx="22">
                  <c:v>19.5</c:v>
                </c:pt>
                <c:pt idx="23">
                  <c:v>24.285714285714285</c:v>
                </c:pt>
                <c:pt idx="24">
                  <c:v>16.7</c:v>
                </c:pt>
                <c:pt idx="25">
                  <c:v>19.692307692307693</c:v>
                </c:pt>
                <c:pt idx="26">
                  <c:v>23.75</c:v>
                </c:pt>
                <c:pt idx="27">
                  <c:v>19</c:v>
                </c:pt>
                <c:pt idx="28">
                  <c:v>23.4</c:v>
                </c:pt>
                <c:pt idx="29">
                  <c:v>17.600000000000001</c:v>
                </c:pt>
                <c:pt idx="30">
                  <c:v>19.7</c:v>
                </c:pt>
                <c:pt idx="31">
                  <c:v>21.25</c:v>
                </c:pt>
                <c:pt idx="32">
                  <c:v>27.1</c:v>
                </c:pt>
                <c:pt idx="33">
                  <c:v>24.7</c:v>
                </c:pt>
                <c:pt idx="34">
                  <c:v>24.4</c:v>
                </c:pt>
                <c:pt idx="35">
                  <c:v>22.571428571428573</c:v>
                </c:pt>
                <c:pt idx="36">
                  <c:v>20.222222222222221</c:v>
                </c:pt>
                <c:pt idx="37">
                  <c:v>16.3</c:v>
                </c:pt>
                <c:pt idx="38">
                  <c:v>17.8</c:v>
                </c:pt>
                <c:pt idx="39">
                  <c:v>14.444444444444445</c:v>
                </c:pt>
                <c:pt idx="40">
                  <c:v>23.555555555555557</c:v>
                </c:pt>
                <c:pt idx="41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7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52426" y="90061"/>
    <xdr:ext cx="2298906" cy="1357739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352426" y="90061"/>
          <a:ext cx="2298906" cy="1357739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9" totalsRowCount="1" headerRowDxfId="62" dataDxfId="61" totalsRowDxfId="60">
  <sortState xmlns:xlrd2="http://schemas.microsoft.com/office/spreadsheetml/2017/richdata2" ref="B7:N28">
    <sortCondition descending="1" ref="H7:H28"/>
  </sortState>
  <tableColumns count="13">
    <tableColumn id="1" xr3:uid="{00000000-0010-0000-0000-000001000000}" name="RUTA" dataDxfId="25" totalsRowDxfId="13"/>
    <tableColumn id="2" xr3:uid="{00000000-0010-0000-0000-000002000000}" name="VEH" totalsRowFunction="countNums" dataDxfId="24" totalsRowDxfId="12"/>
    <tableColumn id="3" xr3:uid="{00000000-0010-0000-0000-000003000000}" name="CONDUCTOR" totalsRowLabel="Vehs " dataDxfId="23" totalsRowDxfId="11"/>
    <tableColumn id="4" xr3:uid="{00000000-0010-0000-0000-000004000000}" name="VIAJES" totalsRowFunction="sum" dataDxfId="22" totalsRowDxfId="10"/>
    <tableColumn id="5" xr3:uid="{00000000-0010-0000-0000-000005000000}" name="VIAJES PERD." totalsRowFunction="sum" dataDxfId="21" totalsRowDxfId="9"/>
    <tableColumn id="6" xr3:uid="{00000000-0010-0000-0000-000006000000}" name="USUARIOS" totalsRowFunction="sum" dataDxfId="20" totalsRowDxfId="8" dataCellStyle="Millares"/>
    <tableColumn id="12" xr3:uid="{00000000-0010-0000-0000-00000C000000}" name="PROM X VIAJE" totalsRowFunction="custom" dataDxfId="19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0.7 USUARIOS " dataDxfId="16" totalsRowDxfId="4"/>
    <tableColumn id="9" xr3:uid="{00000000-0010-0000-0000-000009000000}" name="VALOR OPERACIÓN" dataDxfId="15" totalsRowDxfId="3">
      <calculatedColumnFormula>P7*585</calculatedColumnFormula>
    </tableColumn>
    <tableColumn id="10" xr3:uid="{00000000-0010-0000-0000-00000A000000}" name="CLASIFIC." dataDxfId="14" totalsRowDxfId="2">
      <calculatedColumnFormula>+VLOOKUP(C7,Lista!B:D,3,0)</calculatedColumnFormula>
    </tableColumn>
    <tableColumn id="11" xr3:uid="{00000000-0010-0000-0000-00000B000000}" name="DIFER. MICRO - BUS " totalsRowFunction="sum" dataDxfId="0" totalsRowDxfId="1" dataCellStyle="Millares">
      <calculatedColumnFormula>+(SUMIFS(G:G,M:M,"MICRO",E:E,"&gt;0")*100)/COUNTIF($E$7:$E$48,"&gt;0")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izarr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izarra">
      <a:maj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zarra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0000"/>
                <a:lumMod val="90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63500" dist="25400" dir="5400000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a:effectStyle>
      </a:effectStyleLst>
      <a:bgFillStyleLst>
        <a:solidFill>
          <a:schemeClr val="phClr"/>
        </a:solidFill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80000"/>
                <a:lumMod val="80000"/>
              </a:schemeClr>
              <a:schemeClr val="phClr">
                <a:tint val="98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ate" id="{C3F70B94-7CE9-428E-ADC1-3269CC2C3385}" vid="{3F2DE9A5-64E6-437C-A389-CC4477E817E8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9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10.375" style="362" hidden="1" customWidth="1"/>
    <col min="11" max="11" width="55.5" customWidth="1"/>
    <col min="12" max="12" width="10.5" style="337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8.5" thickBot="1" x14ac:dyDescent="0.3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+SUM(G6:G1860)/2</f>
        <v>7675</v>
      </c>
      <c r="R3" s="55">
        <f>+SUM(E6:E1860)/2</f>
        <v>370</v>
      </c>
      <c r="S3" s="55">
        <f>+Q3-R3</f>
        <v>7305</v>
      </c>
      <c r="T3" s="56">
        <f>+S3/R3</f>
        <v>19.743243243243242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45987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159</v>
      </c>
      <c r="E7" s="150">
        <v>6</v>
      </c>
      <c r="F7" s="150">
        <v>0</v>
      </c>
      <c r="G7" s="165">
        <v>88</v>
      </c>
      <c r="H7" s="226">
        <f t="shared" ref="H7:H48" si="0">+G7/E7</f>
        <v>14.666666666666666</v>
      </c>
      <c r="I7" s="227">
        <f>+(SUM($G$7:$G$1048576)/SUM($E$7:$E$1048576))*E7</f>
        <v>124.45945945945945</v>
      </c>
      <c r="J7" s="363">
        <f>+Tabla2[[#This Row],[PROM DE USUARIOS]]-Tabla2[[#This Row],[USUARIOS]]</f>
        <v>36.459459459459453</v>
      </c>
      <c r="K7" s="151" t="s">
        <v>199</v>
      </c>
      <c r="L7" s="163">
        <f t="shared" ref="L7:L19" si="1">P7*585</f>
        <v>69298.783783783787</v>
      </c>
      <c r="M7" s="162" t="str">
        <f>+VLOOKUP(C7,Lista!B:D,3,0)</f>
        <v>MICRO</v>
      </c>
      <c r="N7" s="365">
        <f t="shared" ref="N7:N48" si="2">+(SUMIFS(G:G,M:M,"MICRO",E:E,"&gt;0")*100)/COUNTIF($E$7:$E$48,"&gt;0")</f>
        <v>10750</v>
      </c>
      <c r="O7" s="50">
        <f t="shared" ref="O7:O19" si="3">+(E7*1)-V7</f>
        <v>6</v>
      </c>
      <c r="P7" s="47">
        <f t="shared" ref="P7:P19" si="4">+I7-O7-W7</f>
        <v>118.45945945945945</v>
      </c>
      <c r="Q7" s="49">
        <f t="shared" ref="Q7:Q19" si="5">+G7-O7</f>
        <v>82</v>
      </c>
      <c r="R7" s="51">
        <f t="shared" ref="R7:R19" si="6">+E7*$T$3</f>
        <v>118.45945945945945</v>
      </c>
      <c r="S7" s="46">
        <f t="shared" ref="S7:S47" si="7">+R7*550</f>
        <v>65152.7027027027</v>
      </c>
      <c r="T7" t="str">
        <f t="shared" ref="T7:T19" si="8">+IF(K7&lt;&gt;"",K7,"")</f>
        <v xml:space="preserve">20 Descuentos (transbordo) </v>
      </c>
      <c r="U7">
        <f>+RANK(H7,$H$6:$H$1048576,1)</f>
        <v>2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122</v>
      </c>
      <c r="C8" s="166">
        <v>2</v>
      </c>
      <c r="D8" s="151" t="s">
        <v>163</v>
      </c>
      <c r="E8" s="150">
        <v>9</v>
      </c>
      <c r="F8" s="150">
        <v>0</v>
      </c>
      <c r="G8" s="146">
        <v>190</v>
      </c>
      <c r="H8" s="226">
        <f t="shared" ref="H8:H48" si="9">+G8/E8</f>
        <v>21.111111111111111</v>
      </c>
      <c r="I8" s="227">
        <f t="shared" ref="I8:I48" si="10">+(SUM($G$7:$G$1048576)/SUM($E$7:$E$1048576))*E8</f>
        <v>186.68918918918916</v>
      </c>
      <c r="J8" s="363">
        <f>+Tabla2[[#This Row],[PROM DE USUARIOS]]-Tabla2[[#This Row],[USUARIOS]]</f>
        <v>-3.3108108108108354</v>
      </c>
      <c r="K8" s="151" t="s">
        <v>190</v>
      </c>
      <c r="L8" s="163">
        <f t="shared" ref="L8:L48" si="11">P8*585</f>
        <v>103948.17567567567</v>
      </c>
      <c r="M8" s="162">
        <f>+VLOOKUP(C8,Lista!B:D,3,0)</f>
        <v>0</v>
      </c>
      <c r="N8" s="365">
        <f t="shared" si="2"/>
        <v>10750</v>
      </c>
      <c r="O8" s="50">
        <f t="shared" ref="O8:O48" si="12">+(E8*1)-V8</f>
        <v>9</v>
      </c>
      <c r="P8" s="47">
        <f t="shared" ref="P8:P48" si="13">+I8-O8-W8</f>
        <v>177.68918918918916</v>
      </c>
      <c r="Q8" s="49">
        <f t="shared" ref="Q8:Q48" si="14">+G8-O8</f>
        <v>181</v>
      </c>
      <c r="R8" s="51">
        <f t="shared" ref="R8:R48" si="15">+E8*$T$3</f>
        <v>177.68918918918916</v>
      </c>
      <c r="S8" s="46">
        <f t="shared" ref="S8:S48" si="16">+R8*550</f>
        <v>97729.054054054039</v>
      </c>
      <c r="T8" t="str">
        <f t="shared" ref="T8:T48" si="17">+IF(K8&lt;&gt;"",K8,"")</f>
        <v xml:space="preserve">2 Descuentos (despachador y conduct) </v>
      </c>
      <c r="U8">
        <f t="shared" ref="U8:U48" si="18">+RANK(H8,$H$6:$H$1048576,1)</f>
        <v>22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164</v>
      </c>
      <c r="E9" s="150">
        <v>9</v>
      </c>
      <c r="F9" s="150">
        <v>0</v>
      </c>
      <c r="G9" s="146">
        <v>184</v>
      </c>
      <c r="H9" s="226">
        <f t="shared" si="9"/>
        <v>20.444444444444443</v>
      </c>
      <c r="I9" s="227">
        <f t="shared" si="10"/>
        <v>186.68918918918916</v>
      </c>
      <c r="J9" s="363">
        <f>+Tabla2[[#This Row],[PROM DE USUARIOS]]-Tabla2[[#This Row],[USUARIOS]]</f>
        <v>2.6891891891891646</v>
      </c>
      <c r="K9" s="151"/>
      <c r="L9" s="163">
        <f t="shared" si="11"/>
        <v>103948.17567567567</v>
      </c>
      <c r="M9" s="162" t="str">
        <f>+VLOOKUP(C9,Lista!B:D,3,0)</f>
        <v>MICRO</v>
      </c>
      <c r="N9" s="365">
        <f t="shared" si="2"/>
        <v>10750</v>
      </c>
      <c r="O9" s="50">
        <f t="shared" si="12"/>
        <v>9</v>
      </c>
      <c r="P9" s="47">
        <f t="shared" si="13"/>
        <v>177.68918918918916</v>
      </c>
      <c r="Q9" s="49">
        <f t="shared" si="14"/>
        <v>175</v>
      </c>
      <c r="R9" s="51">
        <f t="shared" si="15"/>
        <v>177.68918918918916</v>
      </c>
      <c r="S9" s="46">
        <f t="shared" si="16"/>
        <v>97729.054054054039</v>
      </c>
      <c r="T9" t="str">
        <f t="shared" si="17"/>
        <v/>
      </c>
      <c r="U9">
        <f t="shared" si="18"/>
        <v>20</v>
      </c>
      <c r="Y9" t="str">
        <f>TRIM(Tabla2[[#This Row],[CONDUCTOR]])</f>
        <v>ESPINOZA CHAVARRIA GUILLERMO LEON</v>
      </c>
    </row>
    <row r="10" spans="1:32" x14ac:dyDescent="0.2">
      <c r="B10" s="136" t="s">
        <v>122</v>
      </c>
      <c r="C10" s="166">
        <v>4</v>
      </c>
      <c r="D10" s="151" t="s">
        <v>146</v>
      </c>
      <c r="E10" s="150">
        <v>9</v>
      </c>
      <c r="F10" s="150">
        <v>0</v>
      </c>
      <c r="G10" s="165">
        <v>158</v>
      </c>
      <c r="H10" s="226">
        <f t="shared" si="9"/>
        <v>17.555555555555557</v>
      </c>
      <c r="I10" s="227">
        <f t="shared" si="10"/>
        <v>186.68918918918916</v>
      </c>
      <c r="J10" s="363">
        <f>+Tabla2[[#This Row],[PROM DE USUARIOS]]-Tabla2[[#This Row],[USUARIOS]]</f>
        <v>28.689189189189165</v>
      </c>
      <c r="K10" s="151"/>
      <c r="L10" s="163">
        <f t="shared" si="11"/>
        <v>103948.17567567567</v>
      </c>
      <c r="M10" s="162" t="str">
        <f>+VLOOKUP(C10,Lista!B:D,3,0)</f>
        <v>MICRO</v>
      </c>
      <c r="N10" s="365">
        <f t="shared" si="2"/>
        <v>10750</v>
      </c>
      <c r="O10" s="50">
        <f t="shared" si="12"/>
        <v>9</v>
      </c>
      <c r="P10" s="47">
        <f t="shared" si="13"/>
        <v>177.68918918918916</v>
      </c>
      <c r="Q10" s="49">
        <f t="shared" si="14"/>
        <v>149</v>
      </c>
      <c r="R10" s="51">
        <f t="shared" si="15"/>
        <v>177.68918918918916</v>
      </c>
      <c r="S10" s="46">
        <f t="shared" si="16"/>
        <v>97729.054054054039</v>
      </c>
      <c r="T10" t="str">
        <f t="shared" si="17"/>
        <v/>
      </c>
      <c r="U10">
        <f t="shared" si="18"/>
        <v>7</v>
      </c>
      <c r="Y10" t="str">
        <f>TRIM(Tabla2[[#This Row],[CONDUCTOR]])</f>
        <v>SANCHEZ BETANCOURT FRANSCISCO</v>
      </c>
    </row>
    <row r="11" spans="1:32" x14ac:dyDescent="0.2">
      <c r="B11" s="136" t="s">
        <v>121</v>
      </c>
      <c r="C11" s="137">
        <v>5</v>
      </c>
      <c r="D11" s="151" t="s">
        <v>160</v>
      </c>
      <c r="E11" s="150">
        <v>9</v>
      </c>
      <c r="F11" s="150">
        <v>0</v>
      </c>
      <c r="G11" s="165">
        <v>194</v>
      </c>
      <c r="H11" s="226">
        <f t="shared" si="9"/>
        <v>21.555555555555557</v>
      </c>
      <c r="I11" s="227">
        <f t="shared" si="10"/>
        <v>186.68918918918916</v>
      </c>
      <c r="J11" s="363">
        <f>+Tabla2[[#This Row],[PROM DE USUARIOS]]-Tabla2[[#This Row],[USUARIOS]]</f>
        <v>-7.3108108108108354</v>
      </c>
      <c r="K11" s="151"/>
      <c r="L11" s="163">
        <f t="shared" si="11"/>
        <v>103948.17567567567</v>
      </c>
      <c r="M11" s="162">
        <f>+VLOOKUP(C11,Lista!B:D,3,0)</f>
        <v>0</v>
      </c>
      <c r="N11" s="365">
        <f t="shared" si="2"/>
        <v>10750</v>
      </c>
      <c r="O11" s="50">
        <f t="shared" si="12"/>
        <v>9</v>
      </c>
      <c r="P11" s="47">
        <f t="shared" si="13"/>
        <v>177.68918918918916</v>
      </c>
      <c r="Q11" s="49">
        <f t="shared" si="14"/>
        <v>185</v>
      </c>
      <c r="R11" s="51">
        <f t="shared" si="15"/>
        <v>177.68918918918916</v>
      </c>
      <c r="S11" s="46">
        <f t="shared" si="16"/>
        <v>97729.054054054039</v>
      </c>
      <c r="T11" t="str">
        <f t="shared" si="17"/>
        <v/>
      </c>
      <c r="U11">
        <f t="shared" si="18"/>
        <v>25</v>
      </c>
      <c r="Y11" t="str">
        <f>TRIM(Tabla2[[#This Row],[CONDUCTOR]])</f>
        <v>LONDOÑO LOPERA DUVAN ANDRES</v>
      </c>
    </row>
    <row r="12" spans="1:32" x14ac:dyDescent="0.2">
      <c r="B12" s="136" t="s">
        <v>122</v>
      </c>
      <c r="C12" s="166">
        <v>6</v>
      </c>
      <c r="D12" s="151" t="s">
        <v>182</v>
      </c>
      <c r="E12" s="150">
        <v>8</v>
      </c>
      <c r="F12" s="150">
        <v>0</v>
      </c>
      <c r="G12" s="146">
        <v>150</v>
      </c>
      <c r="H12" s="226">
        <f t="shared" si="9"/>
        <v>18.75</v>
      </c>
      <c r="I12" s="227">
        <f t="shared" si="10"/>
        <v>165.94594594594594</v>
      </c>
      <c r="J12" s="363">
        <f>+Tabla2[[#This Row],[PROM DE USUARIOS]]-Tabla2[[#This Row],[USUARIOS]]</f>
        <v>15.945945945945937</v>
      </c>
      <c r="K12" s="151"/>
      <c r="L12" s="163">
        <f t="shared" si="11"/>
        <v>92398.378378378373</v>
      </c>
      <c r="M12" s="162" t="str">
        <f>+VLOOKUP(C12,Lista!B:D,3,0)</f>
        <v>MICRO</v>
      </c>
      <c r="N12" s="365">
        <f t="shared" si="2"/>
        <v>10750</v>
      </c>
      <c r="O12" s="50">
        <f t="shared" si="12"/>
        <v>8</v>
      </c>
      <c r="P12" s="47">
        <f t="shared" si="13"/>
        <v>157.94594594594594</v>
      </c>
      <c r="Q12" s="49">
        <f t="shared" si="14"/>
        <v>142</v>
      </c>
      <c r="R12" s="51">
        <f t="shared" si="15"/>
        <v>157.94594594594594</v>
      </c>
      <c r="S12" s="46">
        <f t="shared" si="16"/>
        <v>86870.270270270266</v>
      </c>
      <c r="T12" t="str">
        <f t="shared" si="17"/>
        <v/>
      </c>
      <c r="U12">
        <f t="shared" si="18"/>
        <v>10</v>
      </c>
      <c r="Y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7</v>
      </c>
      <c r="D13" s="151" t="s">
        <v>180</v>
      </c>
      <c r="E13" s="150">
        <v>8</v>
      </c>
      <c r="F13" s="150">
        <v>0</v>
      </c>
      <c r="G13" s="165">
        <v>214</v>
      </c>
      <c r="H13" s="226">
        <f t="shared" si="9"/>
        <v>26.75</v>
      </c>
      <c r="I13" s="227">
        <f t="shared" si="10"/>
        <v>165.94594594594594</v>
      </c>
      <c r="J13" s="363">
        <f>+Tabla2[[#This Row],[PROM DE USUARIOS]]-Tabla2[[#This Row],[USUARIOS]]</f>
        <v>-48.054054054054063</v>
      </c>
      <c r="K13" s="151"/>
      <c r="L13" s="163">
        <f t="shared" si="11"/>
        <v>92398.378378378373</v>
      </c>
      <c r="M13" s="162">
        <f>+VLOOKUP(C13,Lista!B:D,3,0)</f>
        <v>0</v>
      </c>
      <c r="N13" s="365">
        <f t="shared" si="2"/>
        <v>10750</v>
      </c>
      <c r="O13" s="50">
        <f t="shared" si="12"/>
        <v>8</v>
      </c>
      <c r="P13" s="47">
        <f t="shared" si="13"/>
        <v>157.94594594594594</v>
      </c>
      <c r="Q13" s="49">
        <f t="shared" si="14"/>
        <v>206</v>
      </c>
      <c r="R13" s="51">
        <f t="shared" si="15"/>
        <v>157.94594594594594</v>
      </c>
      <c r="S13" s="46">
        <f t="shared" si="16"/>
        <v>86870.270270270266</v>
      </c>
      <c r="T13" t="str">
        <f t="shared" si="17"/>
        <v/>
      </c>
      <c r="U13">
        <f t="shared" si="18"/>
        <v>42</v>
      </c>
      <c r="Y13" t="str">
        <f>TRIM(Tabla2[[#This Row],[CONDUCTOR]])</f>
        <v>TUBERQUIA URREGO HAROL</v>
      </c>
    </row>
    <row r="14" spans="1:32" x14ac:dyDescent="0.2">
      <c r="B14" s="136" t="s">
        <v>122</v>
      </c>
      <c r="C14" s="166">
        <v>8</v>
      </c>
      <c r="D14" s="151" t="s">
        <v>185</v>
      </c>
      <c r="E14" s="150">
        <v>10</v>
      </c>
      <c r="F14" s="150">
        <v>0</v>
      </c>
      <c r="G14" s="165">
        <v>157</v>
      </c>
      <c r="H14" s="226">
        <f t="shared" si="9"/>
        <v>15.7</v>
      </c>
      <c r="I14" s="227">
        <f t="shared" si="10"/>
        <v>207.43243243243242</v>
      </c>
      <c r="J14" s="363">
        <f>+Tabla2[[#This Row],[PROM DE USUARIOS]]-Tabla2[[#This Row],[USUARIOS]]</f>
        <v>50.432432432432421</v>
      </c>
      <c r="K14" s="151" t="s">
        <v>191</v>
      </c>
      <c r="L14" s="163">
        <f t="shared" si="11"/>
        <v>115497.97297297297</v>
      </c>
      <c r="M14" s="162">
        <f>+VLOOKUP(C14,Lista!B:D,3,0)</f>
        <v>0</v>
      </c>
      <c r="N14" s="365">
        <f t="shared" si="2"/>
        <v>10750</v>
      </c>
      <c r="O14" s="50">
        <f t="shared" si="12"/>
        <v>10</v>
      </c>
      <c r="P14" s="47">
        <f t="shared" si="13"/>
        <v>197.43243243243242</v>
      </c>
      <c r="Q14" s="49">
        <f t="shared" si="14"/>
        <v>147</v>
      </c>
      <c r="R14" s="51">
        <f t="shared" si="15"/>
        <v>197.43243243243242</v>
      </c>
      <c r="S14" s="46">
        <f t="shared" si="16"/>
        <v>108587.83783783783</v>
      </c>
      <c r="T14" t="str">
        <f t="shared" si="17"/>
        <v xml:space="preserve">4 Descuentos (transbordo y despachador) </v>
      </c>
      <c r="U14">
        <f t="shared" si="18"/>
        <v>3</v>
      </c>
      <c r="Y14" t="str">
        <f>TRIM(Tabla2[[#This Row],[CONDUCTOR]])</f>
        <v>GONZALEZ PEREZ RAFAEL JOSE</v>
      </c>
    </row>
    <row r="15" spans="1:32" x14ac:dyDescent="0.2">
      <c r="B15" s="136" t="s">
        <v>121</v>
      </c>
      <c r="C15" s="166">
        <v>9</v>
      </c>
      <c r="D15" s="151" t="s">
        <v>167</v>
      </c>
      <c r="E15" s="150">
        <v>8</v>
      </c>
      <c r="F15" s="150">
        <v>0</v>
      </c>
      <c r="G15" s="165">
        <v>175</v>
      </c>
      <c r="H15" s="226">
        <f t="shared" si="9"/>
        <v>21.875</v>
      </c>
      <c r="I15" s="227">
        <f t="shared" si="10"/>
        <v>165.94594594594594</v>
      </c>
      <c r="J15" s="363">
        <f>+Tabla2[[#This Row],[PROM DE USUARIOS]]-Tabla2[[#This Row],[USUARIOS]]</f>
        <v>-9.0540540540540633</v>
      </c>
      <c r="K15" s="151"/>
      <c r="L15" s="163">
        <f t="shared" si="11"/>
        <v>92398.378378378373</v>
      </c>
      <c r="M15" s="162" t="str">
        <f>+VLOOKUP(C15,Lista!B:D,3,0)</f>
        <v>MICRO</v>
      </c>
      <c r="N15" s="365">
        <f t="shared" si="2"/>
        <v>10750</v>
      </c>
      <c r="O15" s="50">
        <f t="shared" si="12"/>
        <v>8</v>
      </c>
      <c r="P15" s="47">
        <f t="shared" si="13"/>
        <v>157.94594594594594</v>
      </c>
      <c r="Q15" s="49">
        <f t="shared" si="14"/>
        <v>167</v>
      </c>
      <c r="R15" s="51">
        <f t="shared" si="15"/>
        <v>157.94594594594594</v>
      </c>
      <c r="S15" s="46">
        <f t="shared" si="16"/>
        <v>86870.270270270266</v>
      </c>
      <c r="T15" t="str">
        <f t="shared" si="17"/>
        <v/>
      </c>
      <c r="U15">
        <f t="shared" si="18"/>
        <v>28</v>
      </c>
      <c r="Y15" t="str">
        <f>TRIM(Tabla2[[#This Row],[CONDUCTOR]])</f>
        <v>CARTAGENA RAMIREZ FREDY ALONSO</v>
      </c>
    </row>
    <row r="16" spans="1:32" x14ac:dyDescent="0.2">
      <c r="B16" s="136" t="s">
        <v>122</v>
      </c>
      <c r="C16" s="166">
        <v>11</v>
      </c>
      <c r="D16" s="151" t="s">
        <v>171</v>
      </c>
      <c r="E16" s="150">
        <v>9</v>
      </c>
      <c r="F16" s="150">
        <v>0</v>
      </c>
      <c r="G16" s="165">
        <v>191</v>
      </c>
      <c r="H16" s="226">
        <f t="shared" si="9"/>
        <v>21.222222222222221</v>
      </c>
      <c r="I16" s="227">
        <f t="shared" si="10"/>
        <v>186.68918918918916</v>
      </c>
      <c r="J16" s="363">
        <f>+Tabla2[[#This Row],[PROM DE USUARIOS]]-Tabla2[[#This Row],[USUARIOS]]</f>
        <v>-4.3108108108108354</v>
      </c>
      <c r="K16" s="151"/>
      <c r="L16" s="163">
        <f t="shared" si="11"/>
        <v>103948.17567567567</v>
      </c>
      <c r="M16" s="162" t="str">
        <f>+VLOOKUP(C16,Lista!B:D,3,0)</f>
        <v>MICRO</v>
      </c>
      <c r="N16" s="365">
        <f t="shared" si="2"/>
        <v>10750</v>
      </c>
      <c r="O16" s="50">
        <f t="shared" si="12"/>
        <v>9</v>
      </c>
      <c r="P16" s="47">
        <f t="shared" si="13"/>
        <v>177.68918918918916</v>
      </c>
      <c r="Q16" s="49">
        <f t="shared" si="14"/>
        <v>182</v>
      </c>
      <c r="R16" s="51">
        <f t="shared" si="15"/>
        <v>177.68918918918916</v>
      </c>
      <c r="S16" s="46">
        <f t="shared" si="16"/>
        <v>97729.054054054039</v>
      </c>
      <c r="T16" t="str">
        <f t="shared" si="17"/>
        <v/>
      </c>
      <c r="U16">
        <f t="shared" si="18"/>
        <v>23</v>
      </c>
      <c r="Y16" t="str">
        <f>TRIM(Tabla2[[#This Row],[CONDUCTOR]])</f>
        <v>YEPES TORRES JHON ALEXANDER</v>
      </c>
    </row>
    <row r="17" spans="2:25" x14ac:dyDescent="0.2">
      <c r="B17" s="136" t="s">
        <v>121</v>
      </c>
      <c r="C17" s="166">
        <v>12</v>
      </c>
      <c r="D17" s="151" t="s">
        <v>149</v>
      </c>
      <c r="E17" s="150">
        <v>7</v>
      </c>
      <c r="F17" s="150">
        <v>0</v>
      </c>
      <c r="G17" s="165">
        <v>161</v>
      </c>
      <c r="H17" s="226">
        <f t="shared" si="9"/>
        <v>23</v>
      </c>
      <c r="I17" s="227">
        <f t="shared" si="10"/>
        <v>145.20270270270271</v>
      </c>
      <c r="J17" s="363">
        <f>+Tabla2[[#This Row],[PROM DE USUARIOS]]-Tabla2[[#This Row],[USUARIOS]]</f>
        <v>-15.797297297297291</v>
      </c>
      <c r="K17" s="151"/>
      <c r="L17" s="163">
        <f t="shared" si="11"/>
        <v>80848.58108108108</v>
      </c>
      <c r="M17" s="162">
        <f>+VLOOKUP(C17,Lista!B:D,3,0)</f>
        <v>0</v>
      </c>
      <c r="N17" s="365">
        <f t="shared" si="2"/>
        <v>10750</v>
      </c>
      <c r="O17" s="50">
        <f t="shared" si="12"/>
        <v>7</v>
      </c>
      <c r="P17" s="47">
        <f t="shared" si="13"/>
        <v>138.20270270270271</v>
      </c>
      <c r="Q17" s="49">
        <f t="shared" si="14"/>
        <v>154</v>
      </c>
      <c r="R17" s="51">
        <f t="shared" si="15"/>
        <v>138.20270270270271</v>
      </c>
      <c r="S17" s="46">
        <f t="shared" si="16"/>
        <v>76011.486486486494</v>
      </c>
      <c r="T17" t="str">
        <f t="shared" si="17"/>
        <v/>
      </c>
      <c r="U17">
        <f t="shared" si="18"/>
        <v>30</v>
      </c>
      <c r="Y17" t="str">
        <f>TRIM(Tabla2[[#This Row],[CONDUCTOR]])</f>
        <v>DAVID HENRY GIOVANNY</v>
      </c>
    </row>
    <row r="18" spans="2:25" x14ac:dyDescent="0.2">
      <c r="B18" s="136" t="s">
        <v>122</v>
      </c>
      <c r="C18" s="166">
        <v>13</v>
      </c>
      <c r="D18" s="151" t="s">
        <v>158</v>
      </c>
      <c r="E18" s="150">
        <v>10</v>
      </c>
      <c r="F18" s="150">
        <v>0</v>
      </c>
      <c r="G18" s="146">
        <v>234</v>
      </c>
      <c r="H18" s="226">
        <f t="shared" si="9"/>
        <v>23.4</v>
      </c>
      <c r="I18" s="227">
        <f t="shared" si="10"/>
        <v>207.43243243243242</v>
      </c>
      <c r="J18" s="363">
        <f>+Tabla2[[#This Row],[PROM DE USUARIOS]]-Tabla2[[#This Row],[USUARIOS]]</f>
        <v>-26.567567567567579</v>
      </c>
      <c r="K18" s="151"/>
      <c r="L18" s="163">
        <f t="shared" si="11"/>
        <v>115497.97297297297</v>
      </c>
      <c r="M18" s="162" t="str">
        <f>+VLOOKUP(C18,Lista!B:D,3,0)</f>
        <v>MICRO</v>
      </c>
      <c r="N18" s="365">
        <f t="shared" si="2"/>
        <v>10750</v>
      </c>
      <c r="O18" s="50">
        <f t="shared" si="12"/>
        <v>10</v>
      </c>
      <c r="P18" s="47">
        <f t="shared" si="13"/>
        <v>197.43243243243242</v>
      </c>
      <c r="Q18" s="49">
        <f t="shared" si="14"/>
        <v>224</v>
      </c>
      <c r="R18" s="51">
        <f t="shared" si="15"/>
        <v>197.43243243243242</v>
      </c>
      <c r="S18" s="46">
        <f t="shared" si="16"/>
        <v>108587.83783783783</v>
      </c>
      <c r="T18" t="str">
        <f t="shared" si="17"/>
        <v/>
      </c>
      <c r="U18">
        <f t="shared" si="18"/>
        <v>32</v>
      </c>
      <c r="Y18" t="str">
        <f>TRIM(Tabla2[[#This Row],[CONDUCTOR]])</f>
        <v>MIRANDA MACHADO ALVARO</v>
      </c>
    </row>
    <row r="19" spans="2:25" x14ac:dyDescent="0.2">
      <c r="B19" s="136" t="s">
        <v>121</v>
      </c>
      <c r="C19" s="166">
        <v>14</v>
      </c>
      <c r="D19" s="151" t="s">
        <v>120</v>
      </c>
      <c r="E19" s="150">
        <v>10</v>
      </c>
      <c r="F19" s="150">
        <v>0</v>
      </c>
      <c r="G19" s="165">
        <v>217</v>
      </c>
      <c r="H19" s="226">
        <f t="shared" si="9"/>
        <v>21.7</v>
      </c>
      <c r="I19" s="227">
        <f t="shared" si="10"/>
        <v>207.43243243243242</v>
      </c>
      <c r="J19" s="363">
        <f>+Tabla2[[#This Row],[PROM DE USUARIOS]]-Tabla2[[#This Row],[USUARIOS]]</f>
        <v>-9.5675675675675791</v>
      </c>
      <c r="K19" s="151"/>
      <c r="L19" s="163">
        <f t="shared" si="11"/>
        <v>115497.97297297297</v>
      </c>
      <c r="M19" s="162">
        <f>+VLOOKUP(C19,Lista!B:D,3,0)</f>
        <v>0</v>
      </c>
      <c r="N19" s="365">
        <f t="shared" si="2"/>
        <v>10750</v>
      </c>
      <c r="O19" s="50">
        <f t="shared" si="12"/>
        <v>10</v>
      </c>
      <c r="P19" s="47">
        <f t="shared" si="13"/>
        <v>197.43243243243242</v>
      </c>
      <c r="Q19" s="49">
        <f t="shared" si="14"/>
        <v>207</v>
      </c>
      <c r="R19" s="51">
        <f t="shared" si="15"/>
        <v>197.43243243243242</v>
      </c>
      <c r="S19" s="46">
        <f t="shared" si="16"/>
        <v>108587.83783783783</v>
      </c>
      <c r="T19" t="str">
        <f t="shared" si="17"/>
        <v/>
      </c>
      <c r="U19">
        <f t="shared" si="18"/>
        <v>27</v>
      </c>
      <c r="Y19" t="str">
        <f>TRIM(Tabla2[[#This Row],[CONDUCTOR]])</f>
        <v>DURANGO PAEZ GILDARDO</v>
      </c>
    </row>
    <row r="20" spans="2:25" x14ac:dyDescent="0.2">
      <c r="B20" s="136" t="s">
        <v>121</v>
      </c>
      <c r="C20" s="166">
        <v>15</v>
      </c>
      <c r="D20" s="151" t="s">
        <v>188</v>
      </c>
      <c r="E20" s="150">
        <v>7</v>
      </c>
      <c r="F20" s="150">
        <v>0</v>
      </c>
      <c r="G20" s="165">
        <v>165</v>
      </c>
      <c r="H20" s="226">
        <f t="shared" si="9"/>
        <v>23.571428571428573</v>
      </c>
      <c r="I20" s="227">
        <f t="shared" si="10"/>
        <v>145.20270270270271</v>
      </c>
      <c r="J20" s="363">
        <f>+Tabla2[[#This Row],[PROM DE USUARIOS]]-Tabla2[[#This Row],[USUARIOS]]</f>
        <v>-19.797297297297291</v>
      </c>
      <c r="K20" s="151"/>
      <c r="L20" s="163">
        <f t="shared" si="11"/>
        <v>80848.58108108108</v>
      </c>
      <c r="M20" s="162">
        <f>+VLOOKUP(C20,Lista!B:D,3,0)</f>
        <v>0</v>
      </c>
      <c r="N20" s="365">
        <f t="shared" si="2"/>
        <v>10750</v>
      </c>
      <c r="O20" s="50">
        <f t="shared" si="12"/>
        <v>7</v>
      </c>
      <c r="P20" s="47">
        <f t="shared" si="13"/>
        <v>138.20270270270271</v>
      </c>
      <c r="Q20" s="49">
        <f t="shared" si="14"/>
        <v>158</v>
      </c>
      <c r="R20" s="51">
        <f t="shared" si="15"/>
        <v>138.20270270270271</v>
      </c>
      <c r="S20" s="46">
        <f t="shared" si="16"/>
        <v>76011.486486486494</v>
      </c>
      <c r="T20" t="str">
        <f t="shared" si="17"/>
        <v/>
      </c>
      <c r="U20">
        <f t="shared" si="18"/>
        <v>35</v>
      </c>
      <c r="Y20" t="str">
        <f>TRIM(Tabla2[[#This Row],[CONDUCTOR]])</f>
        <v>HERNANDEZ MACIAS GILBERTO</v>
      </c>
    </row>
    <row r="21" spans="2:25" x14ac:dyDescent="0.2">
      <c r="B21" s="136" t="s">
        <v>122</v>
      </c>
      <c r="C21" s="166">
        <v>16</v>
      </c>
      <c r="D21" s="151" t="s">
        <v>150</v>
      </c>
      <c r="E21" s="150">
        <v>9</v>
      </c>
      <c r="F21" s="150">
        <v>0</v>
      </c>
      <c r="G21" s="165">
        <v>177</v>
      </c>
      <c r="H21" s="226">
        <f t="shared" si="9"/>
        <v>19.666666666666668</v>
      </c>
      <c r="I21" s="227">
        <f t="shared" si="10"/>
        <v>186.68918918918916</v>
      </c>
      <c r="J21" s="363">
        <f>+Tabla2[[#This Row],[PROM DE USUARIOS]]-Tabla2[[#This Row],[USUARIOS]]</f>
        <v>9.6891891891891646</v>
      </c>
      <c r="K21" s="151"/>
      <c r="L21" s="163">
        <f t="shared" si="11"/>
        <v>103948.17567567567</v>
      </c>
      <c r="M21" s="162" t="str">
        <f>+VLOOKUP(C21,Lista!B:D,3,0)</f>
        <v>MICRO</v>
      </c>
      <c r="N21" s="365">
        <f t="shared" si="2"/>
        <v>10750</v>
      </c>
      <c r="O21" s="50">
        <f t="shared" si="12"/>
        <v>9</v>
      </c>
      <c r="P21" s="47">
        <f t="shared" si="13"/>
        <v>177.68918918918916</v>
      </c>
      <c r="Q21" s="49">
        <f t="shared" si="14"/>
        <v>168</v>
      </c>
      <c r="R21" s="51">
        <f t="shared" si="15"/>
        <v>177.68918918918916</v>
      </c>
      <c r="S21" s="46">
        <f t="shared" si="16"/>
        <v>97729.054054054039</v>
      </c>
      <c r="T21" t="str">
        <f t="shared" si="17"/>
        <v/>
      </c>
      <c r="U21">
        <f t="shared" si="18"/>
        <v>15</v>
      </c>
      <c r="Y21" t="str">
        <f>TRIM(Tabla2[[#This Row],[CONDUCTOR]])</f>
        <v>PEREZ GARCIA JUAN ESTEBAN</v>
      </c>
    </row>
    <row r="22" spans="2:25" x14ac:dyDescent="0.2">
      <c r="B22" s="136" t="s">
        <v>121</v>
      </c>
      <c r="C22" s="166">
        <v>17</v>
      </c>
      <c r="D22" s="151" t="s">
        <v>166</v>
      </c>
      <c r="E22" s="150">
        <v>9</v>
      </c>
      <c r="F22" s="150">
        <v>0</v>
      </c>
      <c r="G22" s="165">
        <v>153</v>
      </c>
      <c r="H22" s="226">
        <f t="shared" si="9"/>
        <v>17</v>
      </c>
      <c r="I22" s="227">
        <f t="shared" si="10"/>
        <v>186.68918918918916</v>
      </c>
      <c r="J22" s="363">
        <f>+Tabla2[[#This Row],[PROM DE USUARIOS]]-Tabla2[[#This Row],[USUARIOS]]</f>
        <v>33.689189189189165</v>
      </c>
      <c r="K22" s="151"/>
      <c r="L22" s="163">
        <f t="shared" si="11"/>
        <v>103948.17567567567</v>
      </c>
      <c r="M22" s="162" t="str">
        <f>+VLOOKUP(C22,Lista!B:D,3,0)</f>
        <v>MICRO</v>
      </c>
      <c r="N22" s="365">
        <f t="shared" si="2"/>
        <v>10750</v>
      </c>
      <c r="O22" s="50">
        <f t="shared" si="12"/>
        <v>9</v>
      </c>
      <c r="P22" s="47">
        <f t="shared" si="13"/>
        <v>177.68918918918916</v>
      </c>
      <c r="Q22" s="49">
        <f t="shared" si="14"/>
        <v>144</v>
      </c>
      <c r="R22" s="51">
        <f t="shared" si="15"/>
        <v>177.68918918918916</v>
      </c>
      <c r="S22" s="46">
        <f t="shared" si="16"/>
        <v>97729.054054054039</v>
      </c>
      <c r="T22" t="str">
        <f t="shared" si="17"/>
        <v/>
      </c>
      <c r="U22">
        <f t="shared" si="18"/>
        <v>6</v>
      </c>
      <c r="Y22" t="str">
        <f>TRIM(Tabla2[[#This Row],[CONDUCTOR]])</f>
        <v>PARRA VILLA YUBER ALONSO</v>
      </c>
    </row>
    <row r="23" spans="2:25" x14ac:dyDescent="0.2">
      <c r="B23" s="136" t="s">
        <v>122</v>
      </c>
      <c r="C23" s="166">
        <v>18</v>
      </c>
      <c r="D23" s="151" t="s">
        <v>147</v>
      </c>
      <c r="E23" s="150">
        <v>9</v>
      </c>
      <c r="F23" s="150">
        <v>0</v>
      </c>
      <c r="G23" s="165">
        <v>194</v>
      </c>
      <c r="H23" s="226">
        <f t="shared" si="9"/>
        <v>21.555555555555557</v>
      </c>
      <c r="I23" s="227">
        <f t="shared" si="10"/>
        <v>186.68918918918916</v>
      </c>
      <c r="J23" s="363">
        <f>+Tabla2[[#This Row],[PROM DE USUARIOS]]-Tabla2[[#This Row],[USUARIOS]]</f>
        <v>-7.3108108108108354</v>
      </c>
      <c r="K23" s="151"/>
      <c r="L23" s="163">
        <f t="shared" si="11"/>
        <v>103948.17567567567</v>
      </c>
      <c r="M23" s="162" t="str">
        <f>+VLOOKUP(C23,Lista!B:D,3,0)</f>
        <v>MICRO</v>
      </c>
      <c r="N23" s="365">
        <f t="shared" si="2"/>
        <v>10750</v>
      </c>
      <c r="O23" s="50">
        <f t="shared" si="12"/>
        <v>9</v>
      </c>
      <c r="P23" s="47">
        <f t="shared" si="13"/>
        <v>177.68918918918916</v>
      </c>
      <c r="Q23" s="49">
        <f t="shared" si="14"/>
        <v>185</v>
      </c>
      <c r="R23" s="51">
        <f t="shared" si="15"/>
        <v>177.68918918918916</v>
      </c>
      <c r="S23" s="46">
        <f t="shared" si="16"/>
        <v>97729.054054054039</v>
      </c>
      <c r="T23" t="str">
        <f t="shared" si="17"/>
        <v/>
      </c>
      <c r="U23">
        <f t="shared" si="18"/>
        <v>25</v>
      </c>
      <c r="Y23" t="str">
        <f>TRIM(Tabla2[[#This Row],[CONDUCTOR]])</f>
        <v>ALBERTO ARISTIZABAL RAFAEL</v>
      </c>
    </row>
    <row r="24" spans="2:25" x14ac:dyDescent="0.2">
      <c r="B24" s="136" t="s">
        <v>121</v>
      </c>
      <c r="C24" s="166">
        <v>19</v>
      </c>
      <c r="D24" s="151" t="s">
        <v>162</v>
      </c>
      <c r="E24" s="150">
        <v>8</v>
      </c>
      <c r="F24" s="150">
        <v>0</v>
      </c>
      <c r="G24" s="165">
        <v>159</v>
      </c>
      <c r="H24" s="226">
        <f t="shared" si="9"/>
        <v>19.875</v>
      </c>
      <c r="I24" s="227">
        <f t="shared" si="10"/>
        <v>165.94594594594594</v>
      </c>
      <c r="J24" s="363">
        <f>+Tabla2[[#This Row],[PROM DE USUARIOS]]-Tabla2[[#This Row],[USUARIOS]]</f>
        <v>6.9459459459459367</v>
      </c>
      <c r="K24" s="151"/>
      <c r="L24" s="163">
        <f t="shared" si="11"/>
        <v>92398.378378378373</v>
      </c>
      <c r="M24" s="162" t="str">
        <f>+VLOOKUP(C24,Lista!B:D,3,0)</f>
        <v>MICRO</v>
      </c>
      <c r="N24" s="365">
        <f t="shared" si="2"/>
        <v>10750</v>
      </c>
      <c r="O24" s="50">
        <f t="shared" si="12"/>
        <v>8</v>
      </c>
      <c r="P24" s="47">
        <f t="shared" si="13"/>
        <v>157.94594594594594</v>
      </c>
      <c r="Q24" s="49">
        <f t="shared" si="14"/>
        <v>151</v>
      </c>
      <c r="R24" s="51">
        <f t="shared" si="15"/>
        <v>157.94594594594594</v>
      </c>
      <c r="S24" s="46">
        <f t="shared" si="16"/>
        <v>86870.270270270266</v>
      </c>
      <c r="T24" t="str">
        <f t="shared" si="17"/>
        <v/>
      </c>
      <c r="U24">
        <f t="shared" si="18"/>
        <v>18</v>
      </c>
      <c r="Y24" t="str">
        <f>TRIM(Tabla2[[#This Row],[CONDUCTOR]])</f>
        <v>MACEA ARBELAEZ MATEO</v>
      </c>
    </row>
    <row r="25" spans="2:25" x14ac:dyDescent="0.2">
      <c r="B25" s="136" t="s">
        <v>122</v>
      </c>
      <c r="C25" s="166">
        <v>20</v>
      </c>
      <c r="D25" s="151" t="s">
        <v>148</v>
      </c>
      <c r="E25" s="150">
        <v>10</v>
      </c>
      <c r="F25" s="150">
        <v>0</v>
      </c>
      <c r="G25" s="165">
        <v>193</v>
      </c>
      <c r="H25" s="226">
        <f t="shared" si="9"/>
        <v>19.3</v>
      </c>
      <c r="I25" s="227">
        <f t="shared" si="10"/>
        <v>207.43243243243242</v>
      </c>
      <c r="J25" s="363">
        <f>+Tabla2[[#This Row],[PROM DE USUARIOS]]-Tabla2[[#This Row],[USUARIOS]]</f>
        <v>14.432432432432421</v>
      </c>
      <c r="K25" s="151"/>
      <c r="L25" s="163">
        <f t="shared" si="11"/>
        <v>115497.97297297297</v>
      </c>
      <c r="M25" s="162" t="str">
        <f>+VLOOKUP(C25,Lista!B:D,3,0)</f>
        <v>MICRO</v>
      </c>
      <c r="N25" s="365">
        <f t="shared" si="2"/>
        <v>10750</v>
      </c>
      <c r="O25" s="50">
        <f t="shared" si="12"/>
        <v>10</v>
      </c>
      <c r="P25" s="47">
        <f t="shared" si="13"/>
        <v>197.43243243243242</v>
      </c>
      <c r="Q25" s="49">
        <f t="shared" si="14"/>
        <v>183</v>
      </c>
      <c r="R25" s="51">
        <f t="shared" si="15"/>
        <v>197.43243243243242</v>
      </c>
      <c r="S25" s="46">
        <f t="shared" si="16"/>
        <v>108587.83783783783</v>
      </c>
      <c r="T25" t="str">
        <f t="shared" si="17"/>
        <v/>
      </c>
      <c r="U25">
        <f t="shared" si="18"/>
        <v>12</v>
      </c>
      <c r="Y25" t="str">
        <f>TRIM(Tabla2[[#This Row],[CONDUCTOR]])</f>
        <v>MURILLO YORMAN ANDRES</v>
      </c>
    </row>
    <row r="26" spans="2:25" x14ac:dyDescent="0.2">
      <c r="B26" s="136" t="s">
        <v>121</v>
      </c>
      <c r="C26" s="166">
        <v>21</v>
      </c>
      <c r="D26" s="151" t="s">
        <v>178</v>
      </c>
      <c r="E26" s="150">
        <v>7</v>
      </c>
      <c r="F26" s="150">
        <v>0</v>
      </c>
      <c r="G26" s="146">
        <v>136</v>
      </c>
      <c r="H26" s="226">
        <f t="shared" si="9"/>
        <v>19.428571428571427</v>
      </c>
      <c r="I26" s="227">
        <f t="shared" si="10"/>
        <v>145.20270270270271</v>
      </c>
      <c r="J26" s="363">
        <f>+Tabla2[[#This Row],[PROM DE USUARIOS]]-Tabla2[[#This Row],[USUARIOS]]</f>
        <v>9.2027027027027088</v>
      </c>
      <c r="K26" s="151" t="s">
        <v>189</v>
      </c>
      <c r="L26" s="163">
        <f t="shared" si="11"/>
        <v>80848.58108108108</v>
      </c>
      <c r="M26" s="162" t="str">
        <f>+VLOOKUP(C26,Lista!B:D,3,0)</f>
        <v>MICRO</v>
      </c>
      <c r="N26" s="365">
        <f t="shared" si="2"/>
        <v>10750</v>
      </c>
      <c r="O26" s="50">
        <f t="shared" si="12"/>
        <v>7</v>
      </c>
      <c r="P26" s="47">
        <f t="shared" si="13"/>
        <v>138.20270270270271</v>
      </c>
      <c r="Q26" s="49">
        <f t="shared" si="14"/>
        <v>129</v>
      </c>
      <c r="R26" s="51">
        <f t="shared" si="15"/>
        <v>138.20270270270271</v>
      </c>
      <c r="S26" s="46">
        <f t="shared" si="16"/>
        <v>76011.486486486494</v>
      </c>
      <c r="T26" t="str">
        <f t="shared" si="17"/>
        <v xml:space="preserve">JULIAN MACIAS Realizó 4 viajes donde movilizó 58 Usuarios </v>
      </c>
      <c r="U26">
        <f t="shared" si="18"/>
        <v>13</v>
      </c>
      <c r="Y26" t="str">
        <f>TRIM(Tabla2[[#This Row],[CONDUCTOR]])</f>
        <v>DURANGO DAVID JOSE</v>
      </c>
    </row>
    <row r="27" spans="2:25" x14ac:dyDescent="0.2">
      <c r="B27" s="136" t="s">
        <v>122</v>
      </c>
      <c r="C27" s="137">
        <v>22</v>
      </c>
      <c r="D27" s="151" t="s">
        <v>168</v>
      </c>
      <c r="E27" s="150">
        <v>8</v>
      </c>
      <c r="F27" s="150">
        <v>0</v>
      </c>
      <c r="G27" s="146">
        <v>194</v>
      </c>
      <c r="H27" s="226">
        <f t="shared" si="9"/>
        <v>24.25</v>
      </c>
      <c r="I27" s="227">
        <f t="shared" si="10"/>
        <v>165.94594594594594</v>
      </c>
      <c r="J27" s="363">
        <f>+Tabla2[[#This Row],[PROM DE USUARIOS]]-Tabla2[[#This Row],[USUARIOS]]</f>
        <v>-28.054054054054063</v>
      </c>
      <c r="K27" s="151"/>
      <c r="L27" s="163">
        <f t="shared" si="11"/>
        <v>92398.378378378373</v>
      </c>
      <c r="M27" s="162">
        <f>+VLOOKUP(C27,Lista!B:D,3,0)</f>
        <v>0</v>
      </c>
      <c r="N27" s="365">
        <f t="shared" si="2"/>
        <v>10750</v>
      </c>
      <c r="O27" s="50">
        <f t="shared" si="12"/>
        <v>8</v>
      </c>
      <c r="P27" s="47">
        <f t="shared" si="13"/>
        <v>157.94594594594594</v>
      </c>
      <c r="Q27" s="49">
        <f t="shared" si="14"/>
        <v>186</v>
      </c>
      <c r="R27" s="51">
        <f t="shared" si="15"/>
        <v>157.94594594594594</v>
      </c>
      <c r="S27" s="46">
        <f t="shared" si="16"/>
        <v>86870.270270270266</v>
      </c>
      <c r="T27" t="str">
        <f t="shared" si="17"/>
        <v/>
      </c>
      <c r="U27">
        <f t="shared" si="18"/>
        <v>37</v>
      </c>
      <c r="Y27" t="str">
        <f>TRIM(Tabla2[[#This Row],[CONDUCTOR]])</f>
        <v>QUIRAMA CASTAÑEDA JHON JADER</v>
      </c>
    </row>
    <row r="28" spans="2:25" x14ac:dyDescent="0.2">
      <c r="B28" s="136" t="s">
        <v>121</v>
      </c>
      <c r="C28" s="137">
        <v>23</v>
      </c>
      <c r="D28" s="151" t="s">
        <v>169</v>
      </c>
      <c r="E28" s="150">
        <v>7</v>
      </c>
      <c r="F28" s="150">
        <v>0</v>
      </c>
      <c r="G28" s="146">
        <v>163</v>
      </c>
      <c r="H28" s="226">
        <f t="shared" si="9"/>
        <v>23.285714285714285</v>
      </c>
      <c r="I28" s="227">
        <f t="shared" si="10"/>
        <v>145.20270270270271</v>
      </c>
      <c r="J28" s="363">
        <f>+Tabla2[[#This Row],[PROM DE USUARIOS]]-Tabla2[[#This Row],[USUARIOS]]</f>
        <v>-17.797297297297291</v>
      </c>
      <c r="K28" s="151"/>
      <c r="L28" s="163">
        <f t="shared" si="11"/>
        <v>80848.58108108108</v>
      </c>
      <c r="M28" s="162" t="str">
        <f>+VLOOKUP(C28,Lista!B:D,3,0)</f>
        <v xml:space="preserve">MICRO </v>
      </c>
      <c r="N28" s="365">
        <f t="shared" si="2"/>
        <v>10750</v>
      </c>
      <c r="O28" s="50">
        <f t="shared" si="12"/>
        <v>7</v>
      </c>
      <c r="P28" s="47">
        <f t="shared" si="13"/>
        <v>138.20270270270271</v>
      </c>
      <c r="Q28" s="49">
        <f t="shared" si="14"/>
        <v>156</v>
      </c>
      <c r="R28" s="51">
        <f t="shared" si="15"/>
        <v>138.20270270270271</v>
      </c>
      <c r="S28" s="46">
        <f t="shared" si="16"/>
        <v>76011.486486486494</v>
      </c>
      <c r="T28" t="str">
        <f t="shared" si="17"/>
        <v/>
      </c>
      <c r="U28">
        <f t="shared" si="18"/>
        <v>31</v>
      </c>
      <c r="Y28" t="str">
        <f>TRIM(Tabla2[[#This Row],[CONDUCTOR]])</f>
        <v>SALDARRIAGA PARRA LUIS ALBERTO</v>
      </c>
    </row>
    <row r="29" spans="2:25" x14ac:dyDescent="0.2">
      <c r="B29" s="136" t="s">
        <v>122</v>
      </c>
      <c r="C29" s="166">
        <v>24</v>
      </c>
      <c r="D29" s="151" t="s">
        <v>177</v>
      </c>
      <c r="E29" s="150">
        <v>10</v>
      </c>
      <c r="F29" s="150">
        <v>0</v>
      </c>
      <c r="G29" s="165">
        <v>195</v>
      </c>
      <c r="H29" s="226">
        <f t="shared" si="9"/>
        <v>19.5</v>
      </c>
      <c r="I29" s="227">
        <f t="shared" si="10"/>
        <v>207.43243243243242</v>
      </c>
      <c r="J29" s="363">
        <f>+Tabla2[[#This Row],[PROM DE USUARIOS]]-Tabla2[[#This Row],[USUARIOS]]</f>
        <v>12.432432432432421</v>
      </c>
      <c r="K29" s="151"/>
      <c r="L29" s="163">
        <f t="shared" si="11"/>
        <v>115497.97297297297</v>
      </c>
      <c r="M29" s="162" t="str">
        <f>+VLOOKUP(C29,Lista!B:D,3,0)</f>
        <v>MICRO</v>
      </c>
      <c r="N29" s="365">
        <f t="shared" si="2"/>
        <v>10750</v>
      </c>
      <c r="O29" s="50">
        <f t="shared" si="12"/>
        <v>10</v>
      </c>
      <c r="P29" s="47">
        <f t="shared" si="13"/>
        <v>197.43243243243242</v>
      </c>
      <c r="Q29" s="49">
        <f t="shared" si="14"/>
        <v>185</v>
      </c>
      <c r="R29" s="51">
        <f t="shared" si="15"/>
        <v>197.43243243243242</v>
      </c>
      <c r="S29" s="46">
        <f t="shared" si="16"/>
        <v>108587.83783783783</v>
      </c>
      <c r="T29" t="str">
        <f t="shared" si="17"/>
        <v/>
      </c>
      <c r="U29">
        <f t="shared" si="18"/>
        <v>14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121</v>
      </c>
      <c r="C30" s="166">
        <v>25</v>
      </c>
      <c r="D30" s="151" t="s">
        <v>174</v>
      </c>
      <c r="E30" s="150">
        <v>7</v>
      </c>
      <c r="F30" s="150">
        <v>0</v>
      </c>
      <c r="G30" s="165">
        <v>170</v>
      </c>
      <c r="H30" s="226">
        <f t="shared" si="9"/>
        <v>24.285714285714285</v>
      </c>
      <c r="I30" s="227">
        <f t="shared" si="10"/>
        <v>145.20270270270271</v>
      </c>
      <c r="J30" s="363">
        <f>+Tabla2[[#This Row],[PROM DE USUARIOS]]-Tabla2[[#This Row],[USUARIOS]]</f>
        <v>-24.797297297297291</v>
      </c>
      <c r="K30" s="151"/>
      <c r="L30" s="163">
        <f t="shared" si="11"/>
        <v>80848.58108108108</v>
      </c>
      <c r="M30" s="162">
        <f>+VLOOKUP(C30,Lista!B:D,3,0)</f>
        <v>0</v>
      </c>
      <c r="N30" s="365">
        <f t="shared" si="2"/>
        <v>10750</v>
      </c>
      <c r="O30" s="50">
        <f t="shared" si="12"/>
        <v>7</v>
      </c>
      <c r="P30" s="47">
        <f t="shared" si="13"/>
        <v>138.20270270270271</v>
      </c>
      <c r="Q30" s="49">
        <f t="shared" si="14"/>
        <v>163</v>
      </c>
      <c r="R30" s="51">
        <f t="shared" si="15"/>
        <v>138.20270270270271</v>
      </c>
      <c r="S30" s="46">
        <f t="shared" si="16"/>
        <v>76011.486486486494</v>
      </c>
      <c r="T30" t="str">
        <f t="shared" si="17"/>
        <v/>
      </c>
      <c r="U30">
        <f t="shared" si="18"/>
        <v>38</v>
      </c>
      <c r="Y30" t="str">
        <f>TRIM(Tabla2[[#This Row],[CONDUCTOR]])</f>
        <v>JIMENEZ HURTADO CARLOS ESTIVEN</v>
      </c>
    </row>
    <row r="31" spans="2:25" x14ac:dyDescent="0.2">
      <c r="B31" s="136" t="s">
        <v>122</v>
      </c>
      <c r="C31" s="166">
        <v>26</v>
      </c>
      <c r="D31" s="151" t="s">
        <v>181</v>
      </c>
      <c r="E31" s="150">
        <v>10</v>
      </c>
      <c r="F31" s="150">
        <v>0</v>
      </c>
      <c r="G31" s="165">
        <v>167</v>
      </c>
      <c r="H31" s="226">
        <f t="shared" si="9"/>
        <v>16.7</v>
      </c>
      <c r="I31" s="227">
        <f t="shared" si="10"/>
        <v>207.43243243243242</v>
      </c>
      <c r="J31" s="363">
        <f>+Tabla2[[#This Row],[PROM DE USUARIOS]]-Tabla2[[#This Row],[USUARIOS]]</f>
        <v>40.432432432432421</v>
      </c>
      <c r="K31" s="151" t="s">
        <v>192</v>
      </c>
      <c r="L31" s="163">
        <f t="shared" si="11"/>
        <v>115497.97297297297</v>
      </c>
      <c r="M31" s="162" t="str">
        <f>+VLOOKUP(C31,Lista!B:D,3,0)</f>
        <v>MICRO</v>
      </c>
      <c r="N31" s="365">
        <f t="shared" si="2"/>
        <v>10750</v>
      </c>
      <c r="O31" s="50">
        <f t="shared" si="12"/>
        <v>10</v>
      </c>
      <c r="P31" s="47">
        <f t="shared" si="13"/>
        <v>197.43243243243242</v>
      </c>
      <c r="Q31" s="49">
        <f t="shared" si="14"/>
        <v>157</v>
      </c>
      <c r="R31" s="51">
        <f t="shared" si="15"/>
        <v>197.43243243243242</v>
      </c>
      <c r="S31" s="46">
        <f t="shared" si="16"/>
        <v>108587.83783783783</v>
      </c>
      <c r="T31" t="str">
        <f t="shared" si="17"/>
        <v xml:space="preserve">1 Desucuento (Conduct) </v>
      </c>
      <c r="U31">
        <f t="shared" si="18"/>
        <v>5</v>
      </c>
      <c r="Y31" t="str">
        <f>TRIM(Tabla2[[#This Row],[CONDUCTOR]])</f>
        <v>CIRO MARIN RODRIGO ALBERTO</v>
      </c>
    </row>
    <row r="32" spans="2:25" x14ac:dyDescent="0.2">
      <c r="B32" s="136" t="s">
        <v>121</v>
      </c>
      <c r="C32" s="166">
        <v>27</v>
      </c>
      <c r="D32" s="151" t="s">
        <v>172</v>
      </c>
      <c r="E32" s="150">
        <v>13</v>
      </c>
      <c r="F32" s="150">
        <v>0</v>
      </c>
      <c r="G32" s="165">
        <v>256</v>
      </c>
      <c r="H32" s="226">
        <f t="shared" si="9"/>
        <v>19.692307692307693</v>
      </c>
      <c r="I32" s="227">
        <f t="shared" si="10"/>
        <v>269.66216216216213</v>
      </c>
      <c r="J32" s="363">
        <f>+Tabla2[[#This Row],[PROM DE USUARIOS]]-Tabla2[[#This Row],[USUARIOS]]</f>
        <v>13.662162162162133</v>
      </c>
      <c r="K32" s="151" t="s">
        <v>193</v>
      </c>
      <c r="L32" s="163">
        <f t="shared" si="11"/>
        <v>150147.36486486485</v>
      </c>
      <c r="M32" s="162">
        <f>+VLOOKUP(C32,Lista!B:D,3,0)</f>
        <v>0</v>
      </c>
      <c r="N32" s="365">
        <f t="shared" si="2"/>
        <v>10750</v>
      </c>
      <c r="O32" s="50">
        <f t="shared" si="12"/>
        <v>13</v>
      </c>
      <c r="P32" s="47">
        <f t="shared" si="13"/>
        <v>256.66216216216213</v>
      </c>
      <c r="Q32" s="49">
        <f t="shared" si="14"/>
        <v>243</v>
      </c>
      <c r="R32" s="51">
        <f t="shared" si="15"/>
        <v>256.66216216216213</v>
      </c>
      <c r="S32" s="46">
        <f t="shared" si="16"/>
        <v>141164.18918918917</v>
      </c>
      <c r="T32" t="str">
        <f t="shared" si="17"/>
        <v xml:space="preserve">4 Descuentos (transbordo) </v>
      </c>
      <c r="U32">
        <f t="shared" si="18"/>
        <v>16</v>
      </c>
      <c r="Y32" t="str">
        <f>TRIM(Tabla2[[#This Row],[CONDUCTOR]])</f>
        <v>VERENZUELA MARTINEZ ALEXANDER</v>
      </c>
    </row>
    <row r="33" spans="2:25" x14ac:dyDescent="0.2">
      <c r="B33" s="136" t="s">
        <v>121</v>
      </c>
      <c r="C33" s="166">
        <v>28</v>
      </c>
      <c r="D33" s="151" t="s">
        <v>152</v>
      </c>
      <c r="E33" s="150">
        <v>8</v>
      </c>
      <c r="F33" s="150">
        <v>0</v>
      </c>
      <c r="G33" s="165">
        <v>190</v>
      </c>
      <c r="H33" s="226">
        <f t="shared" si="9"/>
        <v>23.75</v>
      </c>
      <c r="I33" s="227">
        <f t="shared" si="10"/>
        <v>165.94594594594594</v>
      </c>
      <c r="J33" s="363">
        <f>+Tabla2[[#This Row],[PROM DE USUARIOS]]-Tabla2[[#This Row],[USUARIOS]]</f>
        <v>-24.054054054054063</v>
      </c>
      <c r="K33" s="151" t="s">
        <v>194</v>
      </c>
      <c r="L33" s="163">
        <f t="shared" si="11"/>
        <v>92398.378378378373</v>
      </c>
      <c r="M33" s="162" t="str">
        <f>+VLOOKUP(C33,Lista!B:D,3,0)</f>
        <v>MICRO</v>
      </c>
      <c r="N33" s="365">
        <f t="shared" si="2"/>
        <v>10750</v>
      </c>
      <c r="O33" s="50">
        <f t="shared" si="12"/>
        <v>8</v>
      </c>
      <c r="P33" s="47">
        <f t="shared" si="13"/>
        <v>157.94594594594594</v>
      </c>
      <c r="Q33" s="49">
        <f t="shared" si="14"/>
        <v>182</v>
      </c>
      <c r="R33" s="51">
        <f t="shared" si="15"/>
        <v>157.94594594594594</v>
      </c>
      <c r="S33" s="46">
        <f t="shared" si="16"/>
        <v>86870.270270270266</v>
      </c>
      <c r="T33" t="str">
        <f t="shared" si="17"/>
        <v xml:space="preserve">2 Descuentos (Usuarios desubicados) </v>
      </c>
      <c r="U33">
        <f t="shared" si="18"/>
        <v>36</v>
      </c>
      <c r="Y33" t="str">
        <f>TRIM(Tabla2[[#This Row],[CONDUCTOR]])</f>
        <v>OSORIO URREGO SANTIAGO</v>
      </c>
    </row>
    <row r="34" spans="2:25" x14ac:dyDescent="0.2">
      <c r="B34" s="136" t="s">
        <v>122</v>
      </c>
      <c r="C34" s="166">
        <v>29</v>
      </c>
      <c r="D34" s="151" t="s">
        <v>173</v>
      </c>
      <c r="E34" s="150">
        <v>10</v>
      </c>
      <c r="F34" s="150">
        <v>0</v>
      </c>
      <c r="G34" s="146">
        <v>190</v>
      </c>
      <c r="H34" s="226">
        <f t="shared" si="9"/>
        <v>19</v>
      </c>
      <c r="I34" s="227">
        <f t="shared" si="10"/>
        <v>207.43243243243242</v>
      </c>
      <c r="J34" s="363">
        <f>+Tabla2[[#This Row],[PROM DE USUARIOS]]-Tabla2[[#This Row],[USUARIOS]]</f>
        <v>17.432432432432421</v>
      </c>
      <c r="K34" s="151"/>
      <c r="L34" s="163">
        <f t="shared" si="11"/>
        <v>115497.97297297297</v>
      </c>
      <c r="M34" s="162" t="str">
        <f>+VLOOKUP(C34,Lista!B:D,3,0)</f>
        <v>MICRO</v>
      </c>
      <c r="N34" s="365">
        <f t="shared" si="2"/>
        <v>10750</v>
      </c>
      <c r="O34" s="50">
        <f t="shared" si="12"/>
        <v>10</v>
      </c>
      <c r="P34" s="47">
        <f t="shared" si="13"/>
        <v>197.43243243243242</v>
      </c>
      <c r="Q34" s="49">
        <f t="shared" si="14"/>
        <v>180</v>
      </c>
      <c r="R34" s="51">
        <f t="shared" si="15"/>
        <v>197.43243243243242</v>
      </c>
      <c r="S34" s="46">
        <f t="shared" si="16"/>
        <v>108587.83783783783</v>
      </c>
      <c r="T34" t="str">
        <f t="shared" si="17"/>
        <v/>
      </c>
      <c r="U34">
        <f t="shared" si="18"/>
        <v>11</v>
      </c>
      <c r="Y34" t="str">
        <f>TRIM(Tabla2[[#This Row],[CONDUCTOR]])</f>
        <v>LEON PEREZ RAUL ENRIQUE</v>
      </c>
    </row>
    <row r="35" spans="2:25" x14ac:dyDescent="0.2">
      <c r="B35" s="136" t="s">
        <v>121</v>
      </c>
      <c r="C35" s="166">
        <v>30</v>
      </c>
      <c r="D35" s="151" t="s">
        <v>176</v>
      </c>
      <c r="E35" s="150">
        <v>10</v>
      </c>
      <c r="F35" s="150">
        <v>0</v>
      </c>
      <c r="G35" s="165">
        <v>234</v>
      </c>
      <c r="H35" s="226">
        <f t="shared" si="9"/>
        <v>23.4</v>
      </c>
      <c r="I35" s="227">
        <f t="shared" si="10"/>
        <v>207.43243243243242</v>
      </c>
      <c r="J35" s="363">
        <f>+Tabla2[[#This Row],[PROM DE USUARIOS]]-Tabla2[[#This Row],[USUARIOS]]</f>
        <v>-26.567567567567579</v>
      </c>
      <c r="K35" s="151"/>
      <c r="L35" s="163">
        <f t="shared" si="11"/>
        <v>115497.97297297297</v>
      </c>
      <c r="M35" s="162">
        <f>+VLOOKUP(C35,Lista!B:D,3,0)</f>
        <v>0</v>
      </c>
      <c r="N35" s="365">
        <f t="shared" si="2"/>
        <v>10750</v>
      </c>
      <c r="O35" s="50">
        <f t="shared" si="12"/>
        <v>10</v>
      </c>
      <c r="P35" s="47">
        <f t="shared" si="13"/>
        <v>197.43243243243242</v>
      </c>
      <c r="Q35" s="49">
        <f t="shared" si="14"/>
        <v>224</v>
      </c>
      <c r="R35" s="51">
        <f t="shared" si="15"/>
        <v>197.43243243243242</v>
      </c>
      <c r="S35" s="46">
        <f t="shared" si="16"/>
        <v>108587.83783783783</v>
      </c>
      <c r="T35" t="str">
        <f t="shared" si="17"/>
        <v/>
      </c>
      <c r="U35">
        <f t="shared" si="18"/>
        <v>32</v>
      </c>
      <c r="Y35" t="str">
        <f>TRIM(Tabla2[[#This Row],[CONDUCTOR]])</f>
        <v>LOPERA ALVAREZ ESTIVEN</v>
      </c>
    </row>
    <row r="36" spans="2:25" x14ac:dyDescent="0.2">
      <c r="B36" s="136" t="s">
        <v>122</v>
      </c>
      <c r="C36" s="137">
        <v>31</v>
      </c>
      <c r="D36" s="151" t="s">
        <v>186</v>
      </c>
      <c r="E36" s="150">
        <v>10</v>
      </c>
      <c r="F36" s="150">
        <v>0</v>
      </c>
      <c r="G36" s="165">
        <v>176</v>
      </c>
      <c r="H36" s="226">
        <f t="shared" si="9"/>
        <v>17.600000000000001</v>
      </c>
      <c r="I36" s="227">
        <f t="shared" si="10"/>
        <v>207.43243243243242</v>
      </c>
      <c r="J36" s="363">
        <f>+Tabla2[[#This Row],[PROM DE USUARIOS]]-Tabla2[[#This Row],[USUARIOS]]</f>
        <v>31.432432432432421</v>
      </c>
      <c r="K36" s="151"/>
      <c r="L36" s="163">
        <f t="shared" si="11"/>
        <v>115497.97297297297</v>
      </c>
      <c r="M36" s="162" t="str">
        <f>+VLOOKUP(C36,Lista!B:D,3,0)</f>
        <v>MICRO</v>
      </c>
      <c r="N36" s="365">
        <f t="shared" si="2"/>
        <v>10750</v>
      </c>
      <c r="O36" s="50">
        <f t="shared" si="12"/>
        <v>10</v>
      </c>
      <c r="P36" s="47">
        <f t="shared" si="13"/>
        <v>197.43243243243242</v>
      </c>
      <c r="Q36" s="49">
        <f t="shared" si="14"/>
        <v>166</v>
      </c>
      <c r="R36" s="51">
        <f t="shared" si="15"/>
        <v>197.43243243243242</v>
      </c>
      <c r="S36" s="46">
        <f t="shared" si="16"/>
        <v>108587.83783783783</v>
      </c>
      <c r="T36" t="str">
        <f t="shared" si="17"/>
        <v/>
      </c>
      <c r="U36">
        <f t="shared" si="18"/>
        <v>8</v>
      </c>
      <c r="Y36" t="str">
        <f>TRIM(Tabla2[[#This Row],[CONDUCTOR]])</f>
        <v>IBARGUEN GARRIDO JUAN ESTEBAN</v>
      </c>
    </row>
    <row r="37" spans="2:25" x14ac:dyDescent="0.2">
      <c r="B37" s="136" t="s">
        <v>121</v>
      </c>
      <c r="C37" s="166">
        <v>32</v>
      </c>
      <c r="D37" s="151" t="s">
        <v>157</v>
      </c>
      <c r="E37" s="150">
        <v>10</v>
      </c>
      <c r="F37" s="150">
        <v>0</v>
      </c>
      <c r="G37" s="165">
        <v>197</v>
      </c>
      <c r="H37" s="226">
        <f t="shared" si="9"/>
        <v>19.7</v>
      </c>
      <c r="I37" s="227">
        <f t="shared" si="10"/>
        <v>207.43243243243242</v>
      </c>
      <c r="J37" s="363">
        <f>+Tabla2[[#This Row],[PROM DE USUARIOS]]-Tabla2[[#This Row],[USUARIOS]]</f>
        <v>10.432432432432421</v>
      </c>
      <c r="K37" s="151" t="s">
        <v>195</v>
      </c>
      <c r="L37" s="163">
        <f t="shared" si="11"/>
        <v>115497.97297297297</v>
      </c>
      <c r="M37" s="162" t="str">
        <f>+VLOOKUP(C37,Lista!B:D,3,0)</f>
        <v>MICRO</v>
      </c>
      <c r="N37" s="365">
        <f t="shared" si="2"/>
        <v>10750</v>
      </c>
      <c r="O37" s="50">
        <f t="shared" si="12"/>
        <v>10</v>
      </c>
      <c r="P37" s="47">
        <f t="shared" si="13"/>
        <v>197.43243243243242</v>
      </c>
      <c r="Q37" s="49">
        <f t="shared" si="14"/>
        <v>187</v>
      </c>
      <c r="R37" s="51">
        <f t="shared" si="15"/>
        <v>197.43243243243242</v>
      </c>
      <c r="S37" s="46">
        <f t="shared" si="16"/>
        <v>108587.83783783783</v>
      </c>
      <c r="T37" t="str">
        <f t="shared" si="17"/>
        <v xml:space="preserve">1 Descuento (Despachador) </v>
      </c>
      <c r="U37">
        <f t="shared" si="18"/>
        <v>17</v>
      </c>
      <c r="Y37" t="str">
        <f>TRIM(Tabla2[[#This Row],[CONDUCTOR]])</f>
        <v>MARIN ALZATE KEVIN ANDRES</v>
      </c>
    </row>
    <row r="38" spans="2:25" x14ac:dyDescent="0.2">
      <c r="B38" s="136" t="s">
        <v>122</v>
      </c>
      <c r="C38" s="166">
        <v>33</v>
      </c>
      <c r="D38" s="151" t="s">
        <v>161</v>
      </c>
      <c r="E38" s="150">
        <v>8</v>
      </c>
      <c r="F38" s="150">
        <v>0</v>
      </c>
      <c r="G38" s="165">
        <v>170</v>
      </c>
      <c r="H38" s="226">
        <f t="shared" si="9"/>
        <v>21.25</v>
      </c>
      <c r="I38" s="227">
        <f t="shared" si="10"/>
        <v>165.94594594594594</v>
      </c>
      <c r="J38" s="363">
        <f>+Tabla2[[#This Row],[PROM DE USUARIOS]]-Tabla2[[#This Row],[USUARIOS]]</f>
        <v>-4.0540540540540633</v>
      </c>
      <c r="K38" s="151"/>
      <c r="L38" s="163">
        <f t="shared" si="11"/>
        <v>92398.378378378373</v>
      </c>
      <c r="M38" s="162" t="str">
        <f>+VLOOKUP(C38,Lista!B:D,3,0)</f>
        <v>MICRO</v>
      </c>
      <c r="N38" s="365">
        <f t="shared" si="2"/>
        <v>10750</v>
      </c>
      <c r="O38" s="50">
        <f t="shared" si="12"/>
        <v>8</v>
      </c>
      <c r="P38" s="47">
        <f t="shared" si="13"/>
        <v>157.94594594594594</v>
      </c>
      <c r="Q38" s="49">
        <f t="shared" si="14"/>
        <v>162</v>
      </c>
      <c r="R38" s="51">
        <f t="shared" si="15"/>
        <v>157.94594594594594</v>
      </c>
      <c r="S38" s="46">
        <f t="shared" si="16"/>
        <v>86870.270270270266</v>
      </c>
      <c r="T38" t="str">
        <f t="shared" si="17"/>
        <v/>
      </c>
      <c r="U38">
        <f t="shared" si="18"/>
        <v>24</v>
      </c>
      <c r="Y38" t="str">
        <f>TRIM(Tabla2[[#This Row],[CONDUCTOR]])</f>
        <v>MARULANDA JARAMILLO DAWER ANDRES</v>
      </c>
    </row>
    <row r="39" spans="2:25" x14ac:dyDescent="0.2">
      <c r="B39" s="136" t="s">
        <v>121</v>
      </c>
      <c r="C39" s="166">
        <v>34</v>
      </c>
      <c r="D39" s="151" t="s">
        <v>179</v>
      </c>
      <c r="E39" s="150">
        <v>10</v>
      </c>
      <c r="F39" s="150">
        <v>0</v>
      </c>
      <c r="G39" s="165">
        <v>271</v>
      </c>
      <c r="H39" s="226">
        <f t="shared" si="9"/>
        <v>27.1</v>
      </c>
      <c r="I39" s="227">
        <f t="shared" si="10"/>
        <v>207.43243243243242</v>
      </c>
      <c r="J39" s="363">
        <f>+Tabla2[[#This Row],[PROM DE USUARIOS]]-Tabla2[[#This Row],[USUARIOS]]</f>
        <v>-63.567567567567579</v>
      </c>
      <c r="K39" s="151" t="s">
        <v>196</v>
      </c>
      <c r="L39" s="163">
        <f t="shared" si="11"/>
        <v>115497.97297297297</v>
      </c>
      <c r="M39" s="162" t="str">
        <f>+VLOOKUP(C39,Lista!B:D,3,0)</f>
        <v>MICRO</v>
      </c>
      <c r="N39" s="365">
        <f t="shared" si="2"/>
        <v>10750</v>
      </c>
      <c r="O39" s="50">
        <f t="shared" si="12"/>
        <v>10</v>
      </c>
      <c r="P39" s="47">
        <f t="shared" si="13"/>
        <v>197.43243243243242</v>
      </c>
      <c r="Q39" s="49">
        <f t="shared" si="14"/>
        <v>261</v>
      </c>
      <c r="R39" s="51">
        <f t="shared" si="15"/>
        <v>197.43243243243242</v>
      </c>
      <c r="S39" s="46">
        <f t="shared" si="16"/>
        <v>108587.83783783783</v>
      </c>
      <c r="T39" t="str">
        <f t="shared" si="17"/>
        <v>4 Descuentos (conducts y asociado)</v>
      </c>
      <c r="U39">
        <f t="shared" si="18"/>
        <v>43</v>
      </c>
      <c r="Y39" t="str">
        <f>TRIM(Tabla2[[#This Row],[CONDUCTOR]])</f>
        <v>MONTOYA OSPINA GILBERTO ANTONIO</v>
      </c>
    </row>
    <row r="40" spans="2:25" x14ac:dyDescent="0.2">
      <c r="B40" s="136" t="s">
        <v>122</v>
      </c>
      <c r="C40" s="166">
        <v>35</v>
      </c>
      <c r="D40" s="151" t="s">
        <v>183</v>
      </c>
      <c r="E40" s="150">
        <v>10</v>
      </c>
      <c r="F40" s="150">
        <v>0</v>
      </c>
      <c r="G40" s="146">
        <v>247</v>
      </c>
      <c r="H40" s="226">
        <f t="shared" si="9"/>
        <v>24.7</v>
      </c>
      <c r="I40" s="227">
        <f t="shared" si="10"/>
        <v>207.43243243243242</v>
      </c>
      <c r="J40" s="363">
        <f>+Tabla2[[#This Row],[PROM DE USUARIOS]]-Tabla2[[#This Row],[USUARIOS]]</f>
        <v>-39.567567567567579</v>
      </c>
      <c r="K40" s="151" t="s">
        <v>197</v>
      </c>
      <c r="L40" s="163">
        <f t="shared" si="11"/>
        <v>115497.97297297297</v>
      </c>
      <c r="M40" s="162">
        <f>+VLOOKUP(C40,Lista!B:D,3,0)</f>
        <v>0</v>
      </c>
      <c r="N40" s="365">
        <f t="shared" si="2"/>
        <v>10750</v>
      </c>
      <c r="O40" s="50">
        <f t="shared" si="12"/>
        <v>10</v>
      </c>
      <c r="P40" s="47">
        <f t="shared" si="13"/>
        <v>197.43243243243242</v>
      </c>
      <c r="Q40" s="49">
        <f t="shared" si="14"/>
        <v>237</v>
      </c>
      <c r="R40" s="51">
        <f t="shared" si="15"/>
        <v>197.43243243243242</v>
      </c>
      <c r="S40" s="46">
        <f t="shared" si="16"/>
        <v>108587.83783783783</v>
      </c>
      <c r="T40" t="str">
        <f t="shared" si="17"/>
        <v xml:space="preserve">2 Descuentos (oficina y despachador) </v>
      </c>
      <c r="U40">
        <f t="shared" si="18"/>
        <v>41</v>
      </c>
      <c r="Y40" t="str">
        <f>TRIM(Tabla2[[#This Row],[CONDUCTOR]])</f>
        <v>PALMAR PANA EDIXON JOSUE</v>
      </c>
    </row>
    <row r="41" spans="2:25" x14ac:dyDescent="0.2">
      <c r="B41" s="136" t="s">
        <v>121</v>
      </c>
      <c r="C41" s="166">
        <v>36</v>
      </c>
      <c r="D41" s="151" t="s">
        <v>156</v>
      </c>
      <c r="E41" s="150">
        <v>10</v>
      </c>
      <c r="F41" s="150">
        <v>0</v>
      </c>
      <c r="G41" s="165">
        <v>244</v>
      </c>
      <c r="H41" s="226">
        <f t="shared" si="9"/>
        <v>24.4</v>
      </c>
      <c r="I41" s="227">
        <f t="shared" si="10"/>
        <v>207.43243243243242</v>
      </c>
      <c r="J41" s="363">
        <f>+Tabla2[[#This Row],[PROM DE USUARIOS]]-Tabla2[[#This Row],[USUARIOS]]</f>
        <v>-36.567567567567579</v>
      </c>
      <c r="K41" s="151"/>
      <c r="L41" s="163">
        <f t="shared" si="11"/>
        <v>115497.97297297297</v>
      </c>
      <c r="M41" s="162" t="str">
        <f>+VLOOKUP(C41,Lista!B:D,3,0)</f>
        <v>MICRO</v>
      </c>
      <c r="N41" s="365">
        <f t="shared" si="2"/>
        <v>10750</v>
      </c>
      <c r="O41" s="50">
        <f t="shared" si="12"/>
        <v>10</v>
      </c>
      <c r="P41" s="47">
        <f t="shared" si="13"/>
        <v>197.43243243243242</v>
      </c>
      <c r="Q41" s="49">
        <f t="shared" si="14"/>
        <v>234</v>
      </c>
      <c r="R41" s="51">
        <f t="shared" si="15"/>
        <v>197.43243243243242</v>
      </c>
      <c r="S41" s="46">
        <f t="shared" si="16"/>
        <v>108587.83783783783</v>
      </c>
      <c r="T41" t="str">
        <f t="shared" si="17"/>
        <v/>
      </c>
      <c r="U41">
        <f t="shared" si="18"/>
        <v>39</v>
      </c>
      <c r="Y41" t="str">
        <f>TRIM(Tabla2[[#This Row],[CONDUCTOR]])</f>
        <v>MARTINEZ CHAVERRA LUIS NORBERTO</v>
      </c>
    </row>
    <row r="42" spans="2:25" x14ac:dyDescent="0.2">
      <c r="B42" s="136" t="s">
        <v>122</v>
      </c>
      <c r="C42" s="166">
        <v>37</v>
      </c>
      <c r="D42" s="151" t="s">
        <v>187</v>
      </c>
      <c r="E42" s="150">
        <v>7</v>
      </c>
      <c r="F42" s="150">
        <v>0</v>
      </c>
      <c r="G42" s="165">
        <v>158</v>
      </c>
      <c r="H42" s="226">
        <f t="shared" si="9"/>
        <v>22.571428571428573</v>
      </c>
      <c r="I42" s="227">
        <f t="shared" si="10"/>
        <v>145.20270270270271</v>
      </c>
      <c r="J42" s="363">
        <f>+Tabla2[[#This Row],[PROM DE USUARIOS]]-Tabla2[[#This Row],[USUARIOS]]</f>
        <v>-12.797297297297291</v>
      </c>
      <c r="K42" s="151"/>
      <c r="L42" s="163">
        <f t="shared" si="11"/>
        <v>80848.58108108108</v>
      </c>
      <c r="M42" s="162">
        <f>+VLOOKUP(C42,Lista!B:D,3,0)</f>
        <v>0</v>
      </c>
      <c r="N42" s="365">
        <f t="shared" si="2"/>
        <v>10750</v>
      </c>
      <c r="O42" s="50">
        <f t="shared" si="12"/>
        <v>7</v>
      </c>
      <c r="P42" s="47">
        <f t="shared" si="13"/>
        <v>138.20270270270271</v>
      </c>
      <c r="Q42" s="49">
        <f t="shared" si="14"/>
        <v>151</v>
      </c>
      <c r="R42" s="51">
        <f t="shared" si="15"/>
        <v>138.20270270270271</v>
      </c>
      <c r="S42" s="46">
        <f t="shared" si="16"/>
        <v>76011.486486486494</v>
      </c>
      <c r="T42" t="str">
        <f t="shared" si="17"/>
        <v/>
      </c>
      <c r="U42">
        <f t="shared" si="18"/>
        <v>29</v>
      </c>
      <c r="Y42" t="str">
        <f>TRIM(Tabla2[[#This Row],[CONDUCTOR]])</f>
        <v>GUTIERREZ ARICAPA DANIEL HUMBERTO</v>
      </c>
    </row>
    <row r="43" spans="2:25" x14ac:dyDescent="0.2">
      <c r="B43" s="136" t="s">
        <v>121</v>
      </c>
      <c r="C43" s="166">
        <v>38</v>
      </c>
      <c r="D43" s="151" t="s">
        <v>151</v>
      </c>
      <c r="E43" s="150">
        <v>9</v>
      </c>
      <c r="F43" s="150">
        <v>0</v>
      </c>
      <c r="G43" s="165">
        <v>182</v>
      </c>
      <c r="H43" s="226">
        <f t="shared" si="9"/>
        <v>20.222222222222221</v>
      </c>
      <c r="I43" s="227">
        <f t="shared" si="10"/>
        <v>186.68918918918916</v>
      </c>
      <c r="J43" s="363">
        <f>+Tabla2[[#This Row],[PROM DE USUARIOS]]-Tabla2[[#This Row],[USUARIOS]]</f>
        <v>4.6891891891891646</v>
      </c>
      <c r="K43" s="151"/>
      <c r="L43" s="163">
        <f t="shared" si="11"/>
        <v>103948.17567567567</v>
      </c>
      <c r="M43" s="162" t="str">
        <f>+VLOOKUP(C43,Lista!B:D,3,0)</f>
        <v>MICRO</v>
      </c>
      <c r="N43" s="365">
        <f t="shared" si="2"/>
        <v>10750</v>
      </c>
      <c r="O43" s="50">
        <f t="shared" si="12"/>
        <v>9</v>
      </c>
      <c r="P43" s="47">
        <f t="shared" si="13"/>
        <v>177.68918918918916</v>
      </c>
      <c r="Q43" s="49">
        <f t="shared" si="14"/>
        <v>173</v>
      </c>
      <c r="R43" s="51">
        <f t="shared" si="15"/>
        <v>177.68918918918916</v>
      </c>
      <c r="S43" s="46">
        <f t="shared" si="16"/>
        <v>97729.054054054039</v>
      </c>
      <c r="T43" t="str">
        <f t="shared" si="17"/>
        <v/>
      </c>
      <c r="U43">
        <f t="shared" si="18"/>
        <v>19</v>
      </c>
      <c r="Y43" t="str">
        <f>TRIM(Tabla2[[#This Row],[CONDUCTOR]])</f>
        <v>GONZALEZ IPUANA RENE</v>
      </c>
    </row>
    <row r="44" spans="2:25" x14ac:dyDescent="0.2">
      <c r="B44" s="136" t="s">
        <v>122</v>
      </c>
      <c r="C44" s="137">
        <v>39</v>
      </c>
      <c r="D44" s="151" t="s">
        <v>175</v>
      </c>
      <c r="E44" s="150">
        <v>10</v>
      </c>
      <c r="F44" s="150">
        <v>0</v>
      </c>
      <c r="G44" s="146">
        <v>163</v>
      </c>
      <c r="H44" s="226">
        <f t="shared" si="9"/>
        <v>16.3</v>
      </c>
      <c r="I44" s="227">
        <f t="shared" si="10"/>
        <v>207.43243243243242</v>
      </c>
      <c r="J44" s="363">
        <f>+Tabla2[[#This Row],[PROM DE USUARIOS]]-Tabla2[[#This Row],[USUARIOS]]</f>
        <v>44.432432432432421</v>
      </c>
      <c r="K44" s="151" t="s">
        <v>195</v>
      </c>
      <c r="L44" s="163">
        <f t="shared" si="11"/>
        <v>115497.97297297297</v>
      </c>
      <c r="M44" s="162" t="str">
        <f>+VLOOKUP(C44,Lista!B:D,3,0)</f>
        <v>MICRO</v>
      </c>
      <c r="N44" s="365">
        <f t="shared" si="2"/>
        <v>10750</v>
      </c>
      <c r="O44" s="50">
        <f t="shared" si="12"/>
        <v>10</v>
      </c>
      <c r="P44" s="47">
        <f t="shared" si="13"/>
        <v>197.43243243243242</v>
      </c>
      <c r="Q44" s="49">
        <f t="shared" si="14"/>
        <v>153</v>
      </c>
      <c r="R44" s="51">
        <f t="shared" si="15"/>
        <v>197.43243243243242</v>
      </c>
      <c r="S44" s="46">
        <f t="shared" si="16"/>
        <v>108587.83783783783</v>
      </c>
      <c r="T44" t="str">
        <f t="shared" si="17"/>
        <v xml:space="preserve">1 Descuento (Despachador) </v>
      </c>
      <c r="U44">
        <f t="shared" si="18"/>
        <v>4</v>
      </c>
      <c r="Y44" t="str">
        <f>TRIM(Tabla2[[#This Row],[CONDUCTOR]])</f>
        <v>HINCAPIE VILLA JUAN ESTIVEN</v>
      </c>
    </row>
    <row r="45" spans="2:25" x14ac:dyDescent="0.2">
      <c r="B45" s="136" t="s">
        <v>121</v>
      </c>
      <c r="C45" s="166">
        <v>40</v>
      </c>
      <c r="D45" s="151" t="s">
        <v>155</v>
      </c>
      <c r="E45" s="150">
        <v>10</v>
      </c>
      <c r="F45" s="150">
        <v>0</v>
      </c>
      <c r="G45" s="165">
        <v>178</v>
      </c>
      <c r="H45" s="226">
        <f t="shared" si="9"/>
        <v>17.8</v>
      </c>
      <c r="I45" s="227">
        <f t="shared" si="10"/>
        <v>207.43243243243242</v>
      </c>
      <c r="J45" s="363">
        <f>+Tabla2[[#This Row],[PROM DE USUARIOS]]-Tabla2[[#This Row],[USUARIOS]]</f>
        <v>29.432432432432421</v>
      </c>
      <c r="K45" s="151"/>
      <c r="L45" s="163">
        <f t="shared" si="11"/>
        <v>115497.97297297297</v>
      </c>
      <c r="M45" s="162" t="str">
        <f>+VLOOKUP(C45,Lista!B:D,3,0)</f>
        <v>MICRO</v>
      </c>
      <c r="N45" s="365">
        <f t="shared" si="2"/>
        <v>10750</v>
      </c>
      <c r="O45" s="50">
        <f t="shared" si="12"/>
        <v>10</v>
      </c>
      <c r="P45" s="47">
        <f t="shared" si="13"/>
        <v>197.43243243243242</v>
      </c>
      <c r="Q45" s="49">
        <f t="shared" si="14"/>
        <v>168</v>
      </c>
      <c r="R45" s="51">
        <f t="shared" si="15"/>
        <v>197.43243243243242</v>
      </c>
      <c r="S45" s="46">
        <f t="shared" si="16"/>
        <v>108587.83783783783</v>
      </c>
      <c r="T45" t="str">
        <f t="shared" si="17"/>
        <v/>
      </c>
      <c r="U45">
        <f t="shared" si="18"/>
        <v>9</v>
      </c>
      <c r="Y45" t="str">
        <f>TRIM(Tabla2[[#This Row],[CONDUCTOR]])</f>
        <v>OCAMPO OCAMPO ANTONIO JOSE</v>
      </c>
    </row>
    <row r="46" spans="2:25" x14ac:dyDescent="0.2">
      <c r="B46" s="136" t="s">
        <v>121</v>
      </c>
      <c r="C46" s="166">
        <v>41</v>
      </c>
      <c r="D46" s="151" t="s">
        <v>165</v>
      </c>
      <c r="E46" s="150">
        <v>9</v>
      </c>
      <c r="F46" s="150">
        <v>0</v>
      </c>
      <c r="G46" s="165">
        <v>130</v>
      </c>
      <c r="H46" s="226">
        <f t="shared" si="9"/>
        <v>14.444444444444445</v>
      </c>
      <c r="I46" s="227">
        <f t="shared" si="10"/>
        <v>186.68918918918916</v>
      </c>
      <c r="J46" s="363">
        <f>+Tabla2[[#This Row],[PROM DE USUARIOS]]-Tabla2[[#This Row],[USUARIOS]]</f>
        <v>56.689189189189165</v>
      </c>
      <c r="K46" s="151"/>
      <c r="L46" s="163">
        <f t="shared" si="11"/>
        <v>103948.17567567567</v>
      </c>
      <c r="M46" s="162">
        <f>+VLOOKUP(C46,Lista!B:D,3,0)</f>
        <v>0</v>
      </c>
      <c r="N46" s="365">
        <f t="shared" si="2"/>
        <v>10750</v>
      </c>
      <c r="O46" s="50">
        <f t="shared" si="12"/>
        <v>9</v>
      </c>
      <c r="P46" s="47">
        <f t="shared" si="13"/>
        <v>177.68918918918916</v>
      </c>
      <c r="Q46" s="49">
        <f t="shared" si="14"/>
        <v>121</v>
      </c>
      <c r="R46" s="51">
        <f t="shared" si="15"/>
        <v>177.68918918918916</v>
      </c>
      <c r="S46" s="46">
        <f t="shared" si="16"/>
        <v>97729.054054054039</v>
      </c>
      <c r="T46" t="str">
        <f t="shared" si="17"/>
        <v/>
      </c>
      <c r="U46">
        <f t="shared" si="18"/>
        <v>1</v>
      </c>
      <c r="Y46" t="str">
        <f>TRIM(Tabla2[[#This Row],[CONDUCTOR]])</f>
        <v>JARAMILLO JARAMILLO FRANCISCO WBEIMAR</v>
      </c>
    </row>
    <row r="47" spans="2:25" x14ac:dyDescent="0.2">
      <c r="B47" s="136" t="s">
        <v>122</v>
      </c>
      <c r="C47" s="166">
        <v>42</v>
      </c>
      <c r="D47" s="151" t="s">
        <v>184</v>
      </c>
      <c r="E47" s="150">
        <v>9</v>
      </c>
      <c r="F47" s="150">
        <v>0</v>
      </c>
      <c r="G47" s="165">
        <v>212</v>
      </c>
      <c r="H47" s="226">
        <f t="shared" si="9"/>
        <v>23.555555555555557</v>
      </c>
      <c r="I47" s="227">
        <f t="shared" si="10"/>
        <v>186.68918918918916</v>
      </c>
      <c r="J47" s="363">
        <f>+Tabla2[[#This Row],[PROM DE USUARIOS]]-Tabla2[[#This Row],[USUARIOS]]</f>
        <v>-25.310810810810835</v>
      </c>
      <c r="K47" s="151" t="s">
        <v>198</v>
      </c>
      <c r="L47" s="163">
        <f t="shared" si="11"/>
        <v>103948.17567567567</v>
      </c>
      <c r="M47" s="162">
        <f>+VLOOKUP(C47,Lista!B:D,3,0)</f>
        <v>0</v>
      </c>
      <c r="N47" s="365">
        <f t="shared" si="2"/>
        <v>10750</v>
      </c>
      <c r="O47" s="50">
        <f t="shared" si="12"/>
        <v>9</v>
      </c>
      <c r="P47" s="47">
        <f t="shared" si="13"/>
        <v>177.68918918918916</v>
      </c>
      <c r="Q47" s="49">
        <f t="shared" si="14"/>
        <v>203</v>
      </c>
      <c r="R47" s="51">
        <f t="shared" si="15"/>
        <v>177.68918918918916</v>
      </c>
      <c r="S47" s="46">
        <f t="shared" si="16"/>
        <v>97729.054054054039</v>
      </c>
      <c r="T47" t="str">
        <f t="shared" si="17"/>
        <v xml:space="preserve">1 Descuento (Usuario desubicado) </v>
      </c>
      <c r="U47">
        <f t="shared" si="18"/>
        <v>34</v>
      </c>
      <c r="Y47" t="str">
        <f>TRIM(Tabla2[[#This Row],[CONDUCTOR]])</f>
        <v>AGUDELO GARCIA DENIN ANGELO</v>
      </c>
    </row>
    <row r="48" spans="2:25" x14ac:dyDescent="0.2">
      <c r="B48" s="136" t="s">
        <v>121</v>
      </c>
      <c r="C48" s="166">
        <v>43</v>
      </c>
      <c r="D48" s="151" t="s">
        <v>170</v>
      </c>
      <c r="E48" s="150">
        <v>4</v>
      </c>
      <c r="F48" s="150">
        <v>0</v>
      </c>
      <c r="G48" s="146">
        <v>98</v>
      </c>
      <c r="H48" s="226">
        <f t="shared" si="9"/>
        <v>24.5</v>
      </c>
      <c r="I48" s="227">
        <f t="shared" si="10"/>
        <v>82.972972972972968</v>
      </c>
      <c r="J48" s="363">
        <f>+Tabla2[[#This Row],[PROM DE USUARIOS]]-Tabla2[[#This Row],[USUARIOS]]</f>
        <v>-15.027027027027032</v>
      </c>
      <c r="K48" s="151"/>
      <c r="L48" s="163">
        <f t="shared" si="11"/>
        <v>46199.189189189186</v>
      </c>
      <c r="M48" s="162">
        <f>+VLOOKUP(C48,Lista!B:D,3,0)</f>
        <v>0</v>
      </c>
      <c r="N48" s="365">
        <f t="shared" si="2"/>
        <v>10750</v>
      </c>
      <c r="O48" s="50">
        <f t="shared" si="12"/>
        <v>4</v>
      </c>
      <c r="P48" s="47">
        <f t="shared" si="13"/>
        <v>78.972972972972968</v>
      </c>
      <c r="Q48" s="49">
        <f t="shared" si="14"/>
        <v>94</v>
      </c>
      <c r="R48" s="51">
        <f t="shared" si="15"/>
        <v>78.972972972972968</v>
      </c>
      <c r="S48" s="46">
        <f t="shared" si="16"/>
        <v>43435.135135135133</v>
      </c>
      <c r="T48" t="str">
        <f t="shared" si="17"/>
        <v/>
      </c>
      <c r="U48">
        <f t="shared" si="18"/>
        <v>40</v>
      </c>
    </row>
    <row r="49" spans="2:21" x14ac:dyDescent="0.2">
      <c r="B49" s="232"/>
      <c r="C49" s="239">
        <f>SUBTOTAL(102,Tabla2[VEH])</f>
        <v>42</v>
      </c>
      <c r="D49" s="233" t="s">
        <v>127</v>
      </c>
      <c r="E49" s="234">
        <f>SUBTOTAL(109,Tabla2[VIAJES])</f>
        <v>370</v>
      </c>
      <c r="F49" s="234">
        <f>SUBTOTAL(109,Tabla2[VIAJES PERD.])</f>
        <v>0</v>
      </c>
      <c r="G49" s="240">
        <f>SUBTOTAL(109,Tabla2[USUARIOS])</f>
        <v>7675</v>
      </c>
      <c r="H49" s="373">
        <f>+Tabla2[[#Totals],[USUARIOS]]/Tabla2[[#Totals],[VIAJES]]</f>
        <v>20.743243243243242</v>
      </c>
      <c r="I49" s="240">
        <f>SUBTOTAL(109,Tabla2[PROM DE USUARIOS])</f>
        <v>7675</v>
      </c>
      <c r="J49" s="372">
        <f>SUBTOTAL(109,Tabla2[RECIBE / ENTREGA])</f>
        <v>-5.1159076974727213E-13</v>
      </c>
      <c r="K49" s="235" t="s">
        <v>200</v>
      </c>
      <c r="L49" s="236"/>
      <c r="M49" s="237"/>
      <c r="N49" s="238">
        <f>SUBTOTAL(109,Tabla2[DIFER. MICRO - BUS ])</f>
        <v>451500</v>
      </c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+(E112*1)-V50</f>
        <v>0</v>
      </c>
      <c r="P50" s="134">
        <f>+I112-O50-W50</f>
        <v>0</v>
      </c>
      <c r="Q50" s="11">
        <f>+G112-O50</f>
        <v>0</v>
      </c>
      <c r="R50">
        <f>+E112*$T$3</f>
        <v>0</v>
      </c>
      <c r="S50">
        <f t="shared" ref="S50:S55" si="20">+R50*550</f>
        <v>0</v>
      </c>
      <c r="T50" t="str">
        <f>+IF(K112&lt;&gt;"",K112,"")</f>
        <v/>
      </c>
      <c r="U50" t="e">
        <f>+RANK(H112,$H$6:$H$1048576,1)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>+(E113*1)-V51</f>
        <v>0</v>
      </c>
      <c r="P51" s="134">
        <f>+I113-O51-W51</f>
        <v>0</v>
      </c>
      <c r="Q51" s="11">
        <f>+G113-O51</f>
        <v>0</v>
      </c>
      <c r="R51">
        <f>+E113*$T$3</f>
        <v>0</v>
      </c>
      <c r="S51">
        <f t="shared" si="20"/>
        <v>0</v>
      </c>
      <c r="T51" t="str">
        <f>+IF(K113&lt;&gt;"",K113,"")</f>
        <v/>
      </c>
      <c r="U51" t="e">
        <f>+RANK(H113,$H$6:$H$1048576,1)</f>
        <v>#N/A</v>
      </c>
    </row>
    <row r="52" spans="2:21" x14ac:dyDescent="0.2">
      <c r="B52" s="245"/>
      <c r="C52" s="246"/>
      <c r="D52" s="247"/>
      <c r="E52" s="248"/>
      <c r="F52" s="248"/>
      <c r="G52" s="249"/>
      <c r="H52" s="250"/>
      <c r="I52" s="251"/>
      <c r="J52" s="341"/>
      <c r="K52" s="247"/>
      <c r="L52" s="252"/>
      <c r="M52" s="253"/>
      <c r="N52" s="203"/>
      <c r="O52">
        <f>+(E114*1)-V52</f>
        <v>0</v>
      </c>
      <c r="P52" s="134">
        <f>+I114-O52-W52</f>
        <v>0</v>
      </c>
      <c r="Q52" s="11">
        <f>+G114-O52</f>
        <v>0</v>
      </c>
      <c r="R52">
        <f>+E114*$T$3</f>
        <v>0</v>
      </c>
      <c r="S52">
        <f t="shared" si="20"/>
        <v>0</v>
      </c>
      <c r="T52" t="str">
        <f>+IF(K114&lt;&gt;"",K114,"")</f>
        <v/>
      </c>
      <c r="U52" t="e">
        <f>+RANK(H114,$H$6:$H$1048576,1)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+(E115*1)-V53</f>
        <v>0</v>
      </c>
      <c r="P53" s="134">
        <f>+I115-O53-W53</f>
        <v>0</v>
      </c>
      <c r="Q53" s="11">
        <f>+G115-O53</f>
        <v>0</v>
      </c>
      <c r="R53">
        <f>+E115*$T$3</f>
        <v>0</v>
      </c>
      <c r="S53">
        <f t="shared" si="20"/>
        <v>0</v>
      </c>
      <c r="T53" t="str">
        <f>+IF(K115&lt;&gt;"",K115,"")</f>
        <v/>
      </c>
      <c r="U53" t="e">
        <f>+RANK(H115,$H$6:$H$1048576,1)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+(E116*1)-V54</f>
        <v>0</v>
      </c>
      <c r="P54" s="134">
        <f>+I116-O54-W54</f>
        <v>0</v>
      </c>
      <c r="Q54" s="11">
        <f>+G116-O54</f>
        <v>0</v>
      </c>
      <c r="R54">
        <f>+E116*$T$3</f>
        <v>0</v>
      </c>
      <c r="S54">
        <f t="shared" si="20"/>
        <v>0</v>
      </c>
      <c r="T54" t="str">
        <f>+IF(K116&lt;&gt;"",K116,"")</f>
        <v/>
      </c>
      <c r="U54" t="e">
        <f>+RANK(H116,$H$6:$H$1048576,1)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+(E117*1)-V55</f>
        <v>0</v>
      </c>
      <c r="P55" s="134">
        <f>+I117-O55-W55</f>
        <v>0</v>
      </c>
      <c r="Q55" s="11">
        <f>+G117-O55</f>
        <v>0</v>
      </c>
      <c r="R55">
        <f>+E117*$T$3</f>
        <v>0</v>
      </c>
      <c r="S55">
        <f t="shared" si="20"/>
        <v>0</v>
      </c>
      <c r="T55" t="str">
        <f>+IF(K117&lt;&gt;"",K117,"")</f>
        <v/>
      </c>
      <c r="U55" t="e">
        <f>+RANK(H117,$H$6:$H$1048576,1)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+(E81*1)-V65</f>
        <v>0</v>
      </c>
      <c r="P65" s="134">
        <f>+I81-O65-W65</f>
        <v>0</v>
      </c>
      <c r="Q65" s="11">
        <f>+G81-O65</f>
        <v>0</v>
      </c>
      <c r="R65">
        <f>+E81*$T$3</f>
        <v>0</v>
      </c>
      <c r="S65">
        <f t="shared" si="21"/>
        <v>0</v>
      </c>
      <c r="T65" t="str">
        <f>+IF(K81&lt;&gt;"",K81,"")</f>
        <v/>
      </c>
      <c r="U65" t="e">
        <f>+RANK(H81,$H$6:$H$1048576,1)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+(E82*1)-V66</f>
        <v>0</v>
      </c>
      <c r="P66" s="134">
        <f>+I82-O66-W66</f>
        <v>0</v>
      </c>
      <c r="Q66" s="11">
        <f>+G82-O66</f>
        <v>0</v>
      </c>
      <c r="R66">
        <f>+E82*$T$3</f>
        <v>0</v>
      </c>
      <c r="S66">
        <f t="shared" si="21"/>
        <v>0</v>
      </c>
      <c r="T66" t="str">
        <f>+IF(K82&lt;&gt;"",K82,"")</f>
        <v/>
      </c>
      <c r="U66" t="e">
        <f>+RANK(H82,$H$6:$H$1048576,1)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+(E83*1)-V67</f>
        <v>0</v>
      </c>
      <c r="P67" s="134">
        <f>+I83-O67-W67</f>
        <v>0</v>
      </c>
      <c r="Q67" s="11">
        <f>+G83-O67</f>
        <v>0</v>
      </c>
      <c r="R67">
        <f>+E83*$T$3</f>
        <v>0</v>
      </c>
      <c r="S67">
        <f t="shared" si="21"/>
        <v>0</v>
      </c>
      <c r="T67" t="str">
        <f>+IF(K83&lt;&gt;"",K83,"")</f>
        <v/>
      </c>
      <c r="U67" t="e">
        <f>+RANK(H83,$H$6:$H$1048576,1)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+(E84*1)-V68</f>
        <v>0</v>
      </c>
      <c r="P68" s="134">
        <f>+I84-O68-W68</f>
        <v>0</v>
      </c>
      <c r="Q68" s="11">
        <f>+G84-O68</f>
        <v>0</v>
      </c>
      <c r="R68">
        <f>+E84*$T$3</f>
        <v>0</v>
      </c>
      <c r="S68">
        <f t="shared" si="21"/>
        <v>0</v>
      </c>
      <c r="T68" t="str">
        <f>+IF(K84&lt;&gt;"",K84,"")</f>
        <v/>
      </c>
      <c r="U68" t="e">
        <f>+RANK(H84,$H$6:$H$1048576,1)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+(E85*1)-V69</f>
        <v>0</v>
      </c>
      <c r="P69" s="134">
        <f>+I85-O69-W69</f>
        <v>0</v>
      </c>
      <c r="Q69" s="11">
        <f>+G85-O69</f>
        <v>0</v>
      </c>
      <c r="R69">
        <f>+E85*$T$3</f>
        <v>0</v>
      </c>
      <c r="S69">
        <f t="shared" si="21"/>
        <v>0</v>
      </c>
      <c r="T69" t="str">
        <f>+IF(K85&lt;&gt;"",K85,"")</f>
        <v/>
      </c>
      <c r="U69" t="e">
        <f>+RANK(H85,$H$6:$H$1048576,1)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51"/>
      <c r="J73" s="341"/>
      <c r="K73" s="247"/>
      <c r="L73" s="252"/>
      <c r="M73" s="253"/>
      <c r="N73" s="203"/>
    </row>
    <row r="74" spans="2:21" x14ac:dyDescent="0.2">
      <c r="B74" s="245"/>
      <c r="C74" s="255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6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03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03"/>
    </row>
    <row r="81" spans="2:14" x14ac:dyDescent="0.2">
      <c r="B81" s="245"/>
      <c r="C81" s="255"/>
      <c r="D81" s="247"/>
      <c r="E81" s="248"/>
      <c r="F81" s="248"/>
      <c r="G81" s="199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254"/>
      <c r="H82" s="257"/>
      <c r="I82" s="222"/>
      <c r="J82" s="343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55"/>
      <c r="D86" s="247"/>
      <c r="E86" s="248"/>
      <c r="F86" s="248"/>
      <c r="G86" s="199"/>
      <c r="H86" s="257"/>
      <c r="I86" s="222"/>
      <c r="J86" s="343"/>
      <c r="K86" s="247"/>
      <c r="L86" s="203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55"/>
      <c r="D95" s="247"/>
      <c r="E95" s="248"/>
      <c r="F95" s="248"/>
      <c r="G95" s="199"/>
      <c r="H95" s="257"/>
      <c r="I95" s="222"/>
      <c r="J95" s="343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254"/>
      <c r="H100" s="259"/>
      <c r="I100" s="260"/>
      <c r="J100" s="344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55"/>
      <c r="D105" s="247"/>
      <c r="E105" s="248"/>
      <c r="F105" s="248"/>
      <c r="G105" s="199"/>
      <c r="H105" s="257"/>
      <c r="I105" s="222"/>
      <c r="J105" s="343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6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6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55"/>
      <c r="D119" s="247"/>
      <c r="E119" s="248"/>
      <c r="F119" s="248"/>
      <c r="G119" s="199"/>
      <c r="H119" s="257"/>
      <c r="I119" s="222"/>
      <c r="J119" s="343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6"/>
      <c r="H121" s="250"/>
      <c r="I121" s="221"/>
      <c r="J121" s="342"/>
      <c r="K121" s="247"/>
      <c r="L121" s="252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03"/>
      <c r="M122" s="253"/>
      <c r="N122" s="258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5"/>
      <c r="E125" s="248"/>
      <c r="F125" s="248"/>
      <c r="G125" s="261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7"/>
      <c r="I130" s="222"/>
      <c r="J130" s="343"/>
      <c r="K130" s="262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46"/>
      <c r="D138" s="247"/>
      <c r="E138" s="248"/>
      <c r="F138" s="248"/>
      <c r="G138" s="254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58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03"/>
      <c r="M141" s="253"/>
      <c r="N141" s="258"/>
    </row>
    <row r="142" spans="2:14" x14ac:dyDescent="0.2">
      <c r="B142" s="245"/>
      <c r="C142" s="246"/>
      <c r="D142" s="247"/>
      <c r="E142" s="248"/>
      <c r="F142" s="248"/>
      <c r="G142" s="254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7"/>
      <c r="E144" s="248"/>
      <c r="F144" s="248"/>
      <c r="G144" s="199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55"/>
      <c r="D145" s="245"/>
      <c r="E145" s="248"/>
      <c r="F145" s="248"/>
      <c r="G145" s="201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51"/>
      <c r="J159" s="341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5"/>
      <c r="E164" s="248"/>
      <c r="F164" s="248"/>
      <c r="G164" s="201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55"/>
      <c r="D165" s="247"/>
      <c r="E165" s="248"/>
      <c r="F165" s="248"/>
      <c r="G165" s="199"/>
      <c r="H165" s="25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50"/>
      <c r="I166" s="221"/>
      <c r="J166" s="342"/>
      <c r="K166" s="247"/>
      <c r="L166" s="252"/>
      <c r="M166" s="253"/>
      <c r="N166" s="258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55"/>
      <c r="D185" s="247"/>
      <c r="E185" s="248"/>
      <c r="F185" s="248"/>
      <c r="G185" s="199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50"/>
      <c r="I197" s="221"/>
      <c r="J197" s="342"/>
      <c r="K197" s="247"/>
      <c r="L197" s="252"/>
      <c r="M197" s="253"/>
      <c r="N197" s="258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55"/>
      <c r="D208" s="247"/>
      <c r="E208" s="248"/>
      <c r="F208" s="248"/>
      <c r="G208" s="199"/>
      <c r="H208" s="244"/>
      <c r="I208" s="222"/>
      <c r="J208" s="343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55"/>
      <c r="D214" s="247"/>
      <c r="E214" s="248"/>
      <c r="F214" s="248"/>
      <c r="G214" s="199"/>
      <c r="H214" s="244"/>
      <c r="I214" s="222"/>
      <c r="J214" s="343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03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55"/>
      <c r="D230" s="247"/>
      <c r="E230" s="248"/>
      <c r="F230" s="248"/>
      <c r="G230" s="261"/>
      <c r="H230" s="263"/>
      <c r="I230" s="260"/>
      <c r="J230" s="344"/>
      <c r="K230" s="247"/>
      <c r="L230" s="252"/>
      <c r="M230" s="253"/>
      <c r="N230" s="203"/>
    </row>
    <row r="231" spans="2:14" x14ac:dyDescent="0.2">
      <c r="B231" s="245"/>
      <c r="C231" s="246"/>
      <c r="D231" s="245"/>
      <c r="E231" s="248"/>
      <c r="F231" s="248"/>
      <c r="G231" s="261"/>
      <c r="H231" s="200"/>
      <c r="I231" s="221"/>
      <c r="J231" s="342"/>
      <c r="K231" s="245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44"/>
      <c r="I240" s="222"/>
      <c r="J240" s="343"/>
      <c r="K240" s="247"/>
      <c r="L240" s="252"/>
      <c r="M240" s="253"/>
      <c r="N240" s="203"/>
    </row>
    <row r="241" spans="2:14" x14ac:dyDescent="0.2">
      <c r="B241" s="245"/>
      <c r="C241" s="255"/>
      <c r="D241" s="247"/>
      <c r="E241" s="248"/>
      <c r="F241" s="248"/>
      <c r="G241" s="199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03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7"/>
      <c r="E264" s="248"/>
      <c r="F264" s="248"/>
      <c r="G264" s="261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55"/>
      <c r="D266" s="245"/>
      <c r="E266" s="248"/>
      <c r="F266" s="248"/>
      <c r="G266" s="201"/>
      <c r="H266" s="200"/>
      <c r="I266" s="221"/>
      <c r="J266" s="342"/>
      <c r="K266" s="262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5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5"/>
      <c r="E270" s="248"/>
      <c r="F270" s="248"/>
      <c r="G270" s="261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55"/>
      <c r="D271" s="247"/>
      <c r="E271" s="248"/>
      <c r="F271" s="248"/>
      <c r="G271" s="199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0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5"/>
      <c r="E277" s="248"/>
      <c r="F277" s="248"/>
      <c r="G277" s="261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5"/>
      <c r="E282" s="248"/>
      <c r="F282" s="248"/>
      <c r="G282" s="26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5"/>
      <c r="E284" s="248"/>
      <c r="F284" s="248"/>
      <c r="G284" s="20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5"/>
      <c r="E287" s="248"/>
      <c r="F287" s="248"/>
      <c r="G287" s="261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55"/>
      <c r="D288" s="247"/>
      <c r="E288" s="248"/>
      <c r="F288" s="248"/>
      <c r="G288" s="199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0"/>
      <c r="I289" s="221"/>
      <c r="J289" s="342"/>
      <c r="K289" s="247"/>
      <c r="L289" s="252"/>
      <c r="M289" s="253"/>
      <c r="N289" s="203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4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5"/>
      <c r="E305" s="248"/>
      <c r="F305" s="248"/>
      <c r="G305" s="261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4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7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55"/>
      <c r="D384" s="247"/>
      <c r="E384" s="248"/>
      <c r="F384" s="248"/>
      <c r="G384" s="199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55"/>
      <c r="D396" s="247"/>
      <c r="E396" s="248"/>
      <c r="F396" s="248"/>
      <c r="G396" s="199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5"/>
      <c r="E410" s="248"/>
      <c r="F410" s="248"/>
      <c r="G410" s="261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55"/>
      <c r="D413" s="247"/>
      <c r="E413" s="248"/>
      <c r="F413" s="248"/>
      <c r="G413" s="199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55"/>
      <c r="D420" s="247"/>
      <c r="E420" s="248"/>
      <c r="F420" s="248"/>
      <c r="G420" s="199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5"/>
      <c r="E425" s="248"/>
      <c r="F425" s="248"/>
      <c r="G425" s="261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5"/>
      <c r="E432" s="248"/>
      <c r="F432" s="248"/>
      <c r="G432" s="261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4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5"/>
      <c r="E440" s="248"/>
      <c r="F440" s="248"/>
      <c r="G440" s="261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55"/>
      <c r="D449" s="247"/>
      <c r="E449" s="248"/>
      <c r="F449" s="248"/>
      <c r="G449" s="199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68"/>
      <c r="F453" s="268"/>
      <c r="G453" s="269"/>
      <c r="H453" s="270"/>
      <c r="I453" s="271"/>
      <c r="J453" s="346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55"/>
      <c r="D456" s="247"/>
      <c r="E456" s="248"/>
      <c r="F456" s="248"/>
      <c r="G456" s="199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5"/>
      <c r="E457" s="248"/>
      <c r="F457" s="248"/>
      <c r="G457" s="261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4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55"/>
      <c r="D469" s="247"/>
      <c r="E469" s="248"/>
      <c r="F469" s="248"/>
      <c r="G469" s="199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5"/>
      <c r="E492" s="248"/>
      <c r="F492" s="248"/>
      <c r="G492" s="261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4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4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55"/>
      <c r="D505" s="247"/>
      <c r="E505" s="248"/>
      <c r="F505" s="248"/>
      <c r="G505" s="199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4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7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5"/>
      <c r="E525" s="248"/>
      <c r="F525" s="272"/>
      <c r="G525" s="261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55"/>
      <c r="D532" s="247"/>
      <c r="E532" s="248"/>
      <c r="F532" s="248"/>
      <c r="G532" s="199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5"/>
      <c r="E542" s="248"/>
      <c r="F542" s="248"/>
      <c r="G542" s="261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55"/>
      <c r="D545" s="247"/>
      <c r="E545" s="248"/>
      <c r="F545" s="248"/>
      <c r="G545" s="199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5"/>
      <c r="E548" s="248"/>
      <c r="F548" s="248"/>
      <c r="G548" s="261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55"/>
      <c r="D551" s="247"/>
      <c r="E551" s="248"/>
      <c r="F551" s="248"/>
      <c r="G551" s="199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5"/>
      <c r="E560" s="248"/>
      <c r="F560" s="248"/>
      <c r="G560" s="261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55"/>
      <c r="D568" s="245"/>
      <c r="E568" s="248"/>
      <c r="F568" s="248"/>
      <c r="G568" s="201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5"/>
      <c r="E574" s="248"/>
      <c r="F574" s="248"/>
      <c r="G574" s="201"/>
      <c r="H574" s="202"/>
      <c r="I574" s="223"/>
      <c r="J574" s="345"/>
      <c r="K574" s="264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55"/>
      <c r="D587" s="247"/>
      <c r="E587" s="248"/>
      <c r="F587" s="248"/>
      <c r="G587" s="199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5"/>
      <c r="E596" s="248"/>
      <c r="F596" s="248"/>
      <c r="G596" s="261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55"/>
      <c r="D601" s="247"/>
      <c r="E601" s="248"/>
      <c r="F601" s="248"/>
      <c r="G601" s="199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55"/>
      <c r="D606" s="245"/>
      <c r="E606" s="248"/>
      <c r="F606" s="248"/>
      <c r="G606" s="201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55"/>
      <c r="D617" s="247"/>
      <c r="E617" s="248"/>
      <c r="F617" s="248"/>
      <c r="G617" s="199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5"/>
      <c r="E618" s="248"/>
      <c r="F618" s="248"/>
      <c r="G618" s="261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4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55"/>
      <c r="D625" s="245"/>
      <c r="E625" s="248"/>
      <c r="F625" s="248"/>
      <c r="G625" s="201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55"/>
      <c r="D636" s="247"/>
      <c r="E636" s="248"/>
      <c r="F636" s="248"/>
      <c r="G636" s="199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4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55"/>
      <c r="D644" s="247"/>
      <c r="E644" s="248"/>
      <c r="F644" s="248"/>
      <c r="G644" s="199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55"/>
      <c r="D659" s="247"/>
      <c r="E659" s="248"/>
      <c r="F659" s="248"/>
      <c r="G659" s="199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55"/>
      <c r="D675" s="247"/>
      <c r="E675" s="248"/>
      <c r="F675" s="248"/>
      <c r="G675" s="199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5"/>
      <c r="E679" s="248"/>
      <c r="F679" s="248"/>
      <c r="G679" s="261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55"/>
      <c r="D684" s="247"/>
      <c r="E684" s="248"/>
      <c r="F684" s="248"/>
      <c r="G684" s="199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5"/>
      <c r="E687" s="248"/>
      <c r="F687" s="248"/>
      <c r="G687" s="261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4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5"/>
      <c r="E703" s="248"/>
      <c r="F703" s="248"/>
      <c r="G703" s="201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55"/>
      <c r="D710" s="247"/>
      <c r="E710" s="248"/>
      <c r="F710" s="248"/>
      <c r="G710" s="199"/>
      <c r="H710" s="202"/>
      <c r="I710" s="223"/>
      <c r="J710" s="345"/>
      <c r="K710" s="264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4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55"/>
      <c r="D730" s="247"/>
      <c r="E730" s="248"/>
      <c r="F730" s="248"/>
      <c r="G730" s="199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65"/>
    </row>
    <row r="742" spans="2:14" x14ac:dyDescent="0.2">
      <c r="B742" s="245"/>
      <c r="C742" s="255"/>
      <c r="D742" s="247"/>
      <c r="E742" s="248"/>
      <c r="F742" s="248"/>
      <c r="G742" s="199"/>
      <c r="H742" s="202"/>
      <c r="I742" s="223"/>
      <c r="J742" s="345"/>
      <c r="K742" s="266"/>
      <c r="L742" s="252"/>
      <c r="M742" s="253"/>
      <c r="N742" s="273"/>
    </row>
    <row r="743" spans="2:14" x14ac:dyDescent="0.2">
      <c r="B743" s="245"/>
      <c r="C743" s="255"/>
      <c r="D743" s="245"/>
      <c r="E743" s="248"/>
      <c r="F743" s="248"/>
      <c r="G743" s="201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55"/>
      <c r="D747" s="247"/>
      <c r="E747" s="248"/>
      <c r="F747" s="248"/>
      <c r="G747" s="199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4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55"/>
      <c r="D759" s="247"/>
      <c r="E759" s="248"/>
      <c r="F759" s="248"/>
      <c r="G759" s="199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5"/>
      <c r="E767" s="248"/>
      <c r="F767" s="248"/>
      <c r="G767" s="26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55"/>
      <c r="D768" s="245"/>
      <c r="E768" s="248"/>
      <c r="F768" s="248"/>
      <c r="G768" s="201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7"/>
      <c r="E780" s="248"/>
      <c r="F780" s="248"/>
      <c r="G780" s="254"/>
      <c r="H780" s="202"/>
      <c r="I780" s="223"/>
      <c r="J780" s="345"/>
      <c r="K780" s="264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5"/>
      <c r="E785" s="248"/>
      <c r="F785" s="248"/>
      <c r="G785" s="261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199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55"/>
      <c r="D794" s="247"/>
      <c r="E794" s="248"/>
      <c r="F794" s="248"/>
      <c r="G794" s="199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4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4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55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5"/>
      <c r="E810" s="248"/>
      <c r="F810" s="248"/>
      <c r="G810" s="261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55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55"/>
      <c r="D828" s="247"/>
      <c r="E828" s="248"/>
      <c r="F828" s="248"/>
      <c r="G828" s="199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5"/>
      <c r="E839" s="248"/>
      <c r="F839" s="248"/>
      <c r="G839" s="261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4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5"/>
      <c r="E848" s="248"/>
      <c r="F848" s="248"/>
      <c r="G848" s="261"/>
      <c r="H848" s="202"/>
      <c r="I848" s="223"/>
      <c r="J848" s="345"/>
      <c r="K848" s="264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7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55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55"/>
      <c r="D871" s="247"/>
      <c r="E871" s="248"/>
      <c r="F871" s="248"/>
      <c r="G871" s="199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199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74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5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46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7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199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199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199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55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199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46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199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199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199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5"/>
      <c r="E1017" s="248"/>
      <c r="F1017" s="248"/>
      <c r="G1017" s="26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4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01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01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5"/>
      <c r="E1050" s="248"/>
      <c r="F1050" s="248"/>
      <c r="G1050" s="261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5"/>
      <c r="E1063" s="248"/>
      <c r="F1063" s="248"/>
      <c r="G1063" s="261"/>
      <c r="H1063" s="202"/>
      <c r="I1063" s="223"/>
      <c r="J1063" s="345"/>
      <c r="K1063" s="264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03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5"/>
      <c r="E1091" s="275"/>
      <c r="F1091" s="275"/>
      <c r="G1091" s="205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199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5"/>
      <c r="E1099" s="248"/>
      <c r="F1099" s="248"/>
      <c r="G1099" s="205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199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03"/>
      <c r="M1120" s="253"/>
      <c r="N1120" s="203"/>
    </row>
    <row r="1121" spans="2:14" x14ac:dyDescent="0.2">
      <c r="B1121" s="245"/>
      <c r="C1121" s="255"/>
      <c r="D1121" s="245"/>
      <c r="E1121" s="248"/>
      <c r="F1121" s="248"/>
      <c r="G1121" s="205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199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5"/>
      <c r="E1130" s="248"/>
      <c r="F1130" s="248"/>
      <c r="G1130" s="206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76"/>
      <c r="D1141" s="276"/>
      <c r="E1141" s="248"/>
      <c r="F1141" s="277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5"/>
      <c r="E1143" s="248"/>
      <c r="F1143" s="248"/>
      <c r="G1143" s="201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5"/>
      <c r="E1150" s="248"/>
      <c r="F1150" s="248"/>
      <c r="G1150" s="261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199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61"/>
      <c r="H1157" s="202"/>
      <c r="I1157" s="223"/>
      <c r="J1157" s="345"/>
      <c r="K1157" s="266"/>
      <c r="L1157" s="252"/>
      <c r="M1157" s="253"/>
      <c r="N1157" s="203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5"/>
      <c r="E1165" s="275"/>
      <c r="F1165" s="275"/>
      <c r="G1165" s="205"/>
      <c r="H1165" s="202"/>
      <c r="I1165" s="223"/>
      <c r="J1165" s="345"/>
      <c r="K1165" s="274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199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74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199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5"/>
      <c r="E1192" s="248"/>
      <c r="F1192" s="248"/>
      <c r="G1192" s="261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199"/>
      <c r="H1193" s="202"/>
      <c r="I1193" s="223"/>
      <c r="J1193" s="345"/>
      <c r="K1193" s="274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66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8"/>
      <c r="L1203" s="252"/>
      <c r="M1203" s="253"/>
      <c r="N1203" s="204"/>
    </row>
    <row r="1204" spans="2:14" x14ac:dyDescent="0.2">
      <c r="B1204" s="245"/>
      <c r="C1204" s="255"/>
      <c r="D1204" s="245"/>
      <c r="E1204" s="275"/>
      <c r="F1204" s="275"/>
      <c r="G1204" s="205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199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5"/>
      <c r="E1212" s="248"/>
      <c r="F1212" s="248"/>
      <c r="G1212" s="205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01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48"/>
      <c r="F1218" s="248"/>
      <c r="G1218" s="206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5"/>
      <c r="E1220" s="275"/>
      <c r="F1220" s="275"/>
      <c r="G1220" s="205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199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199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80"/>
      <c r="D1235" s="281"/>
      <c r="E1235" s="275"/>
      <c r="F1235" s="275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03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199"/>
      <c r="H1239" s="202"/>
      <c r="I1239" s="223"/>
      <c r="J1239" s="345"/>
      <c r="K1239" s="279"/>
      <c r="L1239" s="252"/>
      <c r="M1239" s="253"/>
      <c r="N1239" s="204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46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76"/>
      <c r="D1245" s="276"/>
      <c r="E1245" s="277"/>
      <c r="F1245" s="277"/>
      <c r="G1245" s="209"/>
      <c r="H1245" s="207"/>
      <c r="I1245" s="221"/>
      <c r="J1245" s="342"/>
      <c r="K1245" s="282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5"/>
      <c r="E1249" s="248"/>
      <c r="F1249" s="248"/>
      <c r="G1249" s="261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05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10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46"/>
      <c r="D1259" s="247"/>
      <c r="E1259" s="248"/>
      <c r="F1259" s="248"/>
      <c r="G1259" s="261"/>
      <c r="H1259" s="207"/>
      <c r="I1259" s="221"/>
      <c r="J1259" s="342"/>
      <c r="K1259" s="279"/>
      <c r="L1259" s="252"/>
      <c r="M1259" s="253"/>
      <c r="N1259" s="208"/>
    </row>
    <row r="1260" spans="2:14" x14ac:dyDescent="0.2">
      <c r="B1260" s="245"/>
      <c r="C1260" s="255"/>
      <c r="D1260" s="247"/>
      <c r="E1260" s="248"/>
      <c r="F1260" s="248"/>
      <c r="G1260" s="254"/>
      <c r="H1260" s="207"/>
      <c r="I1260" s="221"/>
      <c r="J1260" s="342"/>
      <c r="K1260" s="279"/>
      <c r="L1260" s="252"/>
      <c r="M1260" s="253"/>
      <c r="N1260" s="208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0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x14ac:dyDescent="0.2">
      <c r="B1268" s="37"/>
      <c r="C1268" s="286"/>
      <c r="D1268" s="37"/>
      <c r="E1268" s="60"/>
      <c r="F1268" s="60"/>
      <c r="G1268" s="213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78"/>
      <c r="D1269" s="109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283"/>
      <c r="D1271" s="109"/>
      <c r="E1271" s="68"/>
      <c r="F1271" s="68"/>
      <c r="G1271" s="28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7"/>
      <c r="C1272" s="66"/>
      <c r="D1272" s="287"/>
      <c r="E1272" s="68"/>
      <c r="F1272" s="68"/>
      <c r="G1272" s="214"/>
      <c r="H1272" s="211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8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1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78"/>
      <c r="D1285" s="109"/>
      <c r="E1285" s="68"/>
      <c r="F1285" s="68"/>
      <c r="G1285" s="21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30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1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283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1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3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9"/>
      <c r="D1306" s="290"/>
      <c r="E1306" s="291"/>
      <c r="F1306" s="291"/>
      <c r="G1306" s="284"/>
      <c r="H1306" s="215"/>
      <c r="I1306" s="224"/>
      <c r="J1306" s="347"/>
      <c r="K1306" s="69"/>
      <c r="L1306" s="216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x14ac:dyDescent="0.2">
      <c r="B1310" s="30"/>
      <c r="C1310" s="78"/>
      <c r="D1310" s="109"/>
      <c r="E1310" s="68"/>
      <c r="F1310" s="68"/>
      <c r="G1310" s="288"/>
      <c r="H1310" s="211"/>
      <c r="I1310" s="224"/>
      <c r="J1310" s="347"/>
      <c r="K1310" s="80"/>
      <c r="L1310" s="285"/>
      <c r="M1310" s="116"/>
      <c r="N1310" s="212"/>
    </row>
    <row r="1311" spans="2:14" ht="15" x14ac:dyDescent="0.25">
      <c r="B1311" s="30"/>
      <c r="C1311" s="283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1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16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65"/>
      <c r="C1329" s="78"/>
      <c r="D1329" s="109"/>
      <c r="E1329" s="68"/>
      <c r="F1329" s="68"/>
      <c r="G1329" s="21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30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292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1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84"/>
      <c r="H1347" s="215"/>
      <c r="I1347" s="224"/>
      <c r="J1347" s="347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13"/>
      <c r="H1355" s="215"/>
      <c r="I1355" s="293"/>
      <c r="J1355" s="348"/>
      <c r="K1355" s="69"/>
      <c r="L1355" s="285"/>
      <c r="M1355" s="116"/>
      <c r="N1355" s="212"/>
    </row>
    <row r="1356" spans="2:14" x14ac:dyDescent="0.2">
      <c r="B1356" s="292"/>
      <c r="C1356" s="78"/>
      <c r="D1356" s="109"/>
      <c r="E1356" s="68"/>
      <c r="F1356" s="68"/>
      <c r="G1356" s="288"/>
      <c r="H1356" s="211"/>
      <c r="I1356" s="224"/>
      <c r="J1356" s="347"/>
      <c r="K1356" s="80"/>
      <c r="L1356" s="216"/>
      <c r="M1356" s="116"/>
      <c r="N1356" s="212"/>
    </row>
    <row r="1357" spans="2:14" ht="15" x14ac:dyDescent="0.25">
      <c r="B1357" s="292"/>
      <c r="C1357" s="78"/>
      <c r="D1357" s="109"/>
      <c r="E1357" s="68"/>
      <c r="F1357" s="68"/>
      <c r="G1357" s="288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289"/>
      <c r="D1358" s="290"/>
      <c r="E1358" s="294"/>
      <c r="F1358" s="295"/>
      <c r="G1358" s="296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65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297"/>
      <c r="F1361" s="298"/>
      <c r="G1361" s="299"/>
      <c r="H1361" s="300"/>
      <c r="I1361" s="301"/>
      <c r="J1361" s="349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16"/>
      <c r="M1364" s="116"/>
      <c r="N1364" s="212"/>
    </row>
    <row r="1365" spans="2:14" ht="15" x14ac:dyDescent="0.25">
      <c r="B1365" s="292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289"/>
      <c r="D1367" s="290"/>
      <c r="E1367" s="291"/>
      <c r="F1367" s="284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66"/>
      <c r="D1368" s="109"/>
      <c r="E1368" s="68"/>
      <c r="F1368" s="77"/>
      <c r="G1368" s="296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8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66"/>
      <c r="D1376" s="109"/>
      <c r="E1376" s="68"/>
      <c r="F1376" s="77"/>
      <c r="G1376" s="296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1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292"/>
      <c r="C1382" s="78"/>
      <c r="D1382" s="109"/>
      <c r="E1382" s="68"/>
      <c r="F1382" s="77"/>
      <c r="G1382" s="288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91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84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68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14"/>
      <c r="H1389" s="215"/>
      <c r="I1389" s="293"/>
      <c r="J1389" s="348"/>
      <c r="K1389" s="69"/>
      <c r="L1389" s="285"/>
      <c r="M1389" s="116"/>
      <c r="N1389" s="212"/>
    </row>
    <row r="1390" spans="2:14" x14ac:dyDescent="0.2">
      <c r="B1390" s="65"/>
      <c r="C1390" s="78"/>
      <c r="D1390" s="109"/>
      <c r="E1390" s="68"/>
      <c r="F1390" s="77"/>
      <c r="G1390" s="302"/>
      <c r="H1390" s="211"/>
      <c r="I1390" s="224"/>
      <c r="J1390" s="347"/>
      <c r="K1390" s="80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84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215"/>
      <c r="I1395" s="293"/>
      <c r="J1395" s="348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289"/>
      <c r="D1397" s="290"/>
      <c r="E1397" s="291"/>
      <c r="F1397" s="304"/>
      <c r="G1397" s="284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65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78"/>
      <c r="D1403" s="109"/>
      <c r="E1403" s="68"/>
      <c r="F1403" s="68"/>
      <c r="G1403" s="214"/>
      <c r="H1403" s="215"/>
      <c r="I1403" s="293"/>
      <c r="J1403" s="348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91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289"/>
      <c r="D1414" s="290"/>
      <c r="E1414" s="291"/>
      <c r="F1414" s="304"/>
      <c r="G1414" s="28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65"/>
      <c r="C1417" s="78"/>
      <c r="D1417" s="109"/>
      <c r="E1417" s="68"/>
      <c r="F1417" s="77"/>
      <c r="G1417" s="214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68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78"/>
      <c r="D1432" s="109"/>
      <c r="E1432" s="68"/>
      <c r="F1432" s="77"/>
      <c r="G1432" s="214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23"/>
      <c r="D1435" s="37"/>
      <c r="E1435" s="60"/>
      <c r="F1435" s="26"/>
      <c r="G1435" s="2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65"/>
      <c r="C1437" s="78"/>
      <c r="D1437" s="109"/>
      <c r="E1437" s="68"/>
      <c r="F1437" s="77"/>
      <c r="G1437" s="305"/>
      <c r="H1437" s="215"/>
      <c r="I1437" s="293"/>
      <c r="J1437" s="348"/>
      <c r="K1437" s="69"/>
      <c r="L1437" s="216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302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78"/>
      <c r="D1442" s="109"/>
      <c r="E1442" s="68"/>
      <c r="F1442" s="77"/>
      <c r="G1442" s="21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23"/>
      <c r="D1445" s="37"/>
      <c r="E1445" s="60"/>
      <c r="F1445" s="26"/>
      <c r="G1445" s="10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23"/>
      <c r="D1448" s="290"/>
      <c r="E1448" s="291"/>
      <c r="F1448" s="304"/>
      <c r="G1448" s="28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80"/>
      <c r="L1451" s="285"/>
      <c r="M1451" s="116"/>
      <c r="N1451" s="212"/>
    </row>
    <row r="1452" spans="2:14" ht="15" x14ac:dyDescent="0.25">
      <c r="B1452" s="91"/>
      <c r="C1452" s="23"/>
      <c r="D1452" s="37"/>
      <c r="E1452" s="60"/>
      <c r="F1452" s="26"/>
      <c r="G1452" s="10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27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78"/>
      <c r="D1458" s="109"/>
      <c r="E1458" s="68"/>
      <c r="F1458" s="77"/>
      <c r="G1458" s="21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91"/>
      <c r="C1460" s="66"/>
      <c r="D1460" s="109"/>
      <c r="E1460" s="68"/>
      <c r="F1460" s="77"/>
      <c r="G1460" s="296"/>
      <c r="H1460" s="303"/>
      <c r="I1460" s="225"/>
      <c r="J1460" s="350"/>
      <c r="K1460" s="290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104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286"/>
      <c r="D1463" s="286"/>
      <c r="E1463" s="306"/>
      <c r="F1463" s="307"/>
      <c r="G1463" s="307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78"/>
      <c r="D1464" s="109"/>
      <c r="E1464" s="68"/>
      <c r="F1464" s="77"/>
      <c r="G1464" s="214"/>
      <c r="H1464" s="215"/>
      <c r="I1464" s="293"/>
      <c r="J1464" s="348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296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78"/>
      <c r="D1473" s="109"/>
      <c r="E1473" s="68"/>
      <c r="F1473" s="77"/>
      <c r="G1473" s="308"/>
      <c r="H1473" s="215"/>
      <c r="I1473" s="293"/>
      <c r="J1473" s="348"/>
      <c r="K1473" s="69"/>
      <c r="L1473" s="216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09"/>
      <c r="H1475" s="303"/>
      <c r="I1475" s="225"/>
      <c r="J1475" s="350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310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65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78"/>
      <c r="D1482" s="109"/>
      <c r="E1482" s="68"/>
      <c r="F1482" s="77"/>
      <c r="G1482" s="311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68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296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78"/>
      <c r="D1489" s="109"/>
      <c r="E1489" s="68"/>
      <c r="F1489" s="77"/>
      <c r="G1489" s="311"/>
      <c r="H1489" s="312"/>
      <c r="I1489" s="313"/>
      <c r="J1489" s="352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312"/>
      <c r="I1495" s="313"/>
      <c r="J1495" s="352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91"/>
      <c r="C1500" s="78"/>
      <c r="D1500" s="109"/>
      <c r="E1500" s="68"/>
      <c r="F1500" s="77"/>
      <c r="G1500" s="311"/>
      <c r="H1500" s="121"/>
      <c r="I1500" s="107"/>
      <c r="J1500" s="351"/>
      <c r="K1500" s="69"/>
      <c r="L1500" s="285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.75" x14ac:dyDescent="0.25">
      <c r="B1503" s="315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.75" x14ac:dyDescent="0.25">
      <c r="B1504" s="31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126"/>
      <c r="M1504" s="116"/>
      <c r="N1504" s="217"/>
    </row>
    <row r="1505" spans="2:14" ht="15.75" x14ac:dyDescent="0.25">
      <c r="B1505" s="314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316"/>
      <c r="D1507" s="65"/>
      <c r="E1507" s="68"/>
      <c r="F1507" s="117"/>
      <c r="G1507" s="117"/>
      <c r="H1507" s="121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91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107"/>
      <c r="J1520" s="351"/>
      <c r="K1520" s="69"/>
      <c r="L1520" s="285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3"/>
      <c r="I1528" s="107"/>
      <c r="J1528" s="351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80"/>
      <c r="L1529" s="126"/>
      <c r="M1529" s="117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3"/>
      <c r="I1530" s="107"/>
      <c r="J1530" s="351"/>
      <c r="K1530" s="80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68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316"/>
      <c r="D1532" s="65"/>
      <c r="E1532" s="68"/>
      <c r="F1532" s="117"/>
      <c r="G1532" s="117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37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66"/>
      <c r="D1543" s="109"/>
      <c r="E1543" s="68"/>
      <c r="F1543" s="77"/>
      <c r="G1543" s="104"/>
      <c r="H1543" s="121"/>
      <c r="I1543" s="107"/>
      <c r="J1543" s="351"/>
      <c r="K1543" s="69"/>
      <c r="L1543" s="126"/>
      <c r="M1543" s="116"/>
      <c r="N1543" s="217"/>
    </row>
    <row r="1544" spans="2:14" ht="15" x14ac:dyDescent="0.25">
      <c r="B1544" s="91"/>
      <c r="C1544" s="78"/>
      <c r="D1544" s="109"/>
      <c r="E1544" s="68"/>
      <c r="F1544" s="77"/>
      <c r="G1544" s="311"/>
      <c r="H1544" s="312"/>
      <c r="I1544" s="107"/>
      <c r="J1544" s="351"/>
      <c r="K1544" s="69"/>
      <c r="L1544" s="126"/>
      <c r="M1544" s="116"/>
      <c r="N1544" s="217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313"/>
      <c r="J1549" s="352"/>
      <c r="K1549" s="69"/>
      <c r="L1549" s="216"/>
      <c r="M1549" s="116"/>
      <c r="N1549" s="212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91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68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123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x14ac:dyDescent="0.2">
      <c r="B1564" s="91"/>
      <c r="C1564" s="66"/>
      <c r="D1564" s="109"/>
      <c r="E1564" s="68"/>
      <c r="F1564" s="77"/>
      <c r="G1564" s="104"/>
      <c r="H1564" s="121"/>
      <c r="I1564" s="129"/>
      <c r="J1564" s="353"/>
      <c r="K1564" s="80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317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313"/>
      <c r="J1567" s="352"/>
      <c r="K1567" s="69"/>
      <c r="L1567" s="216"/>
      <c r="M1567" s="116"/>
      <c r="N1567" s="3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65"/>
      <c r="C1575" s="78"/>
      <c r="D1575" s="109"/>
      <c r="E1575" s="68"/>
      <c r="F1575" s="77"/>
      <c r="G1575" s="311"/>
      <c r="H1575" s="312"/>
      <c r="I1575" s="313"/>
      <c r="J1575" s="352"/>
      <c r="K1575" s="69"/>
      <c r="L1575" s="216"/>
      <c r="M1575" s="116"/>
      <c r="N1575" s="212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79"/>
      <c r="L1580" s="126"/>
      <c r="M1580" s="115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6"/>
      <c r="M1593" s="116"/>
      <c r="N1593" s="217"/>
    </row>
    <row r="1594" spans="2:14" ht="15" x14ac:dyDescent="0.25">
      <c r="B1594" s="65"/>
      <c r="C1594" s="78"/>
      <c r="D1594" s="109"/>
      <c r="E1594" s="68"/>
      <c r="F1594" s="77"/>
      <c r="G1594" s="311"/>
      <c r="H1594" s="312"/>
      <c r="I1594" s="313"/>
      <c r="J1594" s="352"/>
      <c r="K1594" s="69"/>
      <c r="L1594" s="216"/>
      <c r="M1594" s="116"/>
      <c r="N1594" s="212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68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118"/>
      <c r="M1603" s="116"/>
      <c r="N1603" s="318"/>
    </row>
    <row r="1604" spans="2:14" ht="15" x14ac:dyDescent="0.25">
      <c r="B1604" s="65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1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68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1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65"/>
      <c r="C1614" s="66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120"/>
      <c r="M1623" s="116"/>
      <c r="N1623" s="218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91"/>
      <c r="C1625" s="66"/>
      <c r="D1625" s="109"/>
      <c r="E1625" s="68"/>
      <c r="F1625" s="68"/>
      <c r="G1625" s="104"/>
      <c r="H1625" s="121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1"/>
      <c r="I1628" s="107"/>
      <c r="J1628" s="351"/>
      <c r="K1628" s="69"/>
      <c r="L1628" s="3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8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91"/>
      <c r="C1633" s="66"/>
      <c r="D1633" s="109"/>
      <c r="E1633" s="68"/>
      <c r="F1633" s="68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91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20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311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1"/>
      <c r="I1646" s="107"/>
      <c r="J1646" s="351"/>
      <c r="K1646" s="69"/>
      <c r="L1646" s="120"/>
      <c r="M1646" s="116"/>
      <c r="N1646" s="219"/>
    </row>
    <row r="1647" spans="2:14" ht="15" x14ac:dyDescent="0.25">
      <c r="B1647" s="91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68"/>
      <c r="G1653" s="311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20"/>
      <c r="M1654" s="116"/>
      <c r="N1654" s="2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3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37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37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3"/>
      <c r="I1662" s="107"/>
      <c r="J1662" s="351"/>
      <c r="K1662" s="69"/>
      <c r="L1662" s="120"/>
      <c r="M1662" s="116"/>
      <c r="N1662" s="2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120"/>
      <c r="M1665" s="116"/>
      <c r="N1665" s="219"/>
    </row>
    <row r="1666" spans="2:14" ht="15" x14ac:dyDescent="0.25">
      <c r="B1666" s="37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318"/>
      <c r="M1672" s="116"/>
      <c r="N1672" s="3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79"/>
      <c r="L1673" s="120"/>
      <c r="M1673" s="115"/>
      <c r="N1673" s="219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114"/>
      <c r="L1676" s="118"/>
      <c r="M1676" s="117"/>
      <c r="N1676" s="320"/>
    </row>
    <row r="1677" spans="2:14" ht="15" x14ac:dyDescent="0.25">
      <c r="B1677" s="37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118"/>
      <c r="M1683" s="116"/>
      <c r="N1683" s="319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91"/>
      <c r="C1687" s="66"/>
      <c r="D1687" s="109"/>
      <c r="E1687" s="68"/>
      <c r="F1687" s="68"/>
      <c r="G1687" s="104"/>
      <c r="H1687" s="121"/>
      <c r="I1687" s="107"/>
      <c r="J1687" s="351"/>
      <c r="K1687" s="69"/>
      <c r="L1687" s="118"/>
      <c r="M1687" s="116"/>
      <c r="N1687" s="320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91"/>
      <c r="C1689" s="66"/>
      <c r="D1689" s="109"/>
      <c r="E1689" s="68"/>
      <c r="F1689" s="77"/>
      <c r="G1689" s="104"/>
      <c r="H1689" s="121"/>
      <c r="I1689" s="107"/>
      <c r="J1689" s="351"/>
      <c r="K1689" s="69"/>
      <c r="L1689" s="1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318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116"/>
      <c r="N1692" s="319"/>
    </row>
    <row r="1693" spans="2:14" ht="15" x14ac:dyDescent="0.25">
      <c r="B1693" s="65"/>
      <c r="C1693" s="78"/>
      <c r="D1693" s="109"/>
      <c r="E1693" s="68"/>
      <c r="F1693" s="77"/>
      <c r="G1693" s="311"/>
      <c r="H1693" s="312"/>
      <c r="I1693" s="313"/>
      <c r="J1693" s="352"/>
      <c r="K1693" s="69"/>
      <c r="L1693" s="216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91"/>
      <c r="C1699" s="78"/>
      <c r="D1699" s="100"/>
      <c r="E1699" s="101"/>
      <c r="F1699" s="77"/>
      <c r="G1699" s="311"/>
      <c r="H1699" s="321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84"/>
      <c r="M1706" s="82"/>
      <c r="N1706" s="319"/>
    </row>
    <row r="1707" spans="2:14" ht="15" x14ac:dyDescent="0.25">
      <c r="B1707" s="65"/>
      <c r="C1707" s="66"/>
      <c r="D1707" s="109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19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19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100"/>
      <c r="E1714" s="101"/>
      <c r="F1714" s="77"/>
      <c r="G1714" s="311"/>
      <c r="H1714" s="321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68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77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70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78"/>
      <c r="D1725" s="100"/>
      <c r="E1725" s="101"/>
      <c r="F1725" s="68"/>
      <c r="G1725" s="311"/>
      <c r="H1725" s="321"/>
      <c r="I1725" s="107"/>
      <c r="J1725" s="351"/>
      <c r="K1725" s="69"/>
      <c r="L1725" s="84"/>
      <c r="M1725" s="82"/>
      <c r="N1725" s="323"/>
    </row>
    <row r="1726" spans="2:14" ht="15" x14ac:dyDescent="0.25">
      <c r="B1726" s="91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78"/>
      <c r="D1727" s="100"/>
      <c r="E1727" s="101"/>
      <c r="F1727" s="77"/>
      <c r="G1727" s="311"/>
      <c r="H1727" s="321"/>
      <c r="I1727" s="313"/>
      <c r="J1727" s="352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68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84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ht="15" x14ac:dyDescent="0.25">
      <c r="B1731" s="65"/>
      <c r="C1731" s="66"/>
      <c r="D1731" s="100"/>
      <c r="E1731" s="101"/>
      <c r="F1731" s="77"/>
      <c r="G1731" s="104"/>
      <c r="H1731" s="106"/>
      <c r="I1731" s="107"/>
      <c r="J1731" s="351"/>
      <c r="K1731" s="69"/>
      <c r="L1731" s="322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x14ac:dyDescent="0.2">
      <c r="B1733" s="65"/>
      <c r="C1733" s="78"/>
      <c r="D1733" s="100"/>
      <c r="E1733" s="101"/>
      <c r="F1733" s="77"/>
      <c r="G1733" s="311"/>
      <c r="H1733" s="321"/>
      <c r="I1733" s="324"/>
      <c r="J1733" s="354"/>
      <c r="K1733" s="69"/>
      <c r="L1733" s="84"/>
      <c r="M1733" s="82"/>
      <c r="N1733" s="323"/>
    </row>
    <row r="1734" spans="2:14" ht="15" x14ac:dyDescent="0.25">
      <c r="B1734" s="65"/>
      <c r="C1734" s="78"/>
      <c r="D1734" s="100"/>
      <c r="E1734" s="101"/>
      <c r="F1734" s="77"/>
      <c r="G1734" s="311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100"/>
      <c r="E1735" s="102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13"/>
      <c r="J1737" s="352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ht="15" x14ac:dyDescent="0.25">
      <c r="B1739" s="65"/>
      <c r="C1739" s="78"/>
      <c r="D1739" s="97"/>
      <c r="E1739" s="67"/>
      <c r="F1739" s="77"/>
      <c r="G1739" s="325"/>
      <c r="H1739" s="321"/>
      <c r="I1739" s="326"/>
      <c r="J1739" s="355"/>
      <c r="K1739" s="69"/>
      <c r="L1739" s="322"/>
      <c r="M1739" s="82"/>
      <c r="N1739" s="323"/>
    </row>
    <row r="1740" spans="2:14" x14ac:dyDescent="0.2">
      <c r="B1740" s="65"/>
      <c r="C1740" s="66"/>
      <c r="D1740" s="90"/>
      <c r="E1740" s="67"/>
      <c r="F1740" s="77"/>
      <c r="G1740" s="77"/>
      <c r="H1740" s="106"/>
      <c r="I1740" s="94"/>
      <c r="J1740" s="356"/>
      <c r="K1740" s="80"/>
      <c r="L1740" s="84"/>
      <c r="M1740" s="82"/>
      <c r="N1740" s="327"/>
    </row>
    <row r="1741" spans="2:14" ht="15" x14ac:dyDescent="0.25">
      <c r="B1741" s="65"/>
      <c r="C1741" s="78"/>
      <c r="D1741" s="90"/>
      <c r="E1741" s="67"/>
      <c r="F1741" s="77"/>
      <c r="G1741" s="328"/>
      <c r="H1741" s="321"/>
      <c r="I1741" s="326"/>
      <c r="J1741" s="355"/>
      <c r="K1741" s="69"/>
      <c r="L1741" s="322"/>
      <c r="M1741" s="82"/>
      <c r="N1741" s="327"/>
    </row>
    <row r="1742" spans="2:14" ht="15" x14ac:dyDescent="0.25">
      <c r="B1742" s="65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80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78"/>
      <c r="D1748" s="90"/>
      <c r="E1748" s="67"/>
      <c r="F1748" s="77"/>
      <c r="G1748" s="328"/>
      <c r="H1748" s="321"/>
      <c r="I1748" s="326"/>
      <c r="J1748" s="355"/>
      <c r="K1748" s="69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7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80"/>
      <c r="L1751" s="84"/>
      <c r="M1751" s="82"/>
      <c r="N1751" s="327"/>
    </row>
    <row r="1752" spans="2:14" x14ac:dyDescent="0.2">
      <c r="B1752" s="91"/>
      <c r="C1752" s="66"/>
      <c r="D1752" s="90"/>
      <c r="E1752" s="67"/>
      <c r="F1752" s="77"/>
      <c r="G1752" s="77"/>
      <c r="H1752" s="106"/>
      <c r="I1752" s="94"/>
      <c r="J1752" s="356"/>
      <c r="K1752" s="69"/>
      <c r="L1752" s="84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322"/>
      <c r="M1753" s="82"/>
      <c r="N1753" s="323"/>
    </row>
    <row r="1754" spans="2:14" ht="15" x14ac:dyDescent="0.25">
      <c r="B1754" s="91"/>
      <c r="C1754" s="66"/>
      <c r="D1754" s="90"/>
      <c r="E1754" s="67"/>
      <c r="F1754" s="77"/>
      <c r="G1754" s="77"/>
      <c r="H1754" s="106"/>
      <c r="I1754" s="95"/>
      <c r="J1754" s="357"/>
      <c r="K1754" s="69"/>
      <c r="L1754" s="84"/>
      <c r="M1754" s="82"/>
      <c r="N1754" s="323"/>
    </row>
    <row r="1755" spans="2:14" ht="15" x14ac:dyDescent="0.25">
      <c r="B1755" s="65"/>
      <c r="C1755" s="78"/>
      <c r="D1755" s="90"/>
      <c r="E1755" s="67"/>
      <c r="F1755" s="77"/>
      <c r="G1755" s="328"/>
      <c r="H1755" s="321"/>
      <c r="I1755" s="326"/>
      <c r="J1755" s="355"/>
      <c r="K1755" s="69"/>
      <c r="L1755" s="322"/>
      <c r="M1755" s="82"/>
      <c r="N1755" s="323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31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2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60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0"/>
      <c r="M1775" s="34"/>
      <c r="N1775" s="35"/>
    </row>
    <row r="1776" spans="2:14" x14ac:dyDescent="0.2">
      <c r="B1776" s="37"/>
      <c r="C1776" s="23"/>
      <c r="D1776" s="24"/>
      <c r="E1776" s="25"/>
      <c r="F1776" s="60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2"/>
      <c r="D1778" s="24"/>
      <c r="E1778" s="25"/>
      <c r="F1778" s="60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26"/>
      <c r="H1791" s="329"/>
      <c r="I1791" s="41"/>
      <c r="J1791" s="358"/>
      <c r="K1791" s="36"/>
      <c r="L1791" s="33"/>
      <c r="M1791" s="34"/>
      <c r="N1791" s="35"/>
    </row>
    <row r="1792" spans="2:14" ht="15" x14ac:dyDescent="0.25">
      <c r="B1792" s="30"/>
      <c r="C1792" s="23"/>
      <c r="D1792" s="24"/>
      <c r="E1792" s="25"/>
      <c r="F1792" s="26"/>
      <c r="G1792" s="325"/>
      <c r="H1792" s="332"/>
      <c r="I1792" s="333"/>
      <c r="J1792" s="359"/>
      <c r="K1792" s="27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60"/>
      <c r="G1795" s="26"/>
      <c r="H1795" s="329"/>
      <c r="I1795" s="41"/>
      <c r="J1795" s="358"/>
      <c r="K1795" s="27"/>
      <c r="L1795" s="33"/>
      <c r="M1795" s="34"/>
      <c r="N1795" s="35"/>
    </row>
    <row r="1796" spans="2:14" ht="15" x14ac:dyDescent="0.25">
      <c r="B1796" s="37"/>
      <c r="C1796" s="52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ht="15" x14ac:dyDescent="0.25">
      <c r="B1798" s="37"/>
      <c r="C1798" s="53"/>
      <c r="D1798" s="24"/>
      <c r="E1798" s="25"/>
      <c r="F1798" s="26"/>
      <c r="G1798" s="325"/>
      <c r="H1798" s="332"/>
      <c r="I1798" s="333"/>
      <c r="J1798" s="359"/>
      <c r="K1798" s="27"/>
      <c r="L1798" s="330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27"/>
      <c r="L1799" s="33"/>
      <c r="M1799" s="34"/>
      <c r="N1799" s="35"/>
    </row>
    <row r="1800" spans="2:14" x14ac:dyDescent="0.2">
      <c r="B1800" s="37"/>
      <c r="C1800" s="23"/>
      <c r="D1800" s="24"/>
      <c r="E1800" s="25"/>
      <c r="F1800" s="26"/>
      <c r="G1800" s="325"/>
      <c r="H1800" s="332"/>
      <c r="I1800" s="334"/>
      <c r="J1800" s="361"/>
      <c r="K1800" s="27"/>
      <c r="L1800" s="33"/>
      <c r="M1800" s="34"/>
      <c r="N1800" s="35"/>
    </row>
    <row r="1801" spans="2:14" x14ac:dyDescent="0.2">
      <c r="B1801" s="37"/>
      <c r="C1801" s="52"/>
      <c r="D1801" s="24"/>
      <c r="E1801" s="25"/>
      <c r="F1801" s="26"/>
      <c r="G1801" s="26"/>
      <c r="H1801" s="329"/>
      <c r="I1801" s="42"/>
      <c r="J1801" s="360"/>
      <c r="K1801" s="36"/>
      <c r="L1801" s="33"/>
      <c r="M1801" s="34"/>
      <c r="N1801" s="35"/>
    </row>
    <row r="1802" spans="2:14" x14ac:dyDescent="0.2">
      <c r="B1802" s="37"/>
      <c r="C1802" s="53"/>
      <c r="D1802" s="24"/>
      <c r="E1802" s="25"/>
      <c r="F1802" s="26"/>
      <c r="G1802" s="26"/>
      <c r="H1802" s="329"/>
      <c r="I1802" s="334"/>
      <c r="J1802" s="361"/>
      <c r="K1802" s="36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0"/>
      <c r="M1803" s="34"/>
      <c r="N1803" s="35"/>
    </row>
    <row r="1804" spans="2:14" ht="15" x14ac:dyDescent="0.25">
      <c r="B1804" s="37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26"/>
      <c r="H1805" s="329"/>
      <c r="I1805" s="333"/>
      <c r="J1805" s="359"/>
      <c r="K1805" s="36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9"/>
      <c r="I1809" s="41"/>
      <c r="J1809" s="358"/>
      <c r="K1809" s="27"/>
      <c r="L1809" s="33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36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23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3"/>
      <c r="D1821" s="24"/>
      <c r="E1821" s="25"/>
      <c r="F1821" s="26"/>
      <c r="G1821" s="325"/>
      <c r="H1821" s="332"/>
      <c r="I1821" s="333"/>
      <c r="J1821" s="359"/>
      <c r="K1821" s="36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ht="15" x14ac:dyDescent="0.25">
      <c r="B1823" s="30"/>
      <c r="C1823" s="52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"/>
      <c r="M1828" s="34"/>
      <c r="N1828" s="35"/>
    </row>
    <row r="1829" spans="2:14" ht="15" x14ac:dyDescent="0.25">
      <c r="B1829" s="37"/>
      <c r="C1829" s="52"/>
      <c r="D1829" s="24"/>
      <c r="E1829" s="25"/>
      <c r="F1829" s="26"/>
      <c r="G1829" s="26"/>
      <c r="H1829" s="329"/>
      <c r="I1829" s="41"/>
      <c r="J1829" s="358"/>
      <c r="K1829" s="27"/>
      <c r="L1829" s="33"/>
      <c r="M1829" s="34"/>
      <c r="N1829" s="35"/>
    </row>
    <row r="1830" spans="2:14" x14ac:dyDescent="0.2">
      <c r="B1830" s="37"/>
      <c r="C1830" s="52"/>
      <c r="D1830" s="24"/>
      <c r="E1830" s="25"/>
      <c r="F1830" s="26"/>
      <c r="G1830" s="26"/>
      <c r="H1830" s="329"/>
      <c r="I1830" s="42"/>
      <c r="J1830" s="360"/>
      <c r="K1830" s="36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0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2"/>
      <c r="D1836" s="24"/>
      <c r="E1836" s="25"/>
      <c r="F1836" s="26"/>
      <c r="G1836" s="26"/>
      <c r="H1836" s="329"/>
      <c r="I1836" s="41"/>
      <c r="J1836" s="358"/>
      <c r="K1836" s="27"/>
      <c r="L1836" s="33"/>
      <c r="M1836" s="34"/>
      <c r="N1836" s="35"/>
    </row>
    <row r="1837" spans="2:14" x14ac:dyDescent="0.2">
      <c r="B1837" s="37"/>
      <c r="C1837" s="23"/>
      <c r="D1837" s="24"/>
      <c r="E1837" s="25"/>
      <c r="F1837" s="26"/>
      <c r="G1837" s="325"/>
      <c r="H1837" s="332"/>
      <c r="I1837" s="334"/>
      <c r="J1837" s="361"/>
      <c r="K1837" s="27"/>
      <c r="L1837" s="33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5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27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42"/>
      <c r="J1848" s="360"/>
      <c r="K1848" s="36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0"/>
      <c r="C1850" s="23"/>
      <c r="D1850" s="24"/>
      <c r="E1850" s="25"/>
      <c r="F1850" s="26"/>
      <c r="G1850" s="26"/>
      <c r="H1850" s="329"/>
      <c r="I1850" s="42"/>
      <c r="J1850" s="360"/>
      <c r="K1850" s="27"/>
      <c r="L1850" s="33"/>
      <c r="M1850" s="34"/>
      <c r="N1850" s="35"/>
    </row>
    <row r="1851" spans="2:14" ht="15" x14ac:dyDescent="0.25">
      <c r="B1851" s="30"/>
      <c r="C1851" s="23"/>
      <c r="D1851" s="24"/>
      <c r="E1851" s="25"/>
      <c r="F1851" s="26"/>
      <c r="G1851" s="325"/>
      <c r="H1851" s="332"/>
      <c r="I1851" s="333"/>
      <c r="J1851" s="359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334"/>
      <c r="J1853" s="361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26"/>
      <c r="H1855" s="329"/>
      <c r="I1855" s="41"/>
      <c r="J1855" s="358"/>
      <c r="K1855" s="27"/>
      <c r="L1855" s="330"/>
      <c r="M1855" s="34"/>
      <c r="N1855" s="35"/>
    </row>
    <row r="1856" spans="2:14" x14ac:dyDescent="0.2">
      <c r="B1856" s="37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x14ac:dyDescent="0.2">
      <c r="B1857" s="30"/>
      <c r="C1857" s="23"/>
      <c r="D1857" s="24"/>
      <c r="E1857" s="25"/>
      <c r="F1857" s="26"/>
      <c r="G1857" s="26"/>
      <c r="H1857" s="329"/>
      <c r="I1857" s="42"/>
      <c r="J1857" s="360"/>
      <c r="K1857" s="27"/>
      <c r="L1857" s="33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"/>
      <c r="M1861" s="34"/>
      <c r="N1861" s="35"/>
    </row>
    <row r="1862" spans="2:14" ht="15" x14ac:dyDescent="0.25">
      <c r="B1862" s="30"/>
      <c r="C1862" s="23"/>
      <c r="D1862" s="24"/>
      <c r="E1862" s="25"/>
      <c r="F1862" s="26"/>
      <c r="G1862" s="26"/>
      <c r="H1862" s="329"/>
      <c r="I1862" s="41"/>
      <c r="J1862" s="358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325"/>
      <c r="H1865" s="332"/>
      <c r="I1865" s="333"/>
      <c r="J1865" s="359"/>
      <c r="K1865" s="27"/>
      <c r="L1865" s="330"/>
      <c r="M1865" s="34"/>
      <c r="N1865" s="35"/>
    </row>
    <row r="1866" spans="2:14" x14ac:dyDescent="0.2">
      <c r="B1866" s="30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x14ac:dyDescent="0.2">
      <c r="B1868" s="37"/>
      <c r="C1868" s="23"/>
      <c r="D1868" s="24"/>
      <c r="E1868" s="25"/>
      <c r="F1868" s="26"/>
      <c r="G1868" s="26"/>
      <c r="H1868" s="329"/>
      <c r="I1868" s="42"/>
      <c r="J1868" s="360"/>
      <c r="K1868" s="27"/>
      <c r="L1868" s="33"/>
      <c r="M1868" s="34"/>
      <c r="N1868" s="35"/>
    </row>
    <row r="1869" spans="2:14" ht="15" x14ac:dyDescent="0.25">
      <c r="B1869" s="37"/>
      <c r="C1869" s="23"/>
      <c r="D1869" s="24"/>
      <c r="E1869" s="25"/>
      <c r="F1869" s="26"/>
      <c r="G1869" s="26"/>
      <c r="H1869" s="329"/>
      <c r="I1869" s="41"/>
      <c r="J1869" s="358"/>
      <c r="K1869" s="36"/>
      <c r="L1869" s="33"/>
      <c r="M1869" s="34"/>
      <c r="N1869" s="35"/>
    </row>
  </sheetData>
  <sortState xmlns:xlrd2="http://schemas.microsoft.com/office/spreadsheetml/2017/richdata2" ref="B7:I1048575">
    <sortCondition ref="C7:C46"/>
  </sortState>
  <mergeCells count="3">
    <mergeCell ref="D1:H1"/>
    <mergeCell ref="D2:K2"/>
    <mergeCell ref="B3:F4"/>
  </mergeCells>
  <phoneticPr fontId="19" type="noConversion"/>
  <conditionalFormatting sqref="H1842:H1865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2:H1864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2:H1863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2:E1869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2:E1869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2:E1869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2:E1869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2:E1869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2:E1869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2:E1869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2:E1869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2:H1869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2:H1869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2:H1869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2:E1869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2:H1869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2:E1869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2:H1869">
    <cfRule type="iconSet" priority="282941">
      <iconSet>
        <cfvo type="percent" val="0"/>
        <cfvo type="percent" val="23"/>
        <cfvo type="percent" val="70"/>
      </iconSet>
    </cfRule>
  </conditionalFormatting>
  <conditionalFormatting sqref="H1842:H1869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2:H1869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2:H1869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2:H1869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2:E1869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2:H1869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2:H1869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2:H1869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2:H1869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2:H1869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2:E1869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2:H1869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2:H1869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2:E1869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2:E1869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2:H1869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2:H1869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2:H1869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2:E1869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2:H1869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2:H1869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2:H1869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2:H1869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2:H1869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2:H1869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2:E1869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2:H1869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2:H1869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2:H1869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2:H1869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2:H1869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2:H1869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2:E1869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2:H1869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2:E1869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2:H1869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2:E1869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2:H1869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09">
      <iconSet>
        <cfvo type="percent" val="0"/>
        <cfvo type="num" val="22"/>
        <cfvo type="num" val="26"/>
      </iconSet>
    </cfRule>
  </conditionalFormatting>
  <conditionalFormatting sqref="H1842:H1869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15">
      <iconSet>
        <cfvo type="percent" val="0"/>
        <cfvo type="num" val="21"/>
        <cfvo type="num" val="25"/>
      </iconSet>
    </cfRule>
  </conditionalFormatting>
  <conditionalFormatting sqref="H1842:H1869">
    <cfRule type="iconSet" priority="283417">
      <iconSet>
        <cfvo type="percent" val="0"/>
        <cfvo type="num" val="19"/>
        <cfvo type="num" val="23"/>
      </iconSet>
    </cfRule>
  </conditionalFormatting>
  <conditionalFormatting sqref="H1842:H1869">
    <cfRule type="iconSet" priority="283419">
      <iconSet>
        <cfvo type="percent" val="0"/>
        <cfvo type="num" val="23"/>
        <cfvo type="num" val="27"/>
      </iconSet>
    </cfRule>
  </conditionalFormatting>
  <conditionalFormatting sqref="E1756:E1758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1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50:E1179 E7:E48">
    <cfRule type="cellIs" dxfId="30" priority="170" operator="greaterThan">
      <formula>7</formula>
    </cfRule>
  </conditionalFormatting>
  <conditionalFormatting sqref="E1489:E4767">
    <cfRule type="cellIs" dxfId="29" priority="137" operator="greaterThan">
      <formula>7</formula>
    </cfRule>
  </conditionalFormatting>
  <conditionalFormatting sqref="I50:I1251 G50:G52 I7:I48">
    <cfRule type="cellIs" dxfId="28" priority="41" operator="lessThan">
      <formula>E7</formula>
    </cfRule>
  </conditionalFormatting>
  <conditionalFormatting sqref="I1842:I1869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2:I1869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2:I1869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2:I1869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2:I1869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2:I1869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2:I1869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2:I1869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2:I1869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2:I1869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2:I1869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2:I1869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2:I1869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2:I1869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8:H1475 H1262:H1436 H50:H1251 H7:H48">
    <cfRule type="cellIs" dxfId="27" priority="297711" operator="greaterThan">
      <formula>$H$49</formula>
    </cfRule>
  </conditionalFormatting>
  <conditionalFormatting sqref="L7:L1251">
    <cfRule type="top10" dxfId="26" priority="29773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4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E1756:E1758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E1736:E1755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$H$49</xm:f>
              </x14:cfvo>
              <x14:cfIcon iconSet="NoIcons" iconId="0"/>
              <x14:cfIcon iconSet="NoIcons" iconId="0"/>
              <x14:cfIcon iconSet="3Stars" iconId="2"/>
            </x14:iconSet>
          </x14:cfRule>
          <xm:sqref>H1262:H1272 H50:H1251 H7:H48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3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2"/>
  <sheetData>
    <row r="3" spans="2:9" x14ac:dyDescent="0.2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154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153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2025-11-27T06:35:17Z</cp:lastPrinted>
  <dcterms:created xsi:type="dcterms:W3CDTF">2021-05-05T13:25:05Z</dcterms:created>
  <dcterms:modified xsi:type="dcterms:W3CDTF">2025-11-27T06:42:15Z</dcterms:modified>
</cp:coreProperties>
</file>