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4A01211B-C0EF-4072-8180-E3391EB91A6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Import!$B$1:$R$28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G28" i="1"/>
  <c r="I13" i="1" s="1"/>
  <c r="F28" i="1"/>
  <c r="E28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M7" i="1"/>
  <c r="M8" i="1"/>
  <c r="M9" i="1"/>
  <c r="M10" i="1"/>
  <c r="M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H13" i="1"/>
  <c r="H15" i="1"/>
  <c r="H19" i="1"/>
  <c r="H16" i="1"/>
  <c r="H7" i="1"/>
  <c r="H23" i="1"/>
  <c r="H20" i="1"/>
  <c r="H21" i="1"/>
  <c r="H8" i="1"/>
  <c r="H24" i="1"/>
  <c r="H25" i="1"/>
  <c r="H26" i="1"/>
  <c r="H9" i="1"/>
  <c r="H22" i="1"/>
  <c r="H27" i="1"/>
  <c r="H11" i="1"/>
  <c r="H10" i="1"/>
  <c r="H14" i="1"/>
  <c r="H12" i="1"/>
  <c r="H17" i="1"/>
  <c r="H18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P41" i="1"/>
  <c r="T42" i="1"/>
  <c r="T43" i="1"/>
  <c r="O42" i="1"/>
  <c r="Q42" i="1" s="1"/>
  <c r="O43" i="1"/>
  <c r="Q43" i="1" s="1"/>
  <c r="P3" i="6"/>
  <c r="T44" i="1"/>
  <c r="O44" i="1"/>
  <c r="Q44" i="1" s="1"/>
  <c r="T45" i="1"/>
  <c r="O45" i="1"/>
  <c r="Q45" i="1" s="1"/>
  <c r="T46" i="1"/>
  <c r="O46" i="1"/>
  <c r="Q46" i="1" s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E12" i="3"/>
  <c r="H11" i="3"/>
  <c r="D12" i="3"/>
  <c r="AP6" i="3"/>
  <c r="E13" i="3"/>
  <c r="D13" i="3"/>
  <c r="I15" i="1" l="1"/>
  <c r="N10" i="1"/>
  <c r="I9" i="1"/>
  <c r="P9" i="1" s="1"/>
  <c r="L9" i="1" s="1"/>
  <c r="I18" i="1"/>
  <c r="P18" i="1" s="1"/>
  <c r="L17" i="1" s="1"/>
  <c r="I21" i="1"/>
  <c r="I8" i="1"/>
  <c r="P8" i="1" s="1"/>
  <c r="L8" i="1" s="1"/>
  <c r="I10" i="1"/>
  <c r="J10" i="1" s="1"/>
  <c r="I7" i="1"/>
  <c r="J7" i="1" s="1"/>
  <c r="I17" i="1"/>
  <c r="I12" i="1"/>
  <c r="P13" i="1" s="1"/>
  <c r="I27" i="1"/>
  <c r="P21" i="1" s="1"/>
  <c r="I25" i="1"/>
  <c r="I20" i="1"/>
  <c r="I19" i="1"/>
  <c r="J19" i="1" s="1"/>
  <c r="I11" i="1"/>
  <c r="J21" i="1" s="1"/>
  <c r="I26" i="1"/>
  <c r="P27" i="1" s="1"/>
  <c r="I16" i="1"/>
  <c r="I14" i="1"/>
  <c r="J14" i="1" s="1"/>
  <c r="I22" i="1"/>
  <c r="J22" i="1" s="1"/>
  <c r="I24" i="1"/>
  <c r="I23" i="1"/>
  <c r="J13" i="1"/>
  <c r="P20" i="1"/>
  <c r="P33" i="1"/>
  <c r="P16" i="1"/>
  <c r="P32" i="1"/>
  <c r="P40" i="1"/>
  <c r="P36" i="1"/>
  <c r="P17" i="1"/>
  <c r="L16" i="1" s="1"/>
  <c r="H28" i="1"/>
  <c r="U10" i="1" s="1"/>
  <c r="N24" i="1"/>
  <c r="N20" i="1"/>
  <c r="N16" i="1"/>
  <c r="N12" i="1"/>
  <c r="N9" i="1"/>
  <c r="J17" i="1"/>
  <c r="N23" i="1"/>
  <c r="N19" i="1"/>
  <c r="N15" i="1"/>
  <c r="N11" i="1"/>
  <c r="N8" i="1"/>
  <c r="N26" i="1"/>
  <c r="N22" i="1"/>
  <c r="N18" i="1"/>
  <c r="N14" i="1"/>
  <c r="N27" i="1"/>
  <c r="N7" i="1"/>
  <c r="P37" i="1"/>
  <c r="P29" i="1"/>
  <c r="N25" i="1"/>
  <c r="N21" i="1"/>
  <c r="N17" i="1"/>
  <c r="N13" i="1"/>
  <c r="P19" i="1"/>
  <c r="J20" i="1"/>
  <c r="J16" i="1"/>
  <c r="J12" i="1"/>
  <c r="J23" i="1"/>
  <c r="J15" i="1"/>
  <c r="J8" i="1"/>
  <c r="P28" i="1"/>
  <c r="U32" i="1"/>
  <c r="U36" i="1"/>
  <c r="U29" i="1"/>
  <c r="U33" i="1"/>
  <c r="U30" i="1"/>
  <c r="U39" i="1"/>
  <c r="P39" i="1"/>
  <c r="P35" i="1"/>
  <c r="P31" i="1"/>
  <c r="P38" i="1"/>
  <c r="P34" i="1"/>
  <c r="P30" i="1"/>
  <c r="U42" i="1"/>
  <c r="U43" i="1"/>
  <c r="P43" i="1"/>
  <c r="P42" i="1"/>
  <c r="U44" i="1"/>
  <c r="P45" i="1"/>
  <c r="P44" i="1"/>
  <c r="U45" i="1"/>
  <c r="U46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9" i="1" l="1"/>
  <c r="P7" i="1"/>
  <c r="L7" i="1" s="1"/>
  <c r="P25" i="1"/>
  <c r="J18" i="1"/>
  <c r="P14" i="1"/>
  <c r="L13" i="1" s="1"/>
  <c r="P22" i="1"/>
  <c r="L21" i="1" s="1"/>
  <c r="U8" i="1"/>
  <c r="P26" i="1"/>
  <c r="L25" i="1" s="1"/>
  <c r="P24" i="1"/>
  <c r="L24" i="1" s="1"/>
  <c r="L18" i="1"/>
  <c r="L20" i="1"/>
  <c r="L19" i="1"/>
  <c r="J26" i="1"/>
  <c r="P15" i="1"/>
  <c r="P11" i="1"/>
  <c r="L27" i="1" s="1"/>
  <c r="J11" i="1"/>
  <c r="P10" i="1"/>
  <c r="L10" i="1" s="1"/>
  <c r="U18" i="1"/>
  <c r="U25" i="1"/>
  <c r="P23" i="1"/>
  <c r="L22" i="1" s="1"/>
  <c r="U12" i="1"/>
  <c r="P12" i="1"/>
  <c r="L12" i="1" s="1"/>
  <c r="J27" i="1"/>
  <c r="I28" i="1"/>
  <c r="J24" i="1"/>
  <c r="U15" i="1"/>
  <c r="J25" i="1"/>
  <c r="U17" i="1"/>
  <c r="U20" i="1"/>
  <c r="U23" i="1"/>
  <c r="U26" i="1"/>
  <c r="U9" i="1"/>
  <c r="U21" i="1"/>
  <c r="U24" i="1"/>
  <c r="U27" i="1"/>
  <c r="U11" i="1"/>
  <c r="U14" i="1"/>
  <c r="U7" i="1"/>
  <c r="U13" i="1"/>
  <c r="U16" i="1"/>
  <c r="U19" i="1"/>
  <c r="U22" i="1"/>
  <c r="M11" i="6"/>
  <c r="N28" i="1"/>
  <c r="U31" i="1"/>
  <c r="U34" i="1"/>
  <c r="U37" i="1"/>
  <c r="U40" i="1"/>
  <c r="U35" i="1"/>
  <c r="U38" i="1"/>
  <c r="U41" i="1"/>
  <c r="U28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11" i="1" l="1"/>
  <c r="L14" i="1"/>
  <c r="L23" i="1"/>
  <c r="L15" i="1"/>
  <c r="L26" i="1"/>
  <c r="J28" i="1"/>
  <c r="R10" i="1"/>
  <c r="S10" i="1" s="1"/>
  <c r="R14" i="1"/>
  <c r="S14" i="1" s="1"/>
  <c r="R18" i="1"/>
  <c r="S18" i="1" s="1"/>
  <c r="R22" i="1"/>
  <c r="S22" i="1" s="1"/>
  <c r="R26" i="1"/>
  <c r="S2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8" i="1"/>
  <c r="S8" i="1" s="1"/>
  <c r="R12" i="1"/>
  <c r="S12" i="1" s="1"/>
  <c r="R16" i="1"/>
  <c r="S16" i="1" s="1"/>
  <c r="R20" i="1"/>
  <c r="S20" i="1" s="1"/>
  <c r="R24" i="1"/>
  <c r="S24" i="1" s="1"/>
  <c r="R9" i="1"/>
  <c r="S9" i="1" s="1"/>
  <c r="R13" i="1"/>
  <c r="S13" i="1" s="1"/>
  <c r="R17" i="1"/>
  <c r="S17" i="1" s="1"/>
  <c r="R21" i="1"/>
  <c r="S21" i="1" s="1"/>
  <c r="R25" i="1"/>
  <c r="S25" i="1" s="1"/>
  <c r="R30" i="1"/>
  <c r="S30" i="1" s="1"/>
  <c r="R34" i="1"/>
  <c r="S34" i="1" s="1"/>
  <c r="R38" i="1"/>
  <c r="S38" i="1" s="1"/>
  <c r="R31" i="1"/>
  <c r="S31" i="1" s="1"/>
  <c r="R35" i="1"/>
  <c r="S35" i="1" s="1"/>
  <c r="R39" i="1"/>
  <c r="S39" i="1" s="1"/>
  <c r="R28" i="1"/>
  <c r="S28" i="1" s="1"/>
  <c r="R32" i="1"/>
  <c r="S32" i="1" s="1"/>
  <c r="R36" i="1"/>
  <c r="S36" i="1" s="1"/>
  <c r="R40" i="1"/>
  <c r="S40" i="1" s="1"/>
  <c r="R29" i="1"/>
  <c r="S29" i="1" s="1"/>
  <c r="R33" i="1"/>
  <c r="S33" i="1" s="1"/>
  <c r="R37" i="1"/>
  <c r="S37" i="1" s="1"/>
  <c r="R41" i="1"/>
  <c r="S41" i="1" s="1"/>
  <c r="R42" i="1"/>
  <c r="S42" i="1" s="1"/>
  <c r="R43" i="1"/>
  <c r="S43" i="1" s="1"/>
  <c r="R44" i="1"/>
  <c r="S44" i="1" s="1"/>
  <c r="R45" i="1"/>
  <c r="S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<sst xmlns="http://schemas.openxmlformats.org/spreadsheetml/2006/main" count="265" uniqueCount="177">
  <si>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</si>
  <si>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</si>
  <si>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</si>
  <si>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</si>
  <si>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</si>
  <si>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</si>
  <si>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</si>
  <si>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</si>
  <si>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</si>
  <si>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</si>
  <si>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</si>
  <si>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</si>
  <si>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</si>
  <si>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</si>
  <si>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</si>
  <si>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</si>
  <si>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</si>
  <si>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</si>
  <si>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</si>
  <si>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</si>
  <si>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</si>
  <si>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</si>
  <si>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</si>
  <si>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</si>
  <si>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</si>
  <si>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</si>
  <si>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</si>
  <si>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</si>
  <si>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</si>
  <si>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</si>
  <si>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</si>
  <si>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</si>
  <si>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</si>
  <si>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</si>
  <si>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</si>
  <si>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</si>
  <si>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</si>
  <si>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</si>
  <si>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</si>
  <si>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</si>
  <si>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</si>
  <si>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</si>
  <si>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</si>
  <si>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</si>
  <si>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</si>
  <si>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</si>
  <si>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</si>
  <si>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</si>
  <si>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</si>
  <si>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</si>
  <si>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</si>
  <si>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</si>
  <si>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</si>
  <si>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</si>
  <si>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</si>
  <si>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</si>
  <si>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</si>
  <si>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</si>
  <si>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</si>
  <si>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</si>
  <si>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</si>
  <si>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</si>
  <si>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</si>
  <si>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</si>
  <si>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</si>
  <si>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</si>
  <si>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</si>
  <si>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</si>
  <si>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</si>
  <si>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</si>
  <si>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</si>
  <si>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</si>
  <si>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</si>
  <si>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</si>
  <si>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</si>
  <si>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</si>
  <si>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</si>
  <si>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</si>
  <si>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</si>
  <si>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</si>
  <si>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</si>
  <si>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</si>
  <si>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</si>
  <si>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</si>
  <si>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</si>
  <si>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</si>
  <si>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</si>
  <si>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</si>
  <si>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</si>
  <si>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</si>
  <si>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</si>
  <si>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</si>
  <si>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</si>
  <si>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</si>
  <si>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</si>
  <si>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</si>
  <si>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</si>
  <si>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</si>
  <si>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</si>
  <si>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</si>
  <si>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</si>
  <si>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</si>
  <si>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</si>
  <si>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</si>
  <si>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</si>
  <si>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</si>
  <si>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</si>
  <si>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</si>
  <si>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</si>
  <si>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</si>
  <si>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</si>
  <si>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</si>
  <si>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</si>
  <si>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</si>
  <si>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</si>
  <si>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</si>
  <si>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</si>
  <si>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</si>
  <si>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</si>
  <si>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</si>
  <si>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</si>
  <si>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</si>
  <si>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</si>
  <si>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</si>
  <si>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</si>
  <si>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</si>
  <si>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</si>
  <si>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</si>
  <si>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</si>
  <si>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</si>
  <si>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</si>
  <si>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</si>
  <si>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</si>
  <si>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</si>
  <si>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</si>
  <si>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</si>
  <si>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</si>
  <si>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</si>
  <si>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</si>
  <si>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</si>
  <si>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</si>
  <si>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</si>
  <si>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</si>
  <si>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</si>
  <si>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</si>
  <si>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</si>
  <si>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</si>
  <si>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</si>
  <si>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OSORIO URREGO SANTIAGO</t>
  </si>
  <si>
    <t>FRANCO CARVAJAL GERARDO ANTONIO</t>
  </si>
  <si>
    <t>RUA CHAVARRIA YEFERSON ANDREY</t>
  </si>
  <si>
    <t>LEON PEREZ RAUL ENRIQUE</t>
  </si>
  <si>
    <t>FLORES RINCON JORGE ALBERTO</t>
  </si>
  <si>
    <t>MARIN ALZATE KEVIN ANDRES</t>
  </si>
  <si>
    <t>TUBERQUIA URREGO HAROL</t>
  </si>
  <si>
    <t>YEPES TORRES JHON ALEXANDER</t>
  </si>
  <si>
    <t>MACIAS HERNANDEZ JULIAN DAVID</t>
  </si>
  <si>
    <t>MIRANDA MACHADO ALVARO</t>
  </si>
  <si>
    <t>HINCAPIE VILLA JUAN ESTIVEN</t>
  </si>
  <si>
    <t>MARULANDA JARAMILLO DAWER ANDRES</t>
  </si>
  <si>
    <t>SUAREZ ESCUDERO JONATAN</t>
  </si>
  <si>
    <t>VERENZUELA MARTINEZ ALEXANDER</t>
  </si>
  <si>
    <t>MONTOYA OSPINA GILBERTO ANTONIO</t>
  </si>
  <si>
    <t>MACEA ARBELAEZ MATEO</t>
  </si>
  <si>
    <t>ARAQUE ARROYAVE JOSE ALBEIRO</t>
  </si>
  <si>
    <t>88XM</t>
  </si>
  <si>
    <t>DURANGO DAVID JOSE</t>
  </si>
  <si>
    <t>PARRA VILLA YUBER ALONSO</t>
  </si>
  <si>
    <t>TABORDA ROJAS DIEGO ALEJANDRO</t>
  </si>
  <si>
    <t>CARTAGENA RAMIREZ FREDY ALONSO</t>
  </si>
  <si>
    <t xml:space="preserve">14 Descuentos (Incidente con Usuarios) </t>
  </si>
  <si>
    <t xml:space="preserve">2 Descuentos (Usuario desubicado y conduct) </t>
  </si>
  <si>
    <t xml:space="preserve">3 Descuentos (Despachador y usuarios desubicados) </t>
  </si>
  <si>
    <t xml:space="preserve">3 Descuentos (Conduct y usuarios desubicados) </t>
  </si>
  <si>
    <t xml:space="preserve">3 Descuentos (Despachador, asociado y usuario desubicado) </t>
  </si>
  <si>
    <t xml:space="preserve">1 Descuento (Despachador)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</si>
  <si>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13.9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</si>
</sst>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4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Import!$C$7:$C$28</c:f>
              <c:numCache>
                <c:formatCode>0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9</c:v>
                </c:pt>
                <c:pt idx="4" formatCode="General">
                  <c:v>11</c:v>
                </c:pt>
                <c:pt idx="5">
                  <c:v>13</c:v>
                </c:pt>
                <c:pt idx="6">
                  <c:v>15</c:v>
                </c:pt>
                <c:pt idx="7">
                  <c:v>19</c:v>
                </c:pt>
                <c:pt idx="8">
                  <c:v>21</c:v>
                </c:pt>
                <c:pt idx="9">
                  <c:v>24</c:v>
                </c:pt>
                <c:pt idx="10">
                  <c:v>25</c:v>
                </c:pt>
                <c:pt idx="11">
                  <c:v>27</c:v>
                </c:pt>
                <c:pt idx="12">
                  <c:v>29</c:v>
                </c:pt>
                <c:pt idx="13">
                  <c:v>31</c:v>
                </c:pt>
                <c:pt idx="14">
                  <c:v>33</c:v>
                </c:pt>
                <c:pt idx="15">
                  <c:v>35</c:v>
                </c:pt>
                <c:pt idx="16">
                  <c:v>37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44</c:v>
                </c:pt>
              </c:numCache>
            </c:numRef>
          </c:cat>
          <c:val>
            <c:numRef>
              <c:f>Import!$H$7:$H$28</c:f>
              <c:numCache>
                <c:formatCode>_-* #,##0.0_-;\-* #,##0.0_-;_-* "-"??_-;_-@_-</c:formatCode>
                <c:ptCount val="21"/>
                <c:pt idx="0">
                  <c:v>12.333333333333334</c:v>
                </c:pt>
                <c:pt idx="1">
                  <c:v>13.333333333333334</c:v>
                </c:pt>
                <c:pt idx="2">
                  <c:v>13.3</c:v>
                </c:pt>
                <c:pt idx="3">
                  <c:v>18</c:v>
                </c:pt>
                <c:pt idx="4">
                  <c:v>15.888888888888889</c:v>
                </c:pt>
                <c:pt idx="5">
                  <c:v>15.888888888888889</c:v>
                </c:pt>
                <c:pt idx="6">
                  <c:v>11.777777777777779</c:v>
                </c:pt>
                <c:pt idx="7">
                  <c:v>13.727272727272727</c:v>
                </c:pt>
                <c:pt idx="8">
                  <c:v>16.571428571428573</c:v>
                </c:pt>
                <c:pt idx="9">
                  <c:v>17</c:v>
                </c:pt>
                <c:pt idx="10">
                  <c:v>15.5</c:v>
                </c:pt>
                <c:pt idx="11">
                  <c:v>10.333333333333334</c:v>
                </c:pt>
                <c:pt idx="12">
                  <c:v>14.545454545454545</c:v>
                </c:pt>
                <c:pt idx="13">
                  <c:v>13.111111111111111</c:v>
                </c:pt>
                <c:pt idx="14">
                  <c:v>12.222222222222221</c:v>
                </c:pt>
                <c:pt idx="15">
                  <c:v>14.363636363636363</c:v>
                </c:pt>
                <c:pt idx="16">
                  <c:v>7.5</c:v>
                </c:pt>
                <c:pt idx="17">
                  <c:v>16.111111111111111</c:v>
                </c:pt>
                <c:pt idx="18">
                  <c:v>15.444444444444445</c:v>
                </c:pt>
                <c:pt idx="19">
                  <c:v>13.25</c:v>
                </c:pt>
                <c:pt idx="20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8" totalsRowCount="1" headerRowDxfId="62" dataDxfId="61" totalsRowDxfId="60">
  <sortState xmlns:xlrd2="http://schemas.microsoft.com/office/spreadsheetml/2017/richdata2" ref="B7:N27">
    <sortCondition ref="C11:C27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13.9 USUARIOS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47" totalsRowDxfId="0" dataCellStyle="Millares">
      <calculatedColumnFormula>+(SUMIFS(G:G,M:M,"MICRO",E:E,"&gt;0")*100)/COUNTIF($E$7:$E$27,"&gt;0")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6" dataDxfId="45" totalsRowDxfId="44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3" totalsRowDxfId="42"/>
    <tableColumn id="2" xr3:uid="{7E9A4909-E53D-4F94-80A1-A675A394CC57}" name="VEH" totalsRowLabel="4" dataDxfId="41" totalsRowDxfId="40"/>
    <tableColumn id="3" xr3:uid="{32EB6A87-92EF-4CA2-B1E8-104D5D2326F5}" name="CONDUCTOR" totalsRowLabel="Vehs " dataDxfId="39" totalsRowDxfId="38"/>
    <tableColumn id="4" xr3:uid="{72FB169E-4910-4353-AF10-07DA297F0CD5}" name="VIAJES" totalsRowFunction="sum" dataDxfId="37" totalsRowDxfId="36"/>
    <tableColumn id="5" xr3:uid="{F323DE89-3087-4D39-B0ED-15680CB2FE01}" name="VIAJES PERD." totalsRowFunction="sum" dataDxfId="35" totalsRowDxfId="34"/>
    <tableColumn id="6" xr3:uid="{FF87B711-9A02-4FB5-B21F-73198A4385A8}" name="USUARIOS" totalsRowFunction="sum" dataDxfId="33" totalsRowDxfId="32" dataCellStyle="Millares"/>
    <tableColumn id="12" xr3:uid="{60E0DB3A-B7E4-44B6-BB26-D54278C24006}" name="PROM X VIAJE" totalsRowFunction="average" dataDxfId="31" totalsRowDxfId="30" dataCellStyle="Millares"/>
    <tableColumn id="7" xr3:uid="{12134CBA-AEEC-4025-BB5C-89B13D8F91D4}" name="PROM DE USUARIOS" totalsRowFunction="sum" dataDxfId="29" totalsRowDxfId="28" dataCellStyle="Millares"/>
    <tableColumn id="8" xr3:uid="{F35B2CED-DE3E-48D9-8E47-198F9B4F56C9}" name="NOVEDADES" dataDxfId="27" totalsRowDxfId="26"/>
    <tableColumn id="9" xr3:uid="{4BD57B08-79CF-4422-A880-91A289697DC2}" name="VALOR OPERACIÓN" dataDxfId="25" totalsRowDxfId="24" dataCellStyle="Millares"/>
    <tableColumn id="10" xr3:uid="{E8B6C5A5-759D-4901-BD5D-0ADA9540975C}" name="CLASIFIC." dataDxfId="23" totalsRowDxfId="22"/>
    <tableColumn id="11" xr3:uid="{CFA53866-4E21-473F-9C2D-8FB2962BACB5}" name="DIFER. MICRO - BUS " totalsRowFunction="sum" dataDxfId="21" totalsRowDxfId="20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Verde amarillo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8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2.87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6" t="s">
        <v>142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141</v>
      </c>
      <c r="E2" s="367"/>
      <c r="F2" s="367"/>
      <c r="G2" s="367"/>
      <c r="H2" s="367"/>
      <c r="I2" s="367"/>
      <c r="J2" s="367"/>
      <c r="K2" s="367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+SUM(G6:G1839)/2</f>
        <v>2644</v>
      </c>
      <c r="R3" s="55">
        <f>+SUM(E6:E1839)/2</f>
        <v>190</v>
      </c>
      <c r="S3" s="55">
        <f>+Q3-R3</f>
        <v>2454</v>
      </c>
      <c r="T3" s="56">
        <f>+S3/R3</f>
        <v>12.91578947368421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46026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165</v>
      </c>
      <c r="C7" s="166">
        <v>1</v>
      </c>
      <c r="D7" s="151" t="s">
        <v>158</v>
      </c>
      <c r="E7" s="150">
        <v>9</v>
      </c>
      <c r="F7" s="150">
        <v>0</v>
      </c>
      <c r="G7" s="146">
        <v>111</v>
      </c>
      <c r="H7" s="226">
        <f>+G7/E7</f>
        <v>12.333333333333334</v>
      </c>
      <c r="I7" s="364">
        <f>+(SUM($G$7:$G$1048576)/SUM($E$7:$E$1048576))*E7</f>
        <v>125.2421052631579</v>
      </c>
      <c r="J7" s="363">
        <f>+Tabla2[[#This Row],[PROM DE USUARIOS]]-Tabla2[[#This Row],[USUARIOS]]</f>
        <v>14.242105263157896</v>
      </c>
      <c r="K7" s="151"/>
      <c r="L7" s="163">
        <f>P7*585</f>
        <v>68001.631578947374</v>
      </c>
      <c r="M7" s="162" t="str">
        <f>+VLOOKUP(C7,Lista!B:D,3,0)</f>
        <v>MICRO</v>
      </c>
      <c r="N7" s="164">
        <f>+(SUMIFS(G:G,M:M,"MICRO",E:E,"&gt;0")*100)/COUNTIF($E$7:$E$27,"&gt;0")</f>
        <v>6995.2380952380954</v>
      </c>
      <c r="O7" s="50">
        <f t="shared" ref="O7:O27" si="0">+(E7*1)-V7</f>
        <v>9</v>
      </c>
      <c r="P7" s="47">
        <f t="shared" ref="P7:P27" si="1">+I7-O7-W7</f>
        <v>116.2421052631579</v>
      </c>
      <c r="Q7" s="49">
        <f t="shared" ref="Q7:Q27" si="2">+G7-O7</f>
        <v>102</v>
      </c>
      <c r="R7" s="51">
        <f t="shared" ref="R7:R27" si="3">+E7*$T$3</f>
        <v>116.2421052631579</v>
      </c>
      <c r="S7" s="46">
        <f t="shared" ref="S7:S27" si="4">+R7*550</f>
        <v>63933.15789473684</v>
      </c>
      <c r="T7" t="str">
        <f t="shared" ref="T7:T27" si="5">+IF(K7&lt;&gt;"",K7,"")</f>
        <v/>
      </c>
      <c r="U7">
        <f>+RANK(H7,$H$6:$H$1048576,1)</f>
        <v>6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165</v>
      </c>
      <c r="C8" s="166">
        <v>3</v>
      </c>
      <c r="D8" s="151" t="s">
        <v>160</v>
      </c>
      <c r="E8" s="150">
        <v>9</v>
      </c>
      <c r="F8" s="150">
        <v>0</v>
      </c>
      <c r="G8" s="165">
        <v>120</v>
      </c>
      <c r="H8" s="226">
        <f>+G8/E8</f>
        <v>13.333333333333334</v>
      </c>
      <c r="I8" s="227">
        <f>+(SUM($G$7:$G$1048576)/SUM($E$7:$E$1048576))*E8</f>
        <v>125.2421052631579</v>
      </c>
      <c r="J8" s="363">
        <f>+Tabla2[[#This Row],[PROM DE USUARIOS]]-Tabla2[[#This Row],[USUARIOS]]</f>
        <v>5.2421052631578959</v>
      </c>
      <c r="K8" s="151"/>
      <c r="L8" s="163">
        <f>P8*585</f>
        <v>68001.631578947374</v>
      </c>
      <c r="M8" s="162" t="str">
        <f>+VLOOKUP(C8,Lista!B:D,3,0)</f>
        <v>MICRO</v>
      </c>
      <c r="N8" s="164">
        <f>+(SUMIFS(G:G,M:M,"MICRO",E:E,"&gt;0")*100)/COUNTIF($E$7:$E$27,"&gt;0")</f>
        <v>6995.2380952380954</v>
      </c>
      <c r="O8" s="50">
        <f t="shared" si="0"/>
        <v>9</v>
      </c>
      <c r="P8" s="47">
        <f t="shared" si="1"/>
        <v>116.2421052631579</v>
      </c>
      <c r="Q8" s="49">
        <f t="shared" si="2"/>
        <v>111</v>
      </c>
      <c r="R8" s="51">
        <f t="shared" si="3"/>
        <v>116.2421052631579</v>
      </c>
      <c r="S8" s="46">
        <f t="shared" si="4"/>
        <v>63933.15789473684</v>
      </c>
      <c r="T8" t="str">
        <f t="shared" si="5"/>
        <v/>
      </c>
      <c r="U8">
        <f>+RANK(H8,$H$6:$H$1048576,1)</f>
        <v>10</v>
      </c>
      <c r="Y8" t="str">
        <f>TRIM(Tabla2[[#This Row],[CONDUCTOR]])</f>
        <v>SUAREZ ESCUDERO JONATAN</v>
      </c>
    </row>
    <row r="9" spans="1:32" x14ac:dyDescent="0.2">
      <c r="B9" s="136" t="s">
        <v>165</v>
      </c>
      <c r="C9" s="166">
        <v>5</v>
      </c>
      <c r="D9" s="151" t="s">
        <v>161</v>
      </c>
      <c r="E9" s="150">
        <v>10</v>
      </c>
      <c r="F9" s="150">
        <v>0</v>
      </c>
      <c r="G9" s="146">
        <v>133</v>
      </c>
      <c r="H9" s="226">
        <f>+G9/E9</f>
        <v>13.3</v>
      </c>
      <c r="I9" s="364">
        <f>+(SUM($G$7:$G$1048576)/SUM($E$7:$E$1048576))*E9</f>
        <v>139.15789473684211</v>
      </c>
      <c r="J9" s="363">
        <f>+Tabla2[[#This Row],[PROM DE USUARIOS]]-Tabla2[[#This Row],[USUARIOS]]</f>
        <v>6.1578947368421098</v>
      </c>
      <c r="K9" s="151"/>
      <c r="L9" s="163">
        <f>P9*585</f>
        <v>75557.368421052641</v>
      </c>
      <c r="M9" s="162">
        <f>+VLOOKUP(C9,Lista!B:D,3,0)</f>
        <v>0</v>
      </c>
      <c r="N9" s="164">
        <f>+(SUMIFS(G:G,M:M,"MICRO",E:E,"&gt;0")*100)/COUNTIF($E$7:$E$27,"&gt;0")</f>
        <v>6995.2380952380954</v>
      </c>
      <c r="O9" s="50">
        <f t="shared" si="0"/>
        <v>10</v>
      </c>
      <c r="P9" s="47">
        <f t="shared" si="1"/>
        <v>129.15789473684211</v>
      </c>
      <c r="Q9" s="49">
        <f t="shared" si="2"/>
        <v>123</v>
      </c>
      <c r="R9" s="51">
        <f t="shared" si="3"/>
        <v>129.15789473684211</v>
      </c>
      <c r="S9" s="46">
        <f t="shared" si="4"/>
        <v>71036.84210526316</v>
      </c>
      <c r="T9" t="str">
        <f t="shared" si="5"/>
        <v/>
      </c>
      <c r="U9">
        <f>+RANK(H9,$H$6:$H$1048576,1)</f>
        <v>9</v>
      </c>
      <c r="Y9" t="str">
        <f>TRIM(Tabla2[[#This Row],[CONDUCTOR]])</f>
        <v>VERENZUELA MARTINEZ ALEXANDER</v>
      </c>
    </row>
    <row r="10" spans="1:32" x14ac:dyDescent="0.2">
      <c r="B10" s="136" t="s">
        <v>165</v>
      </c>
      <c r="C10" s="166">
        <v>9</v>
      </c>
      <c r="D10" s="151" t="s">
        <v>169</v>
      </c>
      <c r="E10" s="150">
        <v>8</v>
      </c>
      <c r="F10" s="150">
        <v>0</v>
      </c>
      <c r="G10" s="165">
        <v>144</v>
      </c>
      <c r="H10" s="226">
        <f>+G10/E10</f>
        <v>18</v>
      </c>
      <c r="I10" s="227">
        <f>+(SUM($G$7:$G$1048576)/SUM($E$7:$E$1048576))*E10</f>
        <v>111.32631578947368</v>
      </c>
      <c r="J10" s="363">
        <f>+Tabla2[[#This Row],[PROM DE USUARIOS]]-Tabla2[[#This Row],[USUARIOS]]</f>
        <v>-32.673684210526318</v>
      </c>
      <c r="K10" s="151" t="s">
        <v>171</v>
      </c>
      <c r="L10" s="163">
        <f>P10*585</f>
        <v>60445.894736842107</v>
      </c>
      <c r="M10" s="162" t="str">
        <f>+VLOOKUP(C10,Lista!B:D,3,0)</f>
        <v>MICRO</v>
      </c>
      <c r="N10" s="164">
        <f>+(SUMIFS(G:G,M:M,"MICRO",E:E,"&gt;0")*100)/COUNTIF($E$7:$E$27,"&gt;0")</f>
        <v>6995.2380952380954</v>
      </c>
      <c r="O10" s="50">
        <f t="shared" si="0"/>
        <v>8</v>
      </c>
      <c r="P10" s="47">
        <f t="shared" si="1"/>
        <v>103.32631578947368</v>
      </c>
      <c r="Q10" s="49">
        <f t="shared" si="2"/>
        <v>136</v>
      </c>
      <c r="R10" s="51">
        <f t="shared" si="3"/>
        <v>103.32631578947368</v>
      </c>
      <c r="S10" s="46">
        <f t="shared" si="4"/>
        <v>56829.473684210527</v>
      </c>
      <c r="T10" t="str">
        <f t="shared" si="5"/>
        <v xml:space="preserve">2 Descuentos (Usuario desubicado y conduct) </v>
      </c>
      <c r="U10">
        <f>+RANK(H10,$H$6:$H$1048576,1)</f>
        <v>22</v>
      </c>
      <c r="Y10" t="str">
        <f>TRIM(Tabla2[[#This Row],[CONDUCTOR]])</f>
        <v>CARTAGENA RAMIREZ FREDY ALONSO</v>
      </c>
    </row>
    <row r="11" spans="1:32" x14ac:dyDescent="0.2">
      <c r="B11" s="136" t="s">
        <v>165</v>
      </c>
      <c r="C11" s="137">
        <v>11</v>
      </c>
      <c r="D11" s="151" t="s">
        <v>155</v>
      </c>
      <c r="E11" s="150">
        <v>9</v>
      </c>
      <c r="F11" s="150">
        <v>0</v>
      </c>
      <c r="G11" s="146">
        <v>143</v>
      </c>
      <c r="H11" s="226">
        <f>+G11/E11</f>
        <v>15.888888888888889</v>
      </c>
      <c r="I11" s="227">
        <f>+(SUM($G$7:$G$1048576)/SUM($E$7:$E$1048576))*E11</f>
        <v>125.2421052631579</v>
      </c>
      <c r="J11" s="363">
        <f>+Tabla2[[#This Row],[PROM DE USUARIOS]]-Tabla2[[#This Row],[USUARIOS]]</f>
        <v>-17.757894736842104</v>
      </c>
      <c r="K11" s="151"/>
      <c r="L11" s="163">
        <f>P11*585</f>
        <v>68001.631578947374</v>
      </c>
      <c r="M11" s="162" t="str">
        <f>+VLOOKUP(C11,Lista!B:D,3,0)</f>
        <v>MICRO</v>
      </c>
      <c r="N11" s="164">
        <f>+(SUMIFS(G:G,M:M,"MICRO",E:E,"&gt;0")*100)/COUNTIF($E$7:$E$27,"&gt;0")</f>
        <v>6995.2380952380954</v>
      </c>
      <c r="O11" s="50">
        <f t="shared" si="0"/>
        <v>9</v>
      </c>
      <c r="P11" s="47">
        <f t="shared" si="1"/>
        <v>116.2421052631579</v>
      </c>
      <c r="Q11" s="49">
        <f t="shared" si="2"/>
        <v>134</v>
      </c>
      <c r="R11" s="51">
        <f t="shared" si="3"/>
        <v>116.2421052631579</v>
      </c>
      <c r="S11" s="46">
        <f t="shared" si="4"/>
        <v>63933.15789473684</v>
      </c>
      <c r="T11" t="str">
        <f t="shared" si="5"/>
        <v/>
      </c>
      <c r="U11">
        <f>+RANK(H11,$H$6:$H$1048576,1)</f>
        <v>17</v>
      </c>
      <c r="Y11" t="str">
        <f>TRIM(Tabla2[[#This Row],[CONDUCTOR]])</f>
        <v>YEPES TORRES JHON ALEXANDER</v>
      </c>
    </row>
    <row r="12" spans="1:32" x14ac:dyDescent="0.2">
      <c r="B12" s="136" t="s">
        <v>165</v>
      </c>
      <c r="C12" s="166">
        <v>13</v>
      </c>
      <c r="D12" s="151" t="s">
        <v>157</v>
      </c>
      <c r="E12" s="150">
        <v>9</v>
      </c>
      <c r="F12" s="150">
        <v>0</v>
      </c>
      <c r="G12" s="146">
        <v>143</v>
      </c>
      <c r="H12" s="226">
        <f>+G12/E12</f>
        <v>15.888888888888889</v>
      </c>
      <c r="I12" s="364">
        <f>+(SUM($G$7:$G$1048576)/SUM($E$7:$E$1048576))*E12</f>
        <v>125.2421052631579</v>
      </c>
      <c r="J12" s="363">
        <f>+Tabla2[[#This Row],[PROM DE USUARIOS]]-Tabla2[[#This Row],[USUARIOS]]</f>
        <v>-17.757894736842104</v>
      </c>
      <c r="K12" s="151" t="s">
        <v>172</v>
      </c>
      <c r="L12" s="163">
        <f>P12*585</f>
        <v>68001.631578947374</v>
      </c>
      <c r="M12" s="162" t="str">
        <f>+VLOOKUP(C12,Lista!B:D,3,0)</f>
        <v>MICRO</v>
      </c>
      <c r="N12" s="164">
        <f>+(SUMIFS(G:G,M:M,"MICRO",E:E,"&gt;0")*100)/COUNTIF($E$7:$E$27,"&gt;0")</f>
        <v>6995.2380952380954</v>
      </c>
      <c r="O12" s="50">
        <f t="shared" si="0"/>
        <v>9</v>
      </c>
      <c r="P12" s="47">
        <f t="shared" si="1"/>
        <v>116.2421052631579</v>
      </c>
      <c r="Q12" s="49">
        <f t="shared" si="2"/>
        <v>134</v>
      </c>
      <c r="R12" s="51">
        <f t="shared" si="3"/>
        <v>116.2421052631579</v>
      </c>
      <c r="S12" s="46">
        <f t="shared" si="4"/>
        <v>63933.15789473684</v>
      </c>
      <c r="T12" t="str">
        <f t="shared" si="5"/>
        <v xml:space="preserve">3 Descuentos (Despachador y usuarios desubicados) </v>
      </c>
      <c r="U12">
        <f>+RANK(H12,$H$6:$H$1048576,1)</f>
        <v>17</v>
      </c>
      <c r="Y12" t="str">
        <f>TRIM(Tabla2[[#This Row],[CONDUCTOR]])</f>
        <v>MIRANDA MACHADO ALVARO</v>
      </c>
    </row>
    <row r="13" spans="1:32" x14ac:dyDescent="0.2">
      <c r="B13" s="136" t="s">
        <v>165</v>
      </c>
      <c r="C13" s="166">
        <v>15</v>
      </c>
      <c r="D13" s="151" t="s">
        <v>156</v>
      </c>
      <c r="E13" s="150">
        <v>9</v>
      </c>
      <c r="F13" s="150">
        <v>0</v>
      </c>
      <c r="G13" s="146">
        <v>106</v>
      </c>
      <c r="H13" s="226">
        <f>+G13/E13</f>
        <v>11.777777777777779</v>
      </c>
      <c r="I13" s="364">
        <f>+(SUM($G$7:$G$1048576)/SUM($E$7:$E$1048576))*E13</f>
        <v>125.2421052631579</v>
      </c>
      <c r="J13" s="363">
        <f>+Tabla2[[#This Row],[PROM DE USUARIOS]]-Tabla2[[#This Row],[USUARIOS]]</f>
        <v>19.242105263157896</v>
      </c>
      <c r="K13" s="151"/>
      <c r="L13" s="163">
        <f>P13*585</f>
        <v>68001.631578947374</v>
      </c>
      <c r="M13" s="162">
        <f>+VLOOKUP(C13,Lista!B:D,3,0)</f>
        <v>0</v>
      </c>
      <c r="N13" s="164">
        <f>+(SUMIFS(G:G,M:M,"MICRO",E:E,"&gt;0")*100)/COUNTIF($E$7:$E$27,"&gt;0")</f>
        <v>6995.2380952380954</v>
      </c>
      <c r="O13" s="50">
        <f t="shared" si="0"/>
        <v>9</v>
      </c>
      <c r="P13" s="47">
        <f t="shared" si="1"/>
        <v>116.2421052631579</v>
      </c>
      <c r="Q13" s="49">
        <f t="shared" si="2"/>
        <v>97</v>
      </c>
      <c r="R13" s="51">
        <f t="shared" si="3"/>
        <v>116.2421052631579</v>
      </c>
      <c r="S13" s="46">
        <f t="shared" si="4"/>
        <v>63933.15789473684</v>
      </c>
      <c r="T13" t="str">
        <f t="shared" si="5"/>
        <v/>
      </c>
      <c r="U13">
        <f>+RANK(H13,$H$6:$H$1048576,1)</f>
        <v>4</v>
      </c>
      <c r="Y13" t="str">
        <f>TRIM(Tabla2[[#This Row],[CONDUCTOR]])</f>
        <v>MACIAS HERNANDEZ JULIAN DAVID</v>
      </c>
    </row>
    <row r="14" spans="1:32" x14ac:dyDescent="0.2">
      <c r="B14" s="136" t="s">
        <v>165</v>
      </c>
      <c r="C14" s="166">
        <v>19</v>
      </c>
      <c r="D14" s="151" t="s">
        <v>163</v>
      </c>
      <c r="E14" s="150">
        <v>11</v>
      </c>
      <c r="F14" s="150">
        <v>0</v>
      </c>
      <c r="G14" s="165">
        <v>151</v>
      </c>
      <c r="H14" s="226">
        <f>+G14/E14</f>
        <v>13.727272727272727</v>
      </c>
      <c r="I14" s="227">
        <f>+(SUM($G$7:$G$1048576)/SUM($E$7:$E$1048576))*E14</f>
        <v>153.07368421052632</v>
      </c>
      <c r="J14" s="363">
        <f>+Tabla2[[#This Row],[PROM DE USUARIOS]]-Tabla2[[#This Row],[USUARIOS]]</f>
        <v>2.0736842105263236</v>
      </c>
      <c r="K14" s="151" t="s">
        <v>173</v>
      </c>
      <c r="L14" s="163">
        <f>P14*585</f>
        <v>83113.105263157893</v>
      </c>
      <c r="M14" s="162" t="str">
        <f>+VLOOKUP(C14,Lista!B:D,3,0)</f>
        <v>MICRO</v>
      </c>
      <c r="N14" s="164">
        <f>+(SUMIFS(G:G,M:M,"MICRO",E:E,"&gt;0")*100)/COUNTIF($E$7:$E$27,"&gt;0")</f>
        <v>6995.2380952380954</v>
      </c>
      <c r="O14" s="50">
        <f t="shared" si="0"/>
        <v>11</v>
      </c>
      <c r="P14" s="47">
        <f t="shared" si="1"/>
        <v>142.07368421052632</v>
      </c>
      <c r="Q14" s="49">
        <f t="shared" si="2"/>
        <v>140</v>
      </c>
      <c r="R14" s="51">
        <f t="shared" si="3"/>
        <v>142.07368421052632</v>
      </c>
      <c r="S14" s="46">
        <f t="shared" si="4"/>
        <v>78140.526315789481</v>
      </c>
      <c r="T14" t="str">
        <f t="shared" si="5"/>
        <v xml:space="preserve">3 Descuentos (Conduct y usuarios desubicados) </v>
      </c>
      <c r="U14">
        <f>+RANK(H14,$H$6:$H$1048576,1)</f>
        <v>11</v>
      </c>
      <c r="Y14" t="str">
        <f>TRIM(Tabla2[[#This Row],[CONDUCTOR]])</f>
        <v>MACEA ARBELAEZ MATEO</v>
      </c>
    </row>
    <row r="15" spans="1:32" x14ac:dyDescent="0.2">
      <c r="B15" s="136" t="s">
        <v>165</v>
      </c>
      <c r="C15" s="166">
        <v>21</v>
      </c>
      <c r="D15" s="151" t="s">
        <v>166</v>
      </c>
      <c r="E15" s="150">
        <v>7</v>
      </c>
      <c r="F15" s="150">
        <v>0</v>
      </c>
      <c r="G15" s="165">
        <v>116</v>
      </c>
      <c r="H15" s="226">
        <f>+G15/E15</f>
        <v>16.571428571428573</v>
      </c>
      <c r="I15" s="227">
        <f>+(SUM($G$7:$G$1048576)/SUM($E$7:$E$1048576))*E15</f>
        <v>97.410526315789468</v>
      </c>
      <c r="J15" s="363">
        <f>+Tabla2[[#This Row],[PROM DE USUARIOS]]-Tabla2[[#This Row],[USUARIOS]]</f>
        <v>-18.589473684210532</v>
      </c>
      <c r="K15" s="151"/>
      <c r="L15" s="163">
        <f>P15*585</f>
        <v>52890.15789473684</v>
      </c>
      <c r="M15" s="162" t="str">
        <f>+VLOOKUP(C15,Lista!B:D,3,0)</f>
        <v>MICRO</v>
      </c>
      <c r="N15" s="164">
        <f>+(SUMIFS(G:G,M:M,"MICRO",E:E,"&gt;0")*100)/COUNTIF($E$7:$E$27,"&gt;0")</f>
        <v>6995.2380952380954</v>
      </c>
      <c r="O15" s="50">
        <f t="shared" si="0"/>
        <v>7</v>
      </c>
      <c r="P15" s="47">
        <f t="shared" si="1"/>
        <v>90.410526315789468</v>
      </c>
      <c r="Q15" s="49">
        <f t="shared" si="2"/>
        <v>109</v>
      </c>
      <c r="R15" s="51">
        <f t="shared" si="3"/>
        <v>90.410526315789468</v>
      </c>
      <c r="S15" s="46">
        <f t="shared" si="4"/>
        <v>49725.789473684206</v>
      </c>
      <c r="T15" t="str">
        <f t="shared" si="5"/>
        <v/>
      </c>
      <c r="U15">
        <f>+RANK(H15,$H$6:$H$1048576,1)</f>
        <v>20</v>
      </c>
      <c r="Y15" t="str">
        <f>TRIM(Tabla2[[#This Row],[CONDUCTOR]])</f>
        <v>DURANGO DAVID JOSE</v>
      </c>
    </row>
    <row r="16" spans="1:32" x14ac:dyDescent="0.2">
      <c r="B16" s="136" t="s">
        <v>165</v>
      </c>
      <c r="C16" s="166">
        <v>24</v>
      </c>
      <c r="D16" s="151" t="s">
        <v>167</v>
      </c>
      <c r="E16" s="150">
        <v>9</v>
      </c>
      <c r="F16" s="150">
        <v>0</v>
      </c>
      <c r="G16" s="146">
        <v>153</v>
      </c>
      <c r="H16" s="226">
        <f>+G16/E16</f>
        <v>17</v>
      </c>
      <c r="I16" s="364">
        <f>+(SUM($G$7:$G$1048576)/SUM($E$7:$E$1048576))*E16</f>
        <v>125.2421052631579</v>
      </c>
      <c r="J16" s="363">
        <f>+Tabla2[[#This Row],[PROM DE USUARIOS]]-Tabla2[[#This Row],[USUARIOS]]</f>
        <v>-27.757894736842104</v>
      </c>
      <c r="K16" s="151"/>
      <c r="L16" s="163">
        <f>P16*585</f>
        <v>68001.631578947374</v>
      </c>
      <c r="M16" s="162" t="str">
        <f>+VLOOKUP(C16,Lista!B:D,3,0)</f>
        <v>MICRO</v>
      </c>
      <c r="N16" s="164">
        <f>+(SUMIFS(G:G,M:M,"MICRO",E:E,"&gt;0")*100)/COUNTIF($E$7:$E$27,"&gt;0")</f>
        <v>6995.2380952380954</v>
      </c>
      <c r="O16" s="50">
        <f t="shared" si="0"/>
        <v>9</v>
      </c>
      <c r="P16" s="47">
        <f t="shared" si="1"/>
        <v>116.2421052631579</v>
      </c>
      <c r="Q16" s="49">
        <f t="shared" si="2"/>
        <v>144</v>
      </c>
      <c r="R16" s="51">
        <f t="shared" si="3"/>
        <v>116.2421052631579</v>
      </c>
      <c r="S16" s="46">
        <f t="shared" si="4"/>
        <v>63933.15789473684</v>
      </c>
      <c r="T16" t="str">
        <f t="shared" si="5"/>
        <v/>
      </c>
      <c r="U16">
        <f>+RANK(H16,$H$6:$H$1048576,1)</f>
        <v>21</v>
      </c>
      <c r="Y16" t="str">
        <f>TRIM(Tabla2[[#This Row],[CONDUCTOR]])</f>
        <v>PARRA VILLA YUBER ALONSO</v>
      </c>
    </row>
    <row r="17" spans="2:25" x14ac:dyDescent="0.2">
      <c r="B17" s="136" t="s">
        <v>165</v>
      </c>
      <c r="C17" s="166">
        <v>25</v>
      </c>
      <c r="D17" s="151" t="s">
        <v>148</v>
      </c>
      <c r="E17" s="150">
        <v>10</v>
      </c>
      <c r="F17" s="150">
        <v>0</v>
      </c>
      <c r="G17" s="146">
        <v>155</v>
      </c>
      <c r="H17" s="226">
        <f>+G17/E17</f>
        <v>15.5</v>
      </c>
      <c r="I17" s="364">
        <f>+(SUM($G$7:$G$1048576)/SUM($E$7:$E$1048576))*E17</f>
        <v>139.15789473684211</v>
      </c>
      <c r="J17" s="363">
        <f>+Tabla2[[#This Row],[PROM DE USUARIOS]]-Tabla2[[#This Row],[USUARIOS]]</f>
        <v>-15.84210526315789</v>
      </c>
      <c r="K17" s="151"/>
      <c r="L17" s="163">
        <f>P17*585</f>
        <v>75557.368421052641</v>
      </c>
      <c r="M17" s="162">
        <f>+VLOOKUP(C17,Lista!B:D,3,0)</f>
        <v>0</v>
      </c>
      <c r="N17" s="164">
        <f>+(SUMIFS(G:G,M:M,"MICRO",E:E,"&gt;0")*100)/COUNTIF($E$7:$E$27,"&gt;0")</f>
        <v>6995.2380952380954</v>
      </c>
      <c r="O17" s="50">
        <f t="shared" si="0"/>
        <v>10</v>
      </c>
      <c r="P17" s="47">
        <f t="shared" si="1"/>
        <v>129.15789473684211</v>
      </c>
      <c r="Q17" s="49">
        <f t="shared" si="2"/>
        <v>145</v>
      </c>
      <c r="R17" s="51">
        <f t="shared" si="3"/>
        <v>129.15789473684211</v>
      </c>
      <c r="S17" s="46">
        <f t="shared" si="4"/>
        <v>71036.84210526316</v>
      </c>
      <c r="T17" t="str">
        <f t="shared" si="5"/>
        <v/>
      </c>
      <c r="U17">
        <f>+RANK(H17,$H$6:$H$1048576,1)</f>
        <v>16</v>
      </c>
      <c r="Y17" t="str">
        <f>TRIM(Tabla2[[#This Row],[CONDUCTOR]])</f>
        <v>OSORIO URREGO SANTIAGO</v>
      </c>
    </row>
    <row r="18" spans="2:25" x14ac:dyDescent="0.2">
      <c r="B18" s="136" t="s">
        <v>165</v>
      </c>
      <c r="C18" s="166">
        <v>27</v>
      </c>
      <c r="D18" s="151" t="s">
        <v>152</v>
      </c>
      <c r="E18" s="150">
        <v>6</v>
      </c>
      <c r="F18" s="150">
        <v>0</v>
      </c>
      <c r="G18" s="146">
        <v>62</v>
      </c>
      <c r="H18" s="226">
        <f>+G18/E18</f>
        <v>10.333333333333334</v>
      </c>
      <c r="I18" s="364">
        <f>+(SUM($G$7:$G$1048576)/SUM($E$7:$E$1048576))*E18</f>
        <v>83.494736842105254</v>
      </c>
      <c r="J18" s="363">
        <f>+Tabla2[[#This Row],[PROM DE USUARIOS]]-Tabla2[[#This Row],[USUARIOS]]</f>
        <v>21.494736842105254</v>
      </c>
      <c r="K18" s="151"/>
      <c r="L18" s="163">
        <f>P18*585</f>
        <v>45334.421052631573</v>
      </c>
      <c r="M18" s="162">
        <f>+VLOOKUP(C18,Lista!B:D,3,0)</f>
        <v>0</v>
      </c>
      <c r="N18" s="164">
        <f>+(SUMIFS(G:G,M:M,"MICRO",E:E,"&gt;0")*100)/COUNTIF($E$7:$E$27,"&gt;0")</f>
        <v>6995.2380952380954</v>
      </c>
      <c r="O18" s="50">
        <f t="shared" si="0"/>
        <v>6</v>
      </c>
      <c r="P18" s="47">
        <f t="shared" si="1"/>
        <v>77.494736842105254</v>
      </c>
      <c r="Q18" s="49">
        <f t="shared" si="2"/>
        <v>56</v>
      </c>
      <c r="R18" s="51">
        <f t="shared" si="3"/>
        <v>77.494736842105254</v>
      </c>
      <c r="S18" s="46">
        <f t="shared" si="4"/>
        <v>42622.105263157893</v>
      </c>
      <c r="T18" t="str">
        <f t="shared" si="5"/>
        <v/>
      </c>
      <c r="U18">
        <f>+RANK(H18,$H$6:$H$1048576,1)</f>
        <v>2</v>
      </c>
      <c r="Y18" t="str">
        <f>TRIM(Tabla2[[#This Row],[CONDUCTOR]])</f>
        <v>FLORES RINCON JORGE ALBERTO</v>
      </c>
    </row>
    <row r="19" spans="2:25" x14ac:dyDescent="0.2">
      <c r="B19" s="136" t="s">
        <v>165</v>
      </c>
      <c r="C19" s="166">
        <v>29</v>
      </c>
      <c r="D19" s="151" t="s">
        <v>151</v>
      </c>
      <c r="E19" s="150">
        <v>11</v>
      </c>
      <c r="F19" s="150">
        <v>0</v>
      </c>
      <c r="G19" s="146">
        <v>160</v>
      </c>
      <c r="H19" s="226">
        <f>+G19/E19</f>
        <v>14.545454545454545</v>
      </c>
      <c r="I19" s="364">
        <f>+(SUM($G$7:$G$1048576)/SUM($E$7:$E$1048576))*E19</f>
        <v>153.07368421052632</v>
      </c>
      <c r="J19" s="363">
        <f>+Tabla2[[#This Row],[PROM DE USUARIOS]]-Tabla2[[#This Row],[USUARIOS]]</f>
        <v>-6.9263157894736764</v>
      </c>
      <c r="K19" s="151" t="s">
        <v>174</v>
      </c>
      <c r="L19" s="163">
        <f>P19*585</f>
        <v>83113.105263157893</v>
      </c>
      <c r="M19" s="162" t="str">
        <f>+VLOOKUP(C19,Lista!B:D,3,0)</f>
        <v>MICRO</v>
      </c>
      <c r="N19" s="164">
        <f>+(SUMIFS(G:G,M:M,"MICRO",E:E,"&gt;0")*100)/COUNTIF($E$7:$E$27,"&gt;0")</f>
        <v>6995.2380952380954</v>
      </c>
      <c r="O19" s="50">
        <f t="shared" si="0"/>
        <v>11</v>
      </c>
      <c r="P19" s="47">
        <f t="shared" si="1"/>
        <v>142.07368421052632</v>
      </c>
      <c r="Q19" s="49">
        <f t="shared" si="2"/>
        <v>149</v>
      </c>
      <c r="R19" s="51">
        <f t="shared" si="3"/>
        <v>142.07368421052632</v>
      </c>
      <c r="S19" s="46">
        <f t="shared" si="4"/>
        <v>78140.526315789481</v>
      </c>
      <c r="T19" t="str">
        <f t="shared" si="5"/>
        <v xml:space="preserve">3 Descuentos (Despachador, asociado y usuario desubicado) </v>
      </c>
      <c r="U19">
        <f>+RANK(H19,$H$6:$H$1048576,1)</f>
        <v>14</v>
      </c>
      <c r="Y19" t="str">
        <f>TRIM(Tabla2[[#This Row],[CONDUCTOR]])</f>
        <v>LEON PEREZ RAUL ENRIQUE</v>
      </c>
    </row>
    <row r="20" spans="2:25" x14ac:dyDescent="0.2">
      <c r="B20" s="136" t="s">
        <v>165</v>
      </c>
      <c r="C20" s="166">
        <v>31</v>
      </c>
      <c r="D20" s="151" t="s">
        <v>149</v>
      </c>
      <c r="E20" s="150">
        <v>9</v>
      </c>
      <c r="F20" s="150">
        <v>0</v>
      </c>
      <c r="G20" s="165">
        <v>118</v>
      </c>
      <c r="H20" s="226">
        <f>+G20/E20</f>
        <v>13.111111111111111</v>
      </c>
      <c r="I20" s="227">
        <f>+(SUM($G$7:$G$1048576)/SUM($E$7:$E$1048576))*E20</f>
        <v>125.2421052631579</v>
      </c>
      <c r="J20" s="363">
        <f>+Tabla2[[#This Row],[PROM DE USUARIOS]]-Tabla2[[#This Row],[USUARIOS]]</f>
        <v>7.2421052631578959</v>
      </c>
      <c r="K20" s="151"/>
      <c r="L20" s="163">
        <f>P20*585</f>
        <v>68001.631578947374</v>
      </c>
      <c r="M20" s="162" t="str">
        <f>+VLOOKUP(C20,Lista!B:D,3,0)</f>
        <v>MICRO</v>
      </c>
      <c r="N20" s="164">
        <f>+(SUMIFS(G:G,M:M,"MICRO",E:E,"&gt;0")*100)/COUNTIF($E$7:$E$27,"&gt;0")</f>
        <v>6995.2380952380954</v>
      </c>
      <c r="O20" s="50">
        <f t="shared" si="0"/>
        <v>9</v>
      </c>
      <c r="P20" s="47">
        <f t="shared" si="1"/>
        <v>116.2421052631579</v>
      </c>
      <c r="Q20" s="49">
        <f t="shared" si="2"/>
        <v>109</v>
      </c>
      <c r="R20" s="51">
        <f t="shared" si="3"/>
        <v>116.2421052631579</v>
      </c>
      <c r="S20" s="46">
        <f t="shared" si="4"/>
        <v>63933.15789473684</v>
      </c>
      <c r="T20" t="str">
        <f t="shared" si="5"/>
        <v/>
      </c>
      <c r="U20">
        <f>+RANK(H20,$H$6:$H$1048576,1)</f>
        <v>7</v>
      </c>
      <c r="Y20" t="str">
        <f>TRIM(Tabla2[[#This Row],[CONDUCTOR]])</f>
        <v>FRANCO CARVAJAL GERARDO ANTONIO</v>
      </c>
    </row>
    <row r="21" spans="2:25" x14ac:dyDescent="0.2">
      <c r="B21" s="136" t="s">
        <v>165</v>
      </c>
      <c r="C21" s="166">
        <v>33</v>
      </c>
      <c r="D21" s="151" t="s">
        <v>159</v>
      </c>
      <c r="E21" s="150">
        <v>9</v>
      </c>
      <c r="F21" s="150"/>
      <c r="G21" s="146">
        <v>110</v>
      </c>
      <c r="H21" s="226">
        <f>+G21/E21</f>
        <v>12.222222222222221</v>
      </c>
      <c r="I21" s="364">
        <f>+(SUM($G$7:$G$1048576)/SUM($E$7:$E$1048576))*E21</f>
        <v>125.2421052631579</v>
      </c>
      <c r="J21" s="363">
        <f>+Tabla2[[#This Row],[PROM DE USUARIOS]]-Tabla2[[#This Row],[USUARIOS]]</f>
        <v>15.242105263157896</v>
      </c>
      <c r="K21" s="151"/>
      <c r="L21" s="163">
        <f>P21*585</f>
        <v>68001.631578947374</v>
      </c>
      <c r="M21" s="162" t="str">
        <f>+VLOOKUP(C21,Lista!B:D,3,0)</f>
        <v>MICRO</v>
      </c>
      <c r="N21" s="164">
        <f>+(SUMIFS(G:G,M:M,"MICRO",E:E,"&gt;0")*100)/COUNTIF($E$7:$E$27,"&gt;0")</f>
        <v>6995.2380952380954</v>
      </c>
      <c r="O21" s="50">
        <f t="shared" si="0"/>
        <v>9</v>
      </c>
      <c r="P21" s="47">
        <f t="shared" si="1"/>
        <v>116.2421052631579</v>
      </c>
      <c r="Q21" s="49">
        <f t="shared" si="2"/>
        <v>101</v>
      </c>
      <c r="R21" s="51">
        <f t="shared" si="3"/>
        <v>116.2421052631579</v>
      </c>
      <c r="S21" s="46">
        <f t="shared" si="4"/>
        <v>63933.15789473684</v>
      </c>
      <c r="T21" t="str">
        <f t="shared" si="5"/>
        <v/>
      </c>
      <c r="U21">
        <f>+RANK(H21,$H$6:$H$1048576,1)</f>
        <v>5</v>
      </c>
      <c r="Y21" t="str">
        <f>TRIM(Tabla2[[#This Row],[CONDUCTOR]])</f>
        <v>MARULANDA JARAMILLO DAWER ANDRES</v>
      </c>
    </row>
    <row r="22" spans="2:25" x14ac:dyDescent="0.2">
      <c r="B22" s="136" t="s">
        <v>165</v>
      </c>
      <c r="C22" s="166">
        <v>35</v>
      </c>
      <c r="D22" s="151" t="s">
        <v>154</v>
      </c>
      <c r="E22" s="150">
        <v>11</v>
      </c>
      <c r="F22" s="150">
        <v>0</v>
      </c>
      <c r="G22" s="165">
        <v>158</v>
      </c>
      <c r="H22" s="226">
        <f>+G22/E22</f>
        <v>14.363636363636363</v>
      </c>
      <c r="I22" s="227">
        <f>+(SUM($G$7:$G$1048576)/SUM($E$7:$E$1048576))*E22</f>
        <v>153.07368421052632</v>
      </c>
      <c r="J22" s="363">
        <f>+Tabla2[[#This Row],[PROM DE USUARIOS]]-Tabla2[[#This Row],[USUARIOS]]</f>
        <v>-4.9263157894736764</v>
      </c>
      <c r="K22" s="151" t="s">
        <v>173</v>
      </c>
      <c r="L22" s="163">
        <f>P22*585</f>
        <v>83113.105263157893</v>
      </c>
      <c r="M22" s="162">
        <f>+VLOOKUP(C22,Lista!B:D,3,0)</f>
        <v>0</v>
      </c>
      <c r="N22" s="164">
        <f>+(SUMIFS(G:G,M:M,"MICRO",E:E,"&gt;0")*100)/COUNTIF($E$7:$E$27,"&gt;0")</f>
        <v>6995.2380952380954</v>
      </c>
      <c r="O22" s="50">
        <f t="shared" si="0"/>
        <v>11</v>
      </c>
      <c r="P22" s="47">
        <f t="shared" si="1"/>
        <v>142.07368421052632</v>
      </c>
      <c r="Q22" s="49">
        <f t="shared" si="2"/>
        <v>147</v>
      </c>
      <c r="R22" s="51">
        <f t="shared" si="3"/>
        <v>142.07368421052632</v>
      </c>
      <c r="S22" s="46">
        <f t="shared" si="4"/>
        <v>78140.526315789481</v>
      </c>
      <c r="T22" t="str">
        <f t="shared" si="5"/>
        <v xml:space="preserve">3 Descuentos (Conduct y usuarios desubicados) </v>
      </c>
      <c r="U22">
        <f>+RANK(H22,$H$6:$H$1048576,1)</f>
        <v>13</v>
      </c>
      <c r="Y22" t="str">
        <f>TRIM(Tabla2[[#This Row],[CONDUCTOR]])</f>
        <v>TUBERQUIA URREGO HAROL</v>
      </c>
    </row>
    <row r="23" spans="2:25" x14ac:dyDescent="0.2">
      <c r="B23" s="136" t="s">
        <v>165</v>
      </c>
      <c r="C23" s="166">
        <v>37</v>
      </c>
      <c r="D23" s="151" t="s">
        <v>168</v>
      </c>
      <c r="E23" s="150">
        <v>8</v>
      </c>
      <c r="F23" s="150">
        <v>0</v>
      </c>
      <c r="G23" s="146">
        <v>60</v>
      </c>
      <c r="H23" s="226">
        <f>+G23/E23</f>
        <v>7.5</v>
      </c>
      <c r="I23" s="364">
        <f>+(SUM($G$7:$G$1048576)/SUM($E$7:$E$1048576))*E23</f>
        <v>111.32631578947368</v>
      </c>
      <c r="J23" s="363">
        <f>+Tabla2[[#This Row],[PROM DE USUARIOS]]-Tabla2[[#This Row],[USUARIOS]]</f>
        <v>51.326315789473682</v>
      </c>
      <c r="K23" s="151" t="s">
        <v>170</v>
      </c>
      <c r="L23" s="163">
        <f>P23*585</f>
        <v>60445.894736842107</v>
      </c>
      <c r="M23" s="162">
        <f>+VLOOKUP(C23,Lista!B:D,3,0)</f>
        <v>0</v>
      </c>
      <c r="N23" s="164">
        <f>+(SUMIFS(G:G,M:M,"MICRO",E:E,"&gt;0")*100)/COUNTIF($E$7:$E$27,"&gt;0")</f>
        <v>6995.2380952380954</v>
      </c>
      <c r="O23" s="50">
        <f t="shared" si="0"/>
        <v>8</v>
      </c>
      <c r="P23" s="47">
        <f t="shared" si="1"/>
        <v>103.32631578947368</v>
      </c>
      <c r="Q23" s="49">
        <f t="shared" si="2"/>
        <v>52</v>
      </c>
      <c r="R23" s="51">
        <f t="shared" si="3"/>
        <v>103.32631578947368</v>
      </c>
      <c r="S23" s="46">
        <f t="shared" si="4"/>
        <v>56829.473684210527</v>
      </c>
      <c r="T23" t="str">
        <f t="shared" si="5"/>
        <v xml:space="preserve">14 Descuentos (Incidente con Usuarios) </v>
      </c>
      <c r="U23">
        <f>+RANK(H23,$H$6:$H$1048576,1)</f>
        <v>1</v>
      </c>
      <c r="Y23" t="str">
        <f>TRIM(Tabla2[[#This Row],[CONDUCTOR]])</f>
        <v>TABORDA ROJAS DIEGO ALEJANDRO</v>
      </c>
    </row>
    <row r="24" spans="2:25" x14ac:dyDescent="0.2">
      <c r="B24" s="136" t="s">
        <v>165</v>
      </c>
      <c r="C24" s="166">
        <v>41</v>
      </c>
      <c r="D24" s="151" t="s">
        <v>150</v>
      </c>
      <c r="E24" s="150">
        <v>9</v>
      </c>
      <c r="F24" s="150">
        <v>0</v>
      </c>
      <c r="G24" s="146">
        <v>145</v>
      </c>
      <c r="H24" s="226">
        <f>+G24/E24</f>
        <v>16.111111111111111</v>
      </c>
      <c r="I24" s="227">
        <f>+(SUM($G$7:$G$1048576)/SUM($E$7:$E$1048576))*E24</f>
        <v>125.2421052631579</v>
      </c>
      <c r="J24" s="363">
        <f>+Tabla2[[#This Row],[PROM DE USUARIOS]]-Tabla2[[#This Row],[USUARIOS]]</f>
        <v>-19.757894736842104</v>
      </c>
      <c r="K24" s="151"/>
      <c r="L24" s="163">
        <f>P24*585</f>
        <v>68001.631578947374</v>
      </c>
      <c r="M24" s="162">
        <f>+VLOOKUP(C24,Lista!B:D,3,0)</f>
        <v>0</v>
      </c>
      <c r="N24" s="164">
        <f>+(SUMIFS(G:G,M:M,"MICRO",E:E,"&gt;0")*100)/COUNTIF($E$7:$E$27,"&gt;0")</f>
        <v>6995.2380952380954</v>
      </c>
      <c r="O24" s="50">
        <f t="shared" si="0"/>
        <v>9</v>
      </c>
      <c r="P24" s="47">
        <f t="shared" si="1"/>
        <v>116.2421052631579</v>
      </c>
      <c r="Q24" s="49">
        <f t="shared" si="2"/>
        <v>136</v>
      </c>
      <c r="R24" s="51">
        <f t="shared" si="3"/>
        <v>116.2421052631579</v>
      </c>
      <c r="S24" s="46">
        <f t="shared" si="4"/>
        <v>63933.15789473684</v>
      </c>
      <c r="T24" t="str">
        <f t="shared" si="5"/>
        <v/>
      </c>
      <c r="U24">
        <f>+RANK(H24,$H$6:$H$1048576,1)</f>
        <v>19</v>
      </c>
      <c r="Y24" t="str">
        <f>TRIM(Tabla2[[#This Row],[CONDUCTOR]])</f>
        <v>RUA CHAVARRIA YEFERSON ANDREY</v>
      </c>
    </row>
    <row r="25" spans="2:25" x14ac:dyDescent="0.2">
      <c r="B25" s="136" t="s">
        <v>165</v>
      </c>
      <c r="C25" s="166">
        <v>42</v>
      </c>
      <c r="D25" s="151" t="s">
        <v>162</v>
      </c>
      <c r="E25" s="150">
        <v>9</v>
      </c>
      <c r="F25" s="150">
        <v>0</v>
      </c>
      <c r="G25" s="165">
        <v>139</v>
      </c>
      <c r="H25" s="226">
        <f>+G25/E25</f>
        <v>15.444444444444445</v>
      </c>
      <c r="I25" s="227">
        <f>+(SUM($G$7:$G$1048576)/SUM($E$7:$E$1048576))*E25</f>
        <v>125.2421052631579</v>
      </c>
      <c r="J25" s="363">
        <f>+Tabla2[[#This Row],[PROM DE USUARIOS]]-Tabla2[[#This Row],[USUARIOS]]</f>
        <v>-13.757894736842104</v>
      </c>
      <c r="K25" s="151" t="s">
        <v>175</v>
      </c>
      <c r="L25" s="163">
        <f>P25*585</f>
        <v>68001.631578947374</v>
      </c>
      <c r="M25" s="162">
        <f>+VLOOKUP(C25,Lista!B:D,3,0)</f>
        <v>0</v>
      </c>
      <c r="N25" s="164">
        <f>+(SUMIFS(G:G,M:M,"MICRO",E:E,"&gt;0")*100)/COUNTIF($E$7:$E$27,"&gt;0")</f>
        <v>6995.2380952380954</v>
      </c>
      <c r="O25" s="50">
        <f t="shared" si="0"/>
        <v>9</v>
      </c>
      <c r="P25" s="47">
        <f t="shared" si="1"/>
        <v>116.2421052631579</v>
      </c>
      <c r="Q25" s="49">
        <f t="shared" si="2"/>
        <v>130</v>
      </c>
      <c r="R25" s="51">
        <f t="shared" si="3"/>
        <v>116.2421052631579</v>
      </c>
      <c r="S25" s="46">
        <f t="shared" si="4"/>
        <v>63933.15789473684</v>
      </c>
      <c r="T25" t="str">
        <f t="shared" si="5"/>
        <v xml:space="preserve">1 Descuento (Despachador) </v>
      </c>
      <c r="U25">
        <f>+RANK(H25,$H$6:$H$1048576,1)</f>
        <v>15</v>
      </c>
      <c r="Y25" t="str">
        <f>TRIM(Tabla2[[#This Row],[CONDUCTOR]])</f>
        <v>MONTOYA OSPINA GILBERTO ANTONIO</v>
      </c>
    </row>
    <row r="26" spans="2:25" x14ac:dyDescent="0.2">
      <c r="B26" s="136" t="s">
        <v>165</v>
      </c>
      <c r="C26" s="166">
        <v>43</v>
      </c>
      <c r="D26" s="151" t="s">
        <v>164</v>
      </c>
      <c r="E26" s="150">
        <v>8</v>
      </c>
      <c r="F26" s="150">
        <v>0</v>
      </c>
      <c r="G26" s="146">
        <v>106</v>
      </c>
      <c r="H26" s="226">
        <f>+G26/E26</f>
        <v>13.25</v>
      </c>
      <c r="I26" s="364">
        <f>+(SUM($G$7:$G$1048576)/SUM($E$7:$E$1048576))*E26</f>
        <v>111.32631578947368</v>
      </c>
      <c r="J26" s="363">
        <f>+Tabla2[[#This Row],[PROM DE USUARIOS]]-Tabla2[[#This Row],[USUARIOS]]</f>
        <v>5.3263157894736821</v>
      </c>
      <c r="K26" s="151"/>
      <c r="L26" s="163">
        <f>P26*585</f>
        <v>60445.894736842107</v>
      </c>
      <c r="M26" s="162">
        <f>+VLOOKUP(C26,Lista!B:D,3,0)</f>
        <v>0</v>
      </c>
      <c r="N26" s="164">
        <f>+(SUMIFS(G:G,M:M,"MICRO",E:E,"&gt;0")*100)/COUNTIF($E$7:$E$27,"&gt;0")</f>
        <v>6995.2380952380954</v>
      </c>
      <c r="O26" s="50">
        <f t="shared" si="0"/>
        <v>8</v>
      </c>
      <c r="P26" s="47">
        <f t="shared" si="1"/>
        <v>103.32631578947368</v>
      </c>
      <c r="Q26" s="49">
        <f t="shared" si="2"/>
        <v>98</v>
      </c>
      <c r="R26" s="51">
        <f t="shared" si="3"/>
        <v>103.32631578947368</v>
      </c>
      <c r="S26" s="46">
        <f t="shared" si="4"/>
        <v>56829.473684210527</v>
      </c>
      <c r="T26" t="str">
        <f t="shared" si="5"/>
        <v/>
      </c>
      <c r="U26">
        <f>+RANK(H26,$H$6:$H$1048576,1)</f>
        <v>8</v>
      </c>
      <c r="Y26" t="str">
        <f>TRIM(Tabla2[[#This Row],[CONDUCTOR]])</f>
        <v>ARAQUE ARROYAVE JOSE ALBEIRO</v>
      </c>
    </row>
    <row r="27" spans="2:25" x14ac:dyDescent="0.2">
      <c r="B27" s="136" t="s">
        <v>165</v>
      </c>
      <c r="C27" s="166">
        <v>44</v>
      </c>
      <c r="D27" s="151" t="s">
        <v>153</v>
      </c>
      <c r="E27" s="150">
        <v>10</v>
      </c>
      <c r="F27" s="150">
        <v>0</v>
      </c>
      <c r="G27" s="165">
        <v>111</v>
      </c>
      <c r="H27" s="226">
        <f>+G27/E27</f>
        <v>11.1</v>
      </c>
      <c r="I27" s="227">
        <f>+(SUM($G$7:$G$1048576)/SUM($E$7:$E$1048576))*E27</f>
        <v>139.15789473684211</v>
      </c>
      <c r="J27" s="363">
        <f>+Tabla2[[#This Row],[PROM DE USUARIOS]]-Tabla2[[#This Row],[USUARIOS]]</f>
        <v>28.15789473684211</v>
      </c>
      <c r="K27" s="151"/>
      <c r="L27" s="163">
        <f>P27*585</f>
        <v>75557.368421052641</v>
      </c>
      <c r="M27" s="162">
        <f>+VLOOKUP(C27,Lista!B:D,3,0)</f>
        <v>0</v>
      </c>
      <c r="N27" s="164">
        <f>+(SUMIFS(G:G,M:M,"MICRO",E:E,"&gt;0")*100)/COUNTIF($E$7:$E$27,"&gt;0")</f>
        <v>6995.2380952380954</v>
      </c>
      <c r="O27" s="50">
        <f t="shared" si="0"/>
        <v>10</v>
      </c>
      <c r="P27" s="47">
        <f t="shared" si="1"/>
        <v>129.15789473684211</v>
      </c>
      <c r="Q27" s="49">
        <f t="shared" si="2"/>
        <v>101</v>
      </c>
      <c r="R27" s="51">
        <f t="shared" si="3"/>
        <v>129.15789473684211</v>
      </c>
      <c r="S27" s="46">
        <f t="shared" si="4"/>
        <v>71036.84210526316</v>
      </c>
      <c r="T27" t="str">
        <f t="shared" si="5"/>
        <v/>
      </c>
      <c r="U27">
        <f>+RANK(H27,$H$6:$H$1048576,1)</f>
        <v>3</v>
      </c>
      <c r="Y27" t="str">
        <f>TRIM(Tabla2[[#This Row],[CONDUCTOR]])</f>
        <v>MARIN ALZATE KEVIN ANDRES</v>
      </c>
    </row>
    <row r="28" spans="2:25" x14ac:dyDescent="0.2">
      <c r="B28" s="232"/>
      <c r="C28" s="239">
        <f>SUBTOTAL(102,Tabla2[VEH])</f>
        <v>21</v>
      </c>
      <c r="D28" s="233" t="s">
        <v>127</v>
      </c>
      <c r="E28" s="234">
        <f>SUBTOTAL(109,Tabla2[VIAJES])</f>
        <v>190</v>
      </c>
      <c r="F28" s="234">
        <f>SUBTOTAL(109,Tabla2[VIAJES PERD.])</f>
        <v>0</v>
      </c>
      <c r="G28" s="240">
        <f>SUBTOTAL(109,Tabla2[USUARIOS])</f>
        <v>2644</v>
      </c>
      <c r="H28" s="373">
        <f>+Tabla2[[#Totals],[USUARIOS]]/Tabla2[[#Totals],[VIAJES]]</f>
        <v>13.91578947368421</v>
      </c>
      <c r="I28" s="240">
        <f>SUBTOTAL(109,Tabla2[PROM DE USUARIOS])</f>
        <v>2644</v>
      </c>
      <c r="J28" s="372">
        <f>SUBTOTAL(109,Tabla2[RECIBE / ENTREGA])</f>
        <v>2.8421709430404007E-14</v>
      </c>
      <c r="K28" s="235" t="s">
        <v>176</v>
      </c>
      <c r="L28" s="236"/>
      <c r="M28" s="237"/>
      <c r="N28" s="238">
        <f>SUBTOTAL(109,Tabla2[DIFER. MICRO - BUS ])</f>
        <v>146899.99999999997</v>
      </c>
      <c r="O28" s="50" t="e">
        <f>+(#REF!*1)-V28</f>
        <v>#REF!</v>
      </c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ref="S28:S41" si="6">+R28*550</f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5" x14ac:dyDescent="0.2">
      <c r="B29" s="245"/>
      <c r="C29" s="246"/>
      <c r="D29" s="247"/>
      <c r="E29" s="248"/>
      <c r="F29" s="248"/>
      <c r="G29" s="249"/>
      <c r="H29" s="250"/>
      <c r="I29" s="251"/>
      <c r="J29" s="341"/>
      <c r="K29" s="247"/>
      <c r="L29" s="252"/>
      <c r="M29" s="253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6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2">
      <c r="B30" s="245"/>
      <c r="C30" s="246"/>
      <c r="D30" s="247"/>
      <c r="E30" s="248"/>
      <c r="F30" s="248"/>
      <c r="G30" s="249"/>
      <c r="H30" s="250"/>
      <c r="I30" s="251"/>
      <c r="J30" s="341"/>
      <c r="K30" s="247"/>
      <c r="L30" s="252"/>
      <c r="M30" s="253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6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5"/>
      <c r="C31" s="246"/>
      <c r="D31" s="247"/>
      <c r="E31" s="248"/>
      <c r="F31" s="248"/>
      <c r="G31" s="249"/>
      <c r="H31" s="250"/>
      <c r="I31" s="251"/>
      <c r="J31" s="341"/>
      <c r="K31" s="247"/>
      <c r="L31" s="252"/>
      <c r="M31" s="253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6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5"/>
      <c r="C32" s="246"/>
      <c r="D32" s="247"/>
      <c r="E32" s="248"/>
      <c r="F32" s="248"/>
      <c r="G32" s="254"/>
      <c r="H32" s="250"/>
      <c r="I32" s="251"/>
      <c r="J32" s="341"/>
      <c r="K32" s="247"/>
      <c r="L32" s="252"/>
      <c r="M32" s="253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6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5"/>
      <c r="C33" s="246"/>
      <c r="D33" s="247"/>
      <c r="E33" s="248"/>
      <c r="F33" s="248"/>
      <c r="G33" s="254"/>
      <c r="H33" s="250"/>
      <c r="I33" s="251"/>
      <c r="J33" s="341"/>
      <c r="K33" s="247"/>
      <c r="L33" s="252"/>
      <c r="M33" s="253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6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5"/>
      <c r="C34" s="255"/>
      <c r="D34" s="247"/>
      <c r="E34" s="248"/>
      <c r="F34" s="248"/>
      <c r="G34" s="199"/>
      <c r="H34" s="250"/>
      <c r="I34" s="251"/>
      <c r="J34" s="341"/>
      <c r="K34" s="247"/>
      <c r="L34" s="252"/>
      <c r="M34" s="253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6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5"/>
      <c r="C35" s="255"/>
      <c r="D35" s="247"/>
      <c r="E35" s="248"/>
      <c r="F35" s="248"/>
      <c r="G35" s="199"/>
      <c r="H35" s="250"/>
      <c r="I35" s="251"/>
      <c r="J35" s="341"/>
      <c r="K35" s="247"/>
      <c r="L35" s="252"/>
      <c r="M35" s="253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6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5"/>
      <c r="C36" s="246"/>
      <c r="D36" s="247"/>
      <c r="E36" s="248"/>
      <c r="F36" s="248"/>
      <c r="G36" s="254"/>
      <c r="H36" s="250"/>
      <c r="I36" s="251"/>
      <c r="J36" s="341"/>
      <c r="K36" s="247"/>
      <c r="L36" s="252"/>
      <c r="M36" s="253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6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5"/>
      <c r="C37" s="255"/>
      <c r="D37" s="247"/>
      <c r="E37" s="248"/>
      <c r="F37" s="248"/>
      <c r="G37" s="199"/>
      <c r="H37" s="250"/>
      <c r="I37" s="251"/>
      <c r="J37" s="341"/>
      <c r="K37" s="247"/>
      <c r="L37" s="252"/>
      <c r="M37" s="253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6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5"/>
      <c r="C38" s="246"/>
      <c r="D38" s="247"/>
      <c r="E38" s="248"/>
      <c r="F38" s="248"/>
      <c r="G38" s="254"/>
      <c r="H38" s="250"/>
      <c r="I38" s="251"/>
      <c r="J38" s="341"/>
      <c r="K38" s="247"/>
      <c r="L38" s="252"/>
      <c r="M38" s="253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6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5"/>
      <c r="C39" s="246"/>
      <c r="D39" s="247"/>
      <c r="E39" s="248"/>
      <c r="F39" s="248"/>
      <c r="G39" s="254"/>
      <c r="H39" s="250"/>
      <c r="I39" s="251"/>
      <c r="J39" s="341"/>
      <c r="K39" s="247"/>
      <c r="L39" s="252"/>
      <c r="M39" s="253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6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5"/>
      <c r="C40" s="246"/>
      <c r="D40" s="247"/>
      <c r="E40" s="248"/>
      <c r="F40" s="248"/>
      <c r="G40" s="254"/>
      <c r="H40" s="250"/>
      <c r="I40" s="251"/>
      <c r="J40" s="341"/>
      <c r="K40" s="247"/>
      <c r="L40" s="252"/>
      <c r="M40" s="253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6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5"/>
      <c r="C41" s="246"/>
      <c r="D41" s="247"/>
      <c r="E41" s="248"/>
      <c r="F41" s="248"/>
      <c r="G41" s="254"/>
      <c r="H41" s="250"/>
      <c r="I41" s="251"/>
      <c r="J41" s="341"/>
      <c r="K41" s="247"/>
      <c r="L41" s="252"/>
      <c r="M41" s="253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6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5"/>
      <c r="C42" s="246"/>
      <c r="D42" s="247"/>
      <c r="E42" s="248"/>
      <c r="F42" s="248"/>
      <c r="G42" s="254"/>
      <c r="H42" s="250"/>
      <c r="I42" s="251"/>
      <c r="J42" s="341"/>
      <c r="K42" s="247"/>
      <c r="L42" s="252"/>
      <c r="M42" s="253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ref="S42:S43" si="7">+R42*550</f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5"/>
      <c r="C43" s="246"/>
      <c r="D43" s="247"/>
      <c r="E43" s="248"/>
      <c r="F43" s="248"/>
      <c r="G43" s="254"/>
      <c r="H43" s="250"/>
      <c r="I43" s="251"/>
      <c r="J43" s="341"/>
      <c r="K43" s="247"/>
      <c r="L43" s="252"/>
      <c r="M43" s="253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7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5"/>
      <c r="C44" s="246"/>
      <c r="D44" s="247"/>
      <c r="E44" s="248"/>
      <c r="F44" s="248"/>
      <c r="G44" s="254"/>
      <c r="H44" s="250"/>
      <c r="I44" s="251"/>
      <c r="J44" s="341"/>
      <c r="K44" s="247"/>
      <c r="L44" s="252"/>
      <c r="M44" s="253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ref="S44" si="8">+R44*550</f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5"/>
      <c r="C45" s="246"/>
      <c r="D45" s="247"/>
      <c r="E45" s="248"/>
      <c r="F45" s="248"/>
      <c r="G45" s="254"/>
      <c r="H45" s="250"/>
      <c r="I45" s="251"/>
      <c r="J45" s="341"/>
      <c r="K45" s="247"/>
      <c r="L45" s="252"/>
      <c r="M45" s="253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ref="S45" si="9">+R45*550</f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5"/>
      <c r="C46" s="246"/>
      <c r="D46" s="247"/>
      <c r="E46" s="248"/>
      <c r="F46" s="248"/>
      <c r="G46" s="254"/>
      <c r="H46" s="250"/>
      <c r="I46" s="251"/>
      <c r="J46" s="341"/>
      <c r="K46" s="247"/>
      <c r="L46" s="252"/>
      <c r="M46" s="253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" si="10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54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1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54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2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3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+(E91*1)-V50</f>
        <v>0</v>
      </c>
      <c r="P50" s="134">
        <f>+I91-O50-W50</f>
        <v>0</v>
      </c>
      <c r="Q50" s="11">
        <f>+G91-O50</f>
        <v>0</v>
      </c>
      <c r="R50">
        <f>+E91*$T$3</f>
        <v>0</v>
      </c>
      <c r="S50">
        <f t="shared" ref="S50:S55" si="14">+R50*550</f>
        <v>0</v>
      </c>
      <c r="T50" t="str">
        <f>+IF(K91&lt;&gt;"",K91,"")</f>
        <v/>
      </c>
      <c r="U50" t="e">
        <f>+RANK(H91,$H$6:$H$1048576,1)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+(E92*1)-V51</f>
        <v>0</v>
      </c>
      <c r="P51" s="134">
        <f>+I92-O51-W51</f>
        <v>0</v>
      </c>
      <c r="Q51" s="11">
        <f>+G92-O51</f>
        <v>0</v>
      </c>
      <c r="R51">
        <f>+E92*$T$3</f>
        <v>0</v>
      </c>
      <c r="S51">
        <f t="shared" si="14"/>
        <v>0</v>
      </c>
      <c r="T51" t="str">
        <f>+IF(K92&lt;&gt;"",K92,"")</f>
        <v/>
      </c>
      <c r="U51" t="e">
        <f>+RANK(H92,$H$6:$H$1048576,1)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+(E93*1)-V52</f>
        <v>0</v>
      </c>
      <c r="P52" s="134">
        <f>+I93-O52-W52</f>
        <v>0</v>
      </c>
      <c r="Q52" s="11">
        <f>+G93-O52</f>
        <v>0</v>
      </c>
      <c r="R52">
        <f>+E93*$T$3</f>
        <v>0</v>
      </c>
      <c r="S52">
        <f t="shared" si="14"/>
        <v>0</v>
      </c>
      <c r="T52" t="str">
        <f>+IF(K93&lt;&gt;"",K93,"")</f>
        <v/>
      </c>
      <c r="U52" t="e">
        <f>+RANK(H93,$H$6:$H$1048576,1)</f>
        <v>#N/A</v>
      </c>
    </row>
    <row r="53" spans="2:21" x14ac:dyDescent="0.2">
      <c r="B53" s="245"/>
      <c r="C53" s="255"/>
      <c r="D53" s="247"/>
      <c r="E53" s="248"/>
      <c r="F53" s="248"/>
      <c r="G53" s="256"/>
      <c r="H53" s="250"/>
      <c r="I53" s="221"/>
      <c r="J53" s="342"/>
      <c r="K53" s="247"/>
      <c r="L53" s="252"/>
      <c r="M53" s="253"/>
      <c r="N53" s="203"/>
      <c r="O53">
        <f>+(E94*1)-V53</f>
        <v>0</v>
      </c>
      <c r="P53" s="134">
        <f>+I94-O53-W53</f>
        <v>0</v>
      </c>
      <c r="Q53" s="11">
        <f>+G94-O53</f>
        <v>0</v>
      </c>
      <c r="R53">
        <f>+E94*$T$3</f>
        <v>0</v>
      </c>
      <c r="S53">
        <f t="shared" si="14"/>
        <v>0</v>
      </c>
      <c r="T53" t="str">
        <f>+IF(K94&lt;&gt;"",K94,"")</f>
        <v/>
      </c>
      <c r="U53" t="e">
        <f>+RANK(H94,$H$6:$H$1048576,1)</f>
        <v>#N/A</v>
      </c>
    </row>
    <row r="54" spans="2:21" x14ac:dyDescent="0.2">
      <c r="B54" s="245"/>
      <c r="C54" s="246"/>
      <c r="D54" s="247"/>
      <c r="E54" s="248"/>
      <c r="F54" s="248"/>
      <c r="G54" s="256"/>
      <c r="H54" s="250"/>
      <c r="I54" s="221"/>
      <c r="J54" s="342"/>
      <c r="K54" s="247"/>
      <c r="L54" s="252"/>
      <c r="M54" s="253"/>
      <c r="N54" s="203"/>
      <c r="O54">
        <f>+(E95*1)-V54</f>
        <v>0</v>
      </c>
      <c r="P54" s="134">
        <f>+I95-O54-W54</f>
        <v>0</v>
      </c>
      <c r="Q54" s="11">
        <f>+G95-O54</f>
        <v>0</v>
      </c>
      <c r="R54">
        <f>+E95*$T$3</f>
        <v>0</v>
      </c>
      <c r="S54">
        <f t="shared" si="14"/>
        <v>0</v>
      </c>
      <c r="T54" t="str">
        <f>+IF(K95&lt;&gt;"",K95,"")</f>
        <v/>
      </c>
      <c r="U54" t="e">
        <f>+RANK(H95,$H$6:$H$1048576,1)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21"/>
      <c r="J55" s="342"/>
      <c r="K55" s="247"/>
      <c r="L55" s="252"/>
      <c r="M55" s="253"/>
      <c r="N55" s="203"/>
      <c r="O55">
        <f>+(E96*1)-V55</f>
        <v>0</v>
      </c>
      <c r="P55" s="134">
        <f>+I96-O55-W55</f>
        <v>0</v>
      </c>
      <c r="Q55" s="11">
        <f>+G96-O55</f>
        <v>0</v>
      </c>
      <c r="R55">
        <f>+E96*$T$3</f>
        <v>0</v>
      </c>
      <c r="S55">
        <f t="shared" si="14"/>
        <v>0</v>
      </c>
      <c r="T55" t="str">
        <f>+IF(K96&lt;&gt;"",K96,"")</f>
        <v/>
      </c>
      <c r="U55" t="e">
        <f>+RANK(H96,$H$6:$H$1048576,1)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21"/>
      <c r="J56" s="342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21"/>
      <c r="J57" s="342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7"/>
      <c r="I58" s="222"/>
      <c r="J58" s="343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21"/>
      <c r="J59" s="342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55"/>
      <c r="D60" s="247"/>
      <c r="E60" s="248"/>
      <c r="F60" s="248"/>
      <c r="G60" s="199"/>
      <c r="H60" s="257"/>
      <c r="I60" s="222"/>
      <c r="J60" s="343"/>
      <c r="K60" s="247"/>
      <c r="L60" s="252"/>
      <c r="M60" s="253"/>
      <c r="N60" s="258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55"/>
      <c r="D61" s="247"/>
      <c r="E61" s="248"/>
      <c r="F61" s="248"/>
      <c r="G61" s="254"/>
      <c r="H61" s="257"/>
      <c r="I61" s="222"/>
      <c r="J61" s="343"/>
      <c r="K61" s="247"/>
      <c r="L61" s="252"/>
      <c r="M61" s="253"/>
      <c r="N61" s="258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5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21"/>
      <c r="J62" s="342"/>
      <c r="K62" s="247"/>
      <c r="L62" s="252"/>
      <c r="M62" s="253"/>
      <c r="N62" s="258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5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21"/>
      <c r="J63" s="342"/>
      <c r="K63" s="247"/>
      <c r="L63" s="252"/>
      <c r="M63" s="253"/>
      <c r="N63" s="258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5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21"/>
      <c r="J64" s="342"/>
      <c r="K64" s="247"/>
      <c r="L64" s="252"/>
      <c r="M64" s="253"/>
      <c r="N64" s="258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5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55"/>
      <c r="D65" s="247"/>
      <c r="E65" s="248"/>
      <c r="F65" s="248"/>
      <c r="G65" s="199"/>
      <c r="H65" s="257"/>
      <c r="I65" s="222"/>
      <c r="J65" s="343"/>
      <c r="K65" s="247"/>
      <c r="L65" s="203"/>
      <c r="M65" s="253"/>
      <c r="N65" s="258"/>
      <c r="O65">
        <f>+(E60*1)-V65</f>
        <v>0</v>
      </c>
      <c r="P65" s="134">
        <f>+I60-O65-W65</f>
        <v>0</v>
      </c>
      <c r="Q65" s="11">
        <f>+G60-O65</f>
        <v>0</v>
      </c>
      <c r="R65">
        <f>+E60*$T$3</f>
        <v>0</v>
      </c>
      <c r="S65">
        <f t="shared" si="15"/>
        <v>0</v>
      </c>
      <c r="T65" t="str">
        <f>+IF(K60&lt;&gt;"",K60,"")</f>
        <v/>
      </c>
      <c r="U65" t="e">
        <f>+RANK(H60,$H$6:$H$1048576,1)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21"/>
      <c r="J66" s="342"/>
      <c r="K66" s="247"/>
      <c r="L66" s="252"/>
      <c r="M66" s="253"/>
      <c r="N66" s="258"/>
      <c r="O66">
        <f>+(E61*1)-V66</f>
        <v>0</v>
      </c>
      <c r="P66" s="134">
        <f>+I61-O66-W66</f>
        <v>0</v>
      </c>
      <c r="Q66" s="11">
        <f>+G61-O66</f>
        <v>0</v>
      </c>
      <c r="R66">
        <f>+E61*$T$3</f>
        <v>0</v>
      </c>
      <c r="S66">
        <f t="shared" si="15"/>
        <v>0</v>
      </c>
      <c r="T66" t="str">
        <f>+IF(K61&lt;&gt;"",K61,"")</f>
        <v/>
      </c>
      <c r="U66" t="e">
        <f>+RANK(H61,$H$6:$H$1048576,1)</f>
        <v>#N/A</v>
      </c>
    </row>
    <row r="67" spans="2:21" x14ac:dyDescent="0.2">
      <c r="B67" s="245"/>
      <c r="C67" s="246"/>
      <c r="D67" s="247"/>
      <c r="E67" s="248"/>
      <c r="F67" s="248"/>
      <c r="G67" s="256"/>
      <c r="H67" s="250"/>
      <c r="I67" s="221"/>
      <c r="J67" s="342"/>
      <c r="K67" s="247"/>
      <c r="L67" s="252"/>
      <c r="M67" s="253"/>
      <c r="N67" s="258"/>
      <c r="O67">
        <f>+(E62*1)-V67</f>
        <v>0</v>
      </c>
      <c r="P67" s="134">
        <f>+I62-O67-W67</f>
        <v>0</v>
      </c>
      <c r="Q67" s="11">
        <f>+G62-O67</f>
        <v>0</v>
      </c>
      <c r="R67">
        <f>+E62*$T$3</f>
        <v>0</v>
      </c>
      <c r="S67">
        <f t="shared" si="15"/>
        <v>0</v>
      </c>
      <c r="T67" t="str">
        <f>+IF(K62&lt;&gt;"",K62,"")</f>
        <v/>
      </c>
      <c r="U67" t="e">
        <f>+RANK(H62,$H$6:$H$1048576,1)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21"/>
      <c r="J68" s="342"/>
      <c r="K68" s="247"/>
      <c r="L68" s="252"/>
      <c r="M68" s="253"/>
      <c r="N68" s="258"/>
      <c r="O68">
        <f>+(E63*1)-V68</f>
        <v>0</v>
      </c>
      <c r="P68" s="134">
        <f>+I63-O68-W68</f>
        <v>0</v>
      </c>
      <c r="Q68" s="11">
        <f>+G63-O68</f>
        <v>0</v>
      </c>
      <c r="R68">
        <f>+E63*$T$3</f>
        <v>0</v>
      </c>
      <c r="S68">
        <f t="shared" si="15"/>
        <v>0</v>
      </c>
      <c r="T68" t="str">
        <f>+IF(K63&lt;&gt;"",K63,"")</f>
        <v/>
      </c>
      <c r="U68" t="e">
        <f>+RANK(H63,$H$6:$H$1048576,1)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21"/>
      <c r="J69" s="342"/>
      <c r="K69" s="247"/>
      <c r="L69" s="252"/>
      <c r="M69" s="253"/>
      <c r="N69" s="258"/>
      <c r="O69">
        <f>+(E64*1)-V69</f>
        <v>0</v>
      </c>
      <c r="P69" s="134">
        <f>+I64-O69-W69</f>
        <v>0</v>
      </c>
      <c r="Q69" s="11">
        <f>+G64-O69</f>
        <v>0</v>
      </c>
      <c r="R69">
        <f>+E64*$T$3</f>
        <v>0</v>
      </c>
      <c r="S69">
        <f t="shared" si="15"/>
        <v>0</v>
      </c>
      <c r="T69" t="str">
        <f>+IF(K64&lt;&gt;"",K64,"")</f>
        <v/>
      </c>
      <c r="U69" t="e">
        <f>+RANK(H64,$H$6:$H$1048576,1)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21"/>
      <c r="J70" s="342"/>
      <c r="K70" s="247"/>
      <c r="L70" s="252"/>
      <c r="M70" s="253"/>
      <c r="N70" s="258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58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58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03"/>
      <c r="M73" s="253"/>
      <c r="N73" s="258"/>
    </row>
    <row r="74" spans="2:21" x14ac:dyDescent="0.2">
      <c r="B74" s="245"/>
      <c r="C74" s="255"/>
      <c r="D74" s="247"/>
      <c r="E74" s="248"/>
      <c r="F74" s="248"/>
      <c r="G74" s="199"/>
      <c r="H74" s="257"/>
      <c r="I74" s="222"/>
      <c r="J74" s="343"/>
      <c r="K74" s="247"/>
      <c r="L74" s="203"/>
      <c r="M74" s="253"/>
      <c r="N74" s="258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58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58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03"/>
      <c r="M77" s="253"/>
      <c r="N77" s="258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03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9"/>
      <c r="I79" s="260"/>
      <c r="J79" s="344"/>
      <c r="K79" s="247"/>
      <c r="L79" s="203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03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6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6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55"/>
      <c r="D98" s="247"/>
      <c r="E98" s="248"/>
      <c r="F98" s="248"/>
      <c r="G98" s="199"/>
      <c r="H98" s="257"/>
      <c r="I98" s="222"/>
      <c r="J98" s="343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03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03"/>
    </row>
    <row r="104" spans="2:14" x14ac:dyDescent="0.2">
      <c r="B104" s="245"/>
      <c r="C104" s="246"/>
      <c r="D104" s="245"/>
      <c r="E104" s="248"/>
      <c r="F104" s="248"/>
      <c r="G104" s="261"/>
      <c r="H104" s="250"/>
      <c r="I104" s="221"/>
      <c r="J104" s="342"/>
      <c r="K104" s="247"/>
      <c r="L104" s="252"/>
      <c r="M104" s="253"/>
      <c r="N104" s="203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03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03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03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03"/>
    </row>
    <row r="109" spans="2:14" x14ac:dyDescent="0.2">
      <c r="B109" s="245"/>
      <c r="C109" s="255"/>
      <c r="D109" s="247"/>
      <c r="E109" s="248"/>
      <c r="F109" s="248"/>
      <c r="G109" s="199"/>
      <c r="H109" s="257"/>
      <c r="I109" s="222"/>
      <c r="J109" s="343"/>
      <c r="K109" s="262"/>
      <c r="L109" s="252"/>
      <c r="M109" s="253"/>
      <c r="N109" s="203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03"/>
    </row>
    <row r="111" spans="2:14" x14ac:dyDescent="0.2">
      <c r="B111" s="245"/>
      <c r="C111" s="255"/>
      <c r="D111" s="247"/>
      <c r="E111" s="248"/>
      <c r="F111" s="248"/>
      <c r="G111" s="199"/>
      <c r="H111" s="250"/>
      <c r="I111" s="221"/>
      <c r="J111" s="342"/>
      <c r="K111" s="247"/>
      <c r="L111" s="252"/>
      <c r="M111" s="253"/>
      <c r="N111" s="203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03"/>
    </row>
    <row r="113" spans="2:14" x14ac:dyDescent="0.2">
      <c r="B113" s="245"/>
      <c r="C113" s="246"/>
      <c r="D113" s="247"/>
      <c r="E113" s="248"/>
      <c r="F113" s="248"/>
      <c r="G113" s="254"/>
      <c r="H113" s="200"/>
      <c r="I113" s="221"/>
      <c r="J113" s="342"/>
      <c r="K113" s="247"/>
      <c r="L113" s="252"/>
      <c r="M113" s="253"/>
      <c r="N113" s="203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03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03"/>
    </row>
    <row r="116" spans="2:14" x14ac:dyDescent="0.2">
      <c r="B116" s="245"/>
      <c r="C116" s="246"/>
      <c r="D116" s="247"/>
      <c r="E116" s="248"/>
      <c r="F116" s="248"/>
      <c r="G116" s="254"/>
      <c r="H116" s="200"/>
      <c r="I116" s="221"/>
      <c r="J116" s="342"/>
      <c r="K116" s="247"/>
      <c r="L116" s="252"/>
      <c r="M116" s="253"/>
      <c r="N116" s="203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03"/>
    </row>
    <row r="118" spans="2:14" x14ac:dyDescent="0.2">
      <c r="B118" s="245"/>
      <c r="C118" s="255"/>
      <c r="D118" s="247"/>
      <c r="E118" s="248"/>
      <c r="F118" s="248"/>
      <c r="G118" s="199"/>
      <c r="H118" s="20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0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55"/>
      <c r="D120" s="247"/>
      <c r="E120" s="248"/>
      <c r="F120" s="248"/>
      <c r="G120" s="199"/>
      <c r="H120" s="20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0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55"/>
      <c r="D122" s="247"/>
      <c r="E122" s="248"/>
      <c r="F122" s="248"/>
      <c r="G122" s="199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55"/>
      <c r="D123" s="247"/>
      <c r="E123" s="248"/>
      <c r="F123" s="248"/>
      <c r="G123" s="199"/>
      <c r="H123" s="20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55"/>
      <c r="D124" s="245"/>
      <c r="E124" s="248"/>
      <c r="F124" s="248"/>
      <c r="G124" s="201"/>
      <c r="H124" s="20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0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55"/>
      <c r="D134" s="247"/>
      <c r="E134" s="248"/>
      <c r="F134" s="248"/>
      <c r="G134" s="199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50"/>
      <c r="I138" s="251"/>
      <c r="J138" s="341"/>
      <c r="K138" s="247"/>
      <c r="L138" s="252"/>
      <c r="M138" s="253"/>
      <c r="N138" s="203"/>
    </row>
    <row r="139" spans="2:14" x14ac:dyDescent="0.2">
      <c r="B139" s="245"/>
      <c r="C139" s="246"/>
      <c r="D139" s="247"/>
      <c r="E139" s="248"/>
      <c r="F139" s="248"/>
      <c r="G139" s="254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46"/>
      <c r="D141" s="247"/>
      <c r="E141" s="248"/>
      <c r="F141" s="248"/>
      <c r="G141" s="254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7"/>
      <c r="E144" s="248"/>
      <c r="F144" s="248"/>
      <c r="G144" s="199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58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0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0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0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0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03"/>
      <c r="M175" s="253"/>
      <c r="N175" s="258"/>
    </row>
    <row r="176" spans="2:14" x14ac:dyDescent="0.2">
      <c r="B176" s="245"/>
      <c r="C176" s="246"/>
      <c r="D176" s="247"/>
      <c r="E176" s="248"/>
      <c r="F176" s="248"/>
      <c r="G176" s="254"/>
      <c r="H176" s="250"/>
      <c r="I176" s="221"/>
      <c r="J176" s="342"/>
      <c r="K176" s="247"/>
      <c r="L176" s="252"/>
      <c r="M176" s="253"/>
      <c r="N176" s="258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44"/>
      <c r="I178" s="222"/>
      <c r="J178" s="343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44"/>
      <c r="I180" s="222"/>
      <c r="J180" s="343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44"/>
      <c r="I182" s="222"/>
      <c r="J182" s="343"/>
      <c r="K182" s="247"/>
      <c r="L182" s="203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03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44"/>
      <c r="I184" s="222"/>
      <c r="J184" s="343"/>
      <c r="K184" s="247"/>
      <c r="L184" s="203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03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55"/>
      <c r="D187" s="247"/>
      <c r="E187" s="248"/>
      <c r="F187" s="248"/>
      <c r="G187" s="199"/>
      <c r="H187" s="244"/>
      <c r="I187" s="222"/>
      <c r="J187" s="343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03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03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44"/>
      <c r="I193" s="222"/>
      <c r="J193" s="343"/>
      <c r="K193" s="247"/>
      <c r="L193" s="203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03"/>
      <c r="M199" s="253"/>
      <c r="N199" s="203"/>
    </row>
    <row r="200" spans="2:14" x14ac:dyDescent="0.2">
      <c r="B200" s="245"/>
      <c r="C200" s="246"/>
      <c r="D200" s="245"/>
      <c r="E200" s="248"/>
      <c r="F200" s="248"/>
      <c r="G200" s="261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46"/>
      <c r="D204" s="245"/>
      <c r="E204" s="248"/>
      <c r="F204" s="248"/>
      <c r="G204" s="261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46"/>
      <c r="D206" s="245"/>
      <c r="E206" s="248"/>
      <c r="F206" s="248"/>
      <c r="G206" s="261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55"/>
      <c r="D209" s="247"/>
      <c r="E209" s="248"/>
      <c r="F209" s="248"/>
      <c r="G209" s="261"/>
      <c r="H209" s="263"/>
      <c r="I209" s="260"/>
      <c r="J209" s="344"/>
      <c r="K209" s="247"/>
      <c r="L209" s="252"/>
      <c r="M209" s="253"/>
      <c r="N209" s="203"/>
    </row>
    <row r="210" spans="2:14" x14ac:dyDescent="0.2">
      <c r="B210" s="245"/>
      <c r="C210" s="246"/>
      <c r="D210" s="245"/>
      <c r="E210" s="248"/>
      <c r="F210" s="248"/>
      <c r="G210" s="261"/>
      <c r="H210" s="200"/>
      <c r="I210" s="221"/>
      <c r="J210" s="342"/>
      <c r="K210" s="245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2">
      <c r="B220" s="245"/>
      <c r="C220" s="255"/>
      <c r="D220" s="247"/>
      <c r="E220" s="248"/>
      <c r="F220" s="248"/>
      <c r="G220" s="199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55"/>
      <c r="D243" s="247"/>
      <c r="E243" s="248"/>
      <c r="F243" s="248"/>
      <c r="G243" s="261"/>
      <c r="H243" s="200"/>
      <c r="I243" s="221"/>
      <c r="J243" s="342"/>
      <c r="K243" s="245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62"/>
      <c r="L244" s="252"/>
      <c r="M244" s="253"/>
      <c r="N244" s="203"/>
    </row>
    <row r="245" spans="2:14" x14ac:dyDescent="0.2">
      <c r="B245" s="245"/>
      <c r="C245" s="255"/>
      <c r="D245" s="245"/>
      <c r="E245" s="248"/>
      <c r="F245" s="248"/>
      <c r="G245" s="201"/>
      <c r="H245" s="200"/>
      <c r="I245" s="221"/>
      <c r="J245" s="342"/>
      <c r="K245" s="262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5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5"/>
      <c r="E249" s="248"/>
      <c r="F249" s="248"/>
      <c r="G249" s="261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55"/>
      <c r="D250" s="247"/>
      <c r="E250" s="248"/>
      <c r="F250" s="248"/>
      <c r="G250" s="199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55"/>
      <c r="D255" s="245"/>
      <c r="E255" s="248"/>
      <c r="F255" s="248"/>
      <c r="G255" s="201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55"/>
      <c r="D256" s="245"/>
      <c r="E256" s="248"/>
      <c r="F256" s="248"/>
      <c r="G256" s="261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199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5"/>
      <c r="E261" s="248"/>
      <c r="F261" s="248"/>
      <c r="G261" s="261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55"/>
      <c r="D264" s="247"/>
      <c r="E264" s="248"/>
      <c r="F264" s="248"/>
      <c r="G264" s="199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2"/>
      <c r="I269" s="223"/>
      <c r="J269" s="345"/>
      <c r="K269" s="264"/>
      <c r="L269" s="252"/>
      <c r="M269" s="253"/>
      <c r="N269" s="265"/>
    </row>
    <row r="270" spans="2:14" x14ac:dyDescent="0.2">
      <c r="B270" s="245"/>
      <c r="C270" s="246"/>
      <c r="D270" s="247"/>
      <c r="E270" s="248"/>
      <c r="F270" s="248"/>
      <c r="G270" s="254"/>
      <c r="H270" s="202"/>
      <c r="I270" s="223"/>
      <c r="J270" s="345"/>
      <c r="K270" s="264"/>
      <c r="L270" s="252"/>
      <c r="M270" s="253"/>
      <c r="N270" s="265"/>
    </row>
    <row r="271" spans="2:14" x14ac:dyDescent="0.2">
      <c r="B271" s="245"/>
      <c r="C271" s="246"/>
      <c r="D271" s="247"/>
      <c r="E271" s="248"/>
      <c r="F271" s="248"/>
      <c r="G271" s="254"/>
      <c r="H271" s="202"/>
      <c r="I271" s="223"/>
      <c r="J271" s="345"/>
      <c r="K271" s="264"/>
      <c r="L271" s="252"/>
      <c r="M271" s="253"/>
      <c r="N271" s="265"/>
    </row>
    <row r="272" spans="2:14" x14ac:dyDescent="0.2">
      <c r="B272" s="245"/>
      <c r="C272" s="246"/>
      <c r="D272" s="247"/>
      <c r="E272" s="248"/>
      <c r="F272" s="248"/>
      <c r="G272" s="254"/>
      <c r="H272" s="202"/>
      <c r="I272" s="223"/>
      <c r="J272" s="345"/>
      <c r="K272" s="266"/>
      <c r="L272" s="252"/>
      <c r="M272" s="253"/>
      <c r="N272" s="265"/>
    </row>
    <row r="273" spans="2:14" x14ac:dyDescent="0.2">
      <c r="B273" s="245"/>
      <c r="C273" s="246"/>
      <c r="D273" s="247"/>
      <c r="E273" s="248"/>
      <c r="F273" s="248"/>
      <c r="G273" s="254"/>
      <c r="H273" s="202"/>
      <c r="I273" s="223"/>
      <c r="J273" s="345"/>
      <c r="K273" s="266"/>
      <c r="L273" s="252"/>
      <c r="M273" s="253"/>
      <c r="N273" s="265"/>
    </row>
    <row r="274" spans="2:14" x14ac:dyDescent="0.2">
      <c r="B274" s="245"/>
      <c r="C274" s="246"/>
      <c r="D274" s="247"/>
      <c r="E274" s="248"/>
      <c r="F274" s="248"/>
      <c r="G274" s="254"/>
      <c r="H274" s="202"/>
      <c r="I274" s="223"/>
      <c r="J274" s="345"/>
      <c r="K274" s="266"/>
      <c r="L274" s="252"/>
      <c r="M274" s="253"/>
      <c r="N274" s="265"/>
    </row>
    <row r="275" spans="2:14" x14ac:dyDescent="0.2">
      <c r="B275" s="245"/>
      <c r="C275" s="246"/>
      <c r="D275" s="247"/>
      <c r="E275" s="248"/>
      <c r="F275" s="248"/>
      <c r="G275" s="254"/>
      <c r="H275" s="202"/>
      <c r="I275" s="223"/>
      <c r="J275" s="345"/>
      <c r="K275" s="266"/>
      <c r="L275" s="252"/>
      <c r="M275" s="253"/>
      <c r="N275" s="265"/>
    </row>
    <row r="276" spans="2:14" x14ac:dyDescent="0.2">
      <c r="B276" s="245"/>
      <c r="C276" s="246"/>
      <c r="D276" s="247"/>
      <c r="E276" s="248"/>
      <c r="F276" s="248"/>
      <c r="G276" s="254"/>
      <c r="H276" s="202"/>
      <c r="I276" s="223"/>
      <c r="J276" s="345"/>
      <c r="K276" s="264"/>
      <c r="L276" s="252"/>
      <c r="M276" s="253"/>
      <c r="N276" s="265"/>
    </row>
    <row r="277" spans="2:14" x14ac:dyDescent="0.2">
      <c r="B277" s="245"/>
      <c r="C277" s="246"/>
      <c r="D277" s="247"/>
      <c r="E277" s="248"/>
      <c r="F277" s="248"/>
      <c r="G277" s="254"/>
      <c r="H277" s="202"/>
      <c r="I277" s="223"/>
      <c r="J277" s="345"/>
      <c r="K277" s="266"/>
      <c r="L277" s="252"/>
      <c r="M277" s="253"/>
      <c r="N277" s="265"/>
    </row>
    <row r="278" spans="2:14" x14ac:dyDescent="0.2">
      <c r="B278" s="245"/>
      <c r="C278" s="246"/>
      <c r="D278" s="247"/>
      <c r="E278" s="248"/>
      <c r="F278" s="248"/>
      <c r="G278" s="254"/>
      <c r="H278" s="202"/>
      <c r="I278" s="223"/>
      <c r="J278" s="345"/>
      <c r="K278" s="266"/>
      <c r="L278" s="252"/>
      <c r="M278" s="253"/>
      <c r="N278" s="265"/>
    </row>
    <row r="279" spans="2:14" x14ac:dyDescent="0.2">
      <c r="B279" s="245"/>
      <c r="C279" s="246"/>
      <c r="D279" s="247"/>
      <c r="E279" s="248"/>
      <c r="F279" s="248"/>
      <c r="G279" s="254"/>
      <c r="H279" s="202"/>
      <c r="I279" s="223"/>
      <c r="J279" s="345"/>
      <c r="K279" s="266"/>
      <c r="L279" s="252"/>
      <c r="M279" s="253"/>
      <c r="N279" s="265"/>
    </row>
    <row r="280" spans="2:14" x14ac:dyDescent="0.2">
      <c r="B280" s="245"/>
      <c r="C280" s="246"/>
      <c r="D280" s="247"/>
      <c r="E280" s="248"/>
      <c r="F280" s="248"/>
      <c r="G280" s="254"/>
      <c r="H280" s="202"/>
      <c r="I280" s="223"/>
      <c r="J280" s="345"/>
      <c r="K280" s="266"/>
      <c r="L280" s="252"/>
      <c r="M280" s="253"/>
      <c r="N280" s="265"/>
    </row>
    <row r="281" spans="2:14" x14ac:dyDescent="0.2">
      <c r="B281" s="245"/>
      <c r="C281" s="246"/>
      <c r="D281" s="247"/>
      <c r="E281" s="248"/>
      <c r="F281" s="248"/>
      <c r="G281" s="254"/>
      <c r="H281" s="202"/>
      <c r="I281" s="223"/>
      <c r="J281" s="345"/>
      <c r="K281" s="266"/>
      <c r="L281" s="252"/>
      <c r="M281" s="253"/>
      <c r="N281" s="265"/>
    </row>
    <row r="282" spans="2:14" x14ac:dyDescent="0.2">
      <c r="B282" s="245"/>
      <c r="C282" s="246"/>
      <c r="D282" s="247"/>
      <c r="E282" s="248"/>
      <c r="F282" s="248"/>
      <c r="G282" s="254"/>
      <c r="H282" s="202"/>
      <c r="I282" s="223"/>
      <c r="J282" s="345"/>
      <c r="K282" s="266"/>
      <c r="L282" s="252"/>
      <c r="M282" s="253"/>
      <c r="N282" s="265"/>
    </row>
    <row r="283" spans="2:14" x14ac:dyDescent="0.2">
      <c r="B283" s="245"/>
      <c r="C283" s="246"/>
      <c r="D283" s="247"/>
      <c r="E283" s="248"/>
      <c r="F283" s="248"/>
      <c r="G283" s="254"/>
      <c r="H283" s="202"/>
      <c r="I283" s="223"/>
      <c r="J283" s="345"/>
      <c r="K283" s="266"/>
      <c r="L283" s="252"/>
      <c r="M283" s="253"/>
      <c r="N283" s="265"/>
    </row>
    <row r="284" spans="2:14" x14ac:dyDescent="0.2">
      <c r="B284" s="245"/>
      <c r="C284" s="246"/>
      <c r="D284" s="245"/>
      <c r="E284" s="248"/>
      <c r="F284" s="248"/>
      <c r="G284" s="261"/>
      <c r="H284" s="202"/>
      <c r="I284" s="223"/>
      <c r="J284" s="345"/>
      <c r="K284" s="266"/>
      <c r="L284" s="252"/>
      <c r="M284" s="253"/>
      <c r="N284" s="265"/>
    </row>
    <row r="285" spans="2:14" x14ac:dyDescent="0.2">
      <c r="B285" s="245"/>
      <c r="C285" s="246"/>
      <c r="D285" s="247"/>
      <c r="E285" s="248"/>
      <c r="F285" s="248"/>
      <c r="G285" s="254"/>
      <c r="H285" s="202"/>
      <c r="I285" s="223"/>
      <c r="J285" s="345"/>
      <c r="K285" s="266"/>
      <c r="L285" s="252"/>
      <c r="M285" s="253"/>
      <c r="N285" s="265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6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6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6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4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4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4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6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7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7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7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7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55"/>
      <c r="D357" s="247"/>
      <c r="E357" s="248"/>
      <c r="F357" s="248"/>
      <c r="G357" s="199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55"/>
      <c r="D361" s="247"/>
      <c r="E361" s="248"/>
      <c r="F361" s="248"/>
      <c r="G361" s="199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55"/>
      <c r="D362" s="247"/>
      <c r="E362" s="248"/>
      <c r="F362" s="248"/>
      <c r="G362" s="199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55"/>
      <c r="D363" s="247"/>
      <c r="E363" s="248"/>
      <c r="F363" s="248"/>
      <c r="G363" s="199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55"/>
      <c r="D368" s="247"/>
      <c r="E368" s="248"/>
      <c r="F368" s="248"/>
      <c r="G368" s="199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55"/>
      <c r="D373" s="247"/>
      <c r="E373" s="248"/>
      <c r="F373" s="248"/>
      <c r="G373" s="199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5"/>
      <c r="E384" s="248"/>
      <c r="F384" s="248"/>
      <c r="G384" s="261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5"/>
      <c r="E385" s="248"/>
      <c r="F385" s="248"/>
      <c r="G385" s="261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5"/>
      <c r="E388" s="248"/>
      <c r="F388" s="248"/>
      <c r="G388" s="261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5"/>
      <c r="E389" s="248"/>
      <c r="F389" s="248"/>
      <c r="G389" s="261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55"/>
      <c r="D397" s="247"/>
      <c r="E397" s="248"/>
      <c r="F397" s="248"/>
      <c r="G397" s="199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55"/>
      <c r="D399" s="247"/>
      <c r="E399" s="248"/>
      <c r="F399" s="248"/>
      <c r="G399" s="199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7"/>
      <c r="E409" s="248"/>
      <c r="F409" s="248"/>
      <c r="G409" s="254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4"/>
      <c r="L410" s="252"/>
      <c r="M410" s="253"/>
      <c r="N410" s="265"/>
    </row>
    <row r="411" spans="2:14" x14ac:dyDescent="0.2">
      <c r="B411" s="245"/>
      <c r="C411" s="246"/>
      <c r="D411" s="245"/>
      <c r="E411" s="248"/>
      <c r="F411" s="248"/>
      <c r="G411" s="261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4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5"/>
      <c r="E419" s="248"/>
      <c r="F419" s="248"/>
      <c r="G419" s="261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55"/>
      <c r="D425" s="247"/>
      <c r="E425" s="248"/>
      <c r="F425" s="248"/>
      <c r="G425" s="199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55"/>
      <c r="D428" s="247"/>
      <c r="E428" s="248"/>
      <c r="F428" s="248"/>
      <c r="G428" s="199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68"/>
      <c r="F432" s="268"/>
      <c r="G432" s="269"/>
      <c r="H432" s="270"/>
      <c r="I432" s="271"/>
      <c r="J432" s="346"/>
      <c r="K432" s="266"/>
      <c r="L432" s="252"/>
      <c r="M432" s="253"/>
      <c r="N432" s="265"/>
    </row>
    <row r="433" spans="2:14" x14ac:dyDescent="0.2">
      <c r="B433" s="245"/>
      <c r="C433" s="255"/>
      <c r="D433" s="247"/>
      <c r="E433" s="248"/>
      <c r="F433" s="248"/>
      <c r="G433" s="261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55"/>
      <c r="D435" s="247"/>
      <c r="E435" s="248"/>
      <c r="F435" s="248"/>
      <c r="G435" s="199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4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5"/>
      <c r="E471" s="248"/>
      <c r="F471" s="248"/>
      <c r="G471" s="261"/>
      <c r="H471" s="202"/>
      <c r="I471" s="223"/>
      <c r="J471" s="345"/>
      <c r="K471" s="264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4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4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4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4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4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4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55"/>
      <c r="D484" s="247"/>
      <c r="E484" s="248"/>
      <c r="F484" s="248"/>
      <c r="G484" s="199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4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7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5"/>
      <c r="E504" s="248"/>
      <c r="F504" s="272"/>
      <c r="G504" s="261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55"/>
      <c r="D508" s="247"/>
      <c r="E508" s="248"/>
      <c r="F508" s="248"/>
      <c r="G508" s="199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55"/>
      <c r="D510" s="247"/>
      <c r="E510" s="248"/>
      <c r="F510" s="248"/>
      <c r="G510" s="199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55"/>
      <c r="D511" s="247"/>
      <c r="E511" s="248"/>
      <c r="F511" s="248"/>
      <c r="G511" s="199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48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55"/>
      <c r="D524" s="247"/>
      <c r="E524" s="248"/>
      <c r="F524" s="248"/>
      <c r="G524" s="199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5"/>
      <c r="E527" s="248"/>
      <c r="F527" s="248"/>
      <c r="G527" s="261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5"/>
      <c r="E547" s="248"/>
      <c r="F547" s="248"/>
      <c r="G547" s="20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55"/>
      <c r="D553" s="245"/>
      <c r="E553" s="248"/>
      <c r="F553" s="248"/>
      <c r="G553" s="201"/>
      <c r="H553" s="202"/>
      <c r="I553" s="223"/>
      <c r="J553" s="345"/>
      <c r="K553" s="264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55"/>
      <c r="D555" s="247"/>
      <c r="E555" s="248"/>
      <c r="F555" s="248"/>
      <c r="G555" s="199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55"/>
      <c r="D558" s="247"/>
      <c r="E558" s="248"/>
      <c r="F558" s="248"/>
      <c r="G558" s="199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55"/>
      <c r="D559" s="247"/>
      <c r="E559" s="248"/>
      <c r="F559" s="248"/>
      <c r="G559" s="199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55"/>
      <c r="D560" s="247"/>
      <c r="E560" s="248"/>
      <c r="F560" s="248"/>
      <c r="G560" s="199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55"/>
      <c r="D563" s="247"/>
      <c r="E563" s="248"/>
      <c r="F563" s="248"/>
      <c r="G563" s="199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7"/>
      <c r="E566" s="248"/>
      <c r="F566" s="248"/>
      <c r="G566" s="199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5"/>
      <c r="E575" s="248"/>
      <c r="F575" s="248"/>
      <c r="G575" s="261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5"/>
      <c r="E585" s="248"/>
      <c r="F585" s="248"/>
      <c r="G585" s="201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55"/>
      <c r="D591" s="247"/>
      <c r="E591" s="248"/>
      <c r="F591" s="248"/>
      <c r="G591" s="199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55"/>
      <c r="D592" s="247"/>
      <c r="E592" s="248"/>
      <c r="F592" s="248"/>
      <c r="G592" s="199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55"/>
      <c r="D593" s="247"/>
      <c r="E593" s="248"/>
      <c r="F593" s="248"/>
      <c r="G593" s="199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4"/>
      <c r="L595" s="252"/>
      <c r="M595" s="253"/>
      <c r="N595" s="265"/>
    </row>
    <row r="596" spans="2:14" x14ac:dyDescent="0.2">
      <c r="B596" s="245"/>
      <c r="C596" s="255"/>
      <c r="D596" s="247"/>
      <c r="E596" s="248"/>
      <c r="F596" s="248"/>
      <c r="G596" s="199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5"/>
      <c r="E597" s="248"/>
      <c r="F597" s="248"/>
      <c r="G597" s="261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4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7"/>
      <c r="E622" s="248"/>
      <c r="F622" s="248"/>
      <c r="G622" s="199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7"/>
      <c r="E623" s="248"/>
      <c r="F623" s="248"/>
      <c r="G623" s="199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55"/>
      <c r="D638" s="247"/>
      <c r="E638" s="248"/>
      <c r="F638" s="248"/>
      <c r="G638" s="199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55"/>
      <c r="D654" s="247"/>
      <c r="E654" s="248"/>
      <c r="F654" s="248"/>
      <c r="G654" s="199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5"/>
      <c r="E658" s="248"/>
      <c r="F658" s="248"/>
      <c r="G658" s="261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55"/>
      <c r="D663" s="247"/>
      <c r="E663" s="248"/>
      <c r="F663" s="248"/>
      <c r="G663" s="199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5"/>
      <c r="E666" s="248"/>
      <c r="F666" s="248"/>
      <c r="G666" s="261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4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4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4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4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4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5"/>
      <c r="E682" s="248"/>
      <c r="F682" s="248"/>
      <c r="G682" s="201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55"/>
      <c r="D686" s="247"/>
      <c r="E686" s="248"/>
      <c r="F686" s="248"/>
      <c r="G686" s="199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55"/>
      <c r="D687" s="247"/>
      <c r="E687" s="248"/>
      <c r="F687" s="248"/>
      <c r="G687" s="199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6"/>
      <c r="L688" s="252"/>
      <c r="M688" s="253"/>
      <c r="N688" s="265"/>
    </row>
    <row r="689" spans="2:14" x14ac:dyDescent="0.2">
      <c r="B689" s="245"/>
      <c r="C689" s="255"/>
      <c r="D689" s="247"/>
      <c r="E689" s="248"/>
      <c r="F689" s="248"/>
      <c r="G689" s="199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4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55"/>
      <c r="D721" s="247"/>
      <c r="E721" s="248"/>
      <c r="F721" s="248"/>
      <c r="G721" s="199"/>
      <c r="H721" s="202"/>
      <c r="I721" s="223"/>
      <c r="J721" s="345"/>
      <c r="K721" s="266"/>
      <c r="L721" s="252"/>
      <c r="M721" s="253"/>
      <c r="N721" s="273"/>
    </row>
    <row r="722" spans="2:14" x14ac:dyDescent="0.2">
      <c r="B722" s="245"/>
      <c r="C722" s="255"/>
      <c r="D722" s="245"/>
      <c r="E722" s="248"/>
      <c r="F722" s="248"/>
      <c r="G722" s="201"/>
      <c r="H722" s="202"/>
      <c r="I722" s="223"/>
      <c r="J722" s="345"/>
      <c r="K722" s="266"/>
      <c r="L722" s="252"/>
      <c r="M722" s="253"/>
      <c r="N722" s="203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03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03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03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03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03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03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03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03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03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03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03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4"/>
      <c r="L734" s="252"/>
      <c r="M734" s="253"/>
      <c r="N734" s="203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03"/>
    </row>
    <row r="736" spans="2:14" x14ac:dyDescent="0.2">
      <c r="B736" s="245"/>
      <c r="C736" s="255"/>
      <c r="D736" s="247"/>
      <c r="E736" s="248"/>
      <c r="F736" s="248"/>
      <c r="G736" s="199"/>
      <c r="H736" s="202"/>
      <c r="I736" s="223"/>
      <c r="J736" s="345"/>
      <c r="K736" s="266"/>
      <c r="L736" s="252"/>
      <c r="M736" s="253"/>
      <c r="N736" s="203"/>
    </row>
    <row r="737" spans="2:14" x14ac:dyDescent="0.2">
      <c r="B737" s="245"/>
      <c r="C737" s="255"/>
      <c r="D737" s="247"/>
      <c r="E737" s="248"/>
      <c r="F737" s="248"/>
      <c r="G737" s="199"/>
      <c r="H737" s="202"/>
      <c r="I737" s="223"/>
      <c r="J737" s="345"/>
      <c r="K737" s="266"/>
      <c r="L737" s="252"/>
      <c r="M737" s="253"/>
      <c r="N737" s="203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03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5"/>
      <c r="E741" s="248"/>
      <c r="F741" s="248"/>
      <c r="G741" s="26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5"/>
      <c r="E746" s="248"/>
      <c r="F746" s="248"/>
      <c r="G746" s="261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55"/>
      <c r="D747" s="245"/>
      <c r="E747" s="248"/>
      <c r="F747" s="248"/>
      <c r="G747" s="201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55"/>
      <c r="D759" s="247"/>
      <c r="E759" s="248"/>
      <c r="F759" s="248"/>
      <c r="G759" s="254"/>
      <c r="H759" s="202"/>
      <c r="I759" s="223"/>
      <c r="J759" s="345"/>
      <c r="K759" s="264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55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7"/>
      <c r="E766" s="248"/>
      <c r="F766" s="248"/>
      <c r="G766" s="199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7"/>
      <c r="E767" s="248"/>
      <c r="F767" s="248"/>
      <c r="G767" s="199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55"/>
      <c r="D772" s="247"/>
      <c r="E772" s="248"/>
      <c r="F772" s="248"/>
      <c r="G772" s="199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55"/>
      <c r="D773" s="247"/>
      <c r="E773" s="248"/>
      <c r="F773" s="248"/>
      <c r="G773" s="199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4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5"/>
      <c r="E786" s="248"/>
      <c r="F786" s="248"/>
      <c r="G786" s="261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5"/>
      <c r="E789" s="248"/>
      <c r="F789" s="248"/>
      <c r="G789" s="261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55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199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5"/>
      <c r="E818" s="248"/>
      <c r="F818" s="248"/>
      <c r="G818" s="261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4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5"/>
      <c r="E827" s="248"/>
      <c r="F827" s="248"/>
      <c r="G827" s="261"/>
      <c r="H827" s="202"/>
      <c r="I827" s="223"/>
      <c r="J827" s="345"/>
      <c r="K827" s="264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7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7"/>
      <c r="L836" s="252"/>
      <c r="M836" s="253"/>
      <c r="N836" s="203"/>
    </row>
    <row r="837" spans="2:14" x14ac:dyDescent="0.2">
      <c r="B837" s="245"/>
      <c r="C837" s="255"/>
      <c r="D837" s="247"/>
      <c r="E837" s="248"/>
      <c r="F837" s="248"/>
      <c r="G837" s="254"/>
      <c r="H837" s="202"/>
      <c r="I837" s="223"/>
      <c r="J837" s="345"/>
      <c r="K837" s="267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55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55"/>
      <c r="D849" s="247"/>
      <c r="E849" s="248"/>
      <c r="F849" s="248"/>
      <c r="G849" s="199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55"/>
      <c r="D850" s="247"/>
      <c r="E850" s="248"/>
      <c r="F850" s="248"/>
      <c r="G850" s="199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199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55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74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5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55"/>
      <c r="D883" s="247"/>
      <c r="E883" s="248"/>
      <c r="F883" s="248"/>
      <c r="G883" s="254"/>
      <c r="H883" s="202"/>
      <c r="I883" s="223"/>
      <c r="J883" s="345"/>
      <c r="K883" s="267"/>
      <c r="L883" s="252"/>
      <c r="M883" s="253"/>
      <c r="N883" s="203"/>
    </row>
    <row r="884" spans="2:14" x14ac:dyDescent="0.2">
      <c r="B884" s="245"/>
      <c r="C884" s="255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55"/>
      <c r="D885" s="247"/>
      <c r="E885" s="248"/>
      <c r="F885" s="248"/>
      <c r="G885" s="199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55"/>
      <c r="D886" s="247"/>
      <c r="E886" s="248"/>
      <c r="F886" s="248"/>
      <c r="G886" s="199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55"/>
      <c r="D887" s="247"/>
      <c r="E887" s="248"/>
      <c r="F887" s="248"/>
      <c r="G887" s="199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55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55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199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55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199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199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199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55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55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55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199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199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199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199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199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199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5"/>
      <c r="E995" s="248"/>
      <c r="F995" s="248"/>
      <c r="G995" s="261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5"/>
      <c r="E996" s="248"/>
      <c r="F996" s="248"/>
      <c r="G996" s="261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01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4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01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5"/>
      <c r="E1029" s="248"/>
      <c r="F1029" s="248"/>
      <c r="G1029" s="261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5"/>
      <c r="E1042" s="248"/>
      <c r="F1042" s="248"/>
      <c r="G1042" s="261"/>
      <c r="H1042" s="202"/>
      <c r="I1042" s="223"/>
      <c r="J1042" s="345"/>
      <c r="K1042" s="264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03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199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5"/>
      <c r="E1070" s="275"/>
      <c r="F1070" s="275"/>
      <c r="G1070" s="205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199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5"/>
      <c r="E1078" s="248"/>
      <c r="F1078" s="248"/>
      <c r="G1078" s="205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199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199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03"/>
      <c r="M1099" s="253"/>
      <c r="N1099" s="203"/>
    </row>
    <row r="1100" spans="2:14" x14ac:dyDescent="0.2">
      <c r="B1100" s="245"/>
      <c r="C1100" s="255"/>
      <c r="D1100" s="245"/>
      <c r="E1100" s="248"/>
      <c r="F1100" s="248"/>
      <c r="G1100" s="205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199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5"/>
      <c r="E1109" s="248"/>
      <c r="F1109" s="248"/>
      <c r="G1109" s="206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76"/>
      <c r="D1120" s="276"/>
      <c r="E1120" s="248"/>
      <c r="F1120" s="277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5"/>
      <c r="E1122" s="248"/>
      <c r="F1122" s="248"/>
      <c r="G1122" s="201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4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74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61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74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199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61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4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4"/>
    </row>
    <row r="1139" spans="2:14" x14ac:dyDescent="0.2">
      <c r="B1139" s="245"/>
      <c r="C1139" s="255"/>
      <c r="D1139" s="247"/>
      <c r="E1139" s="248"/>
      <c r="F1139" s="248"/>
      <c r="G1139" s="199"/>
      <c r="H1139" s="202"/>
      <c r="I1139" s="223"/>
      <c r="J1139" s="345"/>
      <c r="K1139" s="266"/>
      <c r="L1139" s="252"/>
      <c r="M1139" s="253"/>
      <c r="N1139" s="204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4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4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4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4"/>
    </row>
    <row r="1144" spans="2:14" x14ac:dyDescent="0.2">
      <c r="B1144" s="245"/>
      <c r="C1144" s="255"/>
      <c r="D1144" s="245"/>
      <c r="E1144" s="275"/>
      <c r="F1144" s="275"/>
      <c r="G1144" s="205"/>
      <c r="H1144" s="202"/>
      <c r="I1144" s="223"/>
      <c r="J1144" s="345"/>
      <c r="K1144" s="274"/>
      <c r="L1144" s="252"/>
      <c r="M1144" s="253"/>
      <c r="N1144" s="204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4"/>
    </row>
    <row r="1146" spans="2:14" x14ac:dyDescent="0.2">
      <c r="B1146" s="245"/>
      <c r="C1146" s="255"/>
      <c r="D1146" s="247"/>
      <c r="E1146" s="248"/>
      <c r="F1146" s="248"/>
      <c r="G1146" s="199"/>
      <c r="H1146" s="202"/>
      <c r="I1146" s="223"/>
      <c r="J1146" s="345"/>
      <c r="K1146" s="266"/>
      <c r="L1146" s="252"/>
      <c r="M1146" s="253"/>
      <c r="N1146" s="204"/>
    </row>
    <row r="1147" spans="2:14" x14ac:dyDescent="0.2">
      <c r="B1147" s="245"/>
      <c r="C1147" s="255"/>
      <c r="D1147" s="247"/>
      <c r="E1147" s="248"/>
      <c r="F1147" s="248"/>
      <c r="G1147" s="199"/>
      <c r="H1147" s="202"/>
      <c r="I1147" s="223"/>
      <c r="J1147" s="345"/>
      <c r="K1147" s="266"/>
      <c r="L1147" s="252"/>
      <c r="M1147" s="253"/>
      <c r="N1147" s="204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4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4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4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4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4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4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199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199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5"/>
      <c r="E1171" s="248"/>
      <c r="F1171" s="248"/>
      <c r="G1171" s="261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74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78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78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78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78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78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78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78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78"/>
      <c r="L1182" s="252"/>
      <c r="M1182" s="253"/>
      <c r="N1182" s="204"/>
    </row>
    <row r="1183" spans="2:14" x14ac:dyDescent="0.2">
      <c r="B1183" s="245"/>
      <c r="C1183" s="255"/>
      <c r="D1183" s="245"/>
      <c r="E1183" s="275"/>
      <c r="F1183" s="275"/>
      <c r="G1183" s="205"/>
      <c r="H1183" s="202"/>
      <c r="I1183" s="223"/>
      <c r="J1183" s="345"/>
      <c r="K1183" s="279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79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79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79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79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199"/>
      <c r="H1188" s="202"/>
      <c r="I1188" s="223"/>
      <c r="J1188" s="345"/>
      <c r="K1188" s="279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9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79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05"/>
      <c r="H1191" s="202"/>
      <c r="I1191" s="223"/>
      <c r="J1191" s="345"/>
      <c r="K1191" s="279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9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01"/>
      <c r="H1193" s="202"/>
      <c r="I1193" s="223"/>
      <c r="J1193" s="345"/>
      <c r="K1193" s="279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9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9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9"/>
      <c r="L1196" s="252"/>
      <c r="M1196" s="253"/>
      <c r="N1196" s="204"/>
    </row>
    <row r="1197" spans="2:14" x14ac:dyDescent="0.2">
      <c r="B1197" s="245"/>
      <c r="C1197" s="255"/>
      <c r="D1197" s="245"/>
      <c r="E1197" s="248"/>
      <c r="F1197" s="248"/>
      <c r="G1197" s="206"/>
      <c r="H1197" s="202"/>
      <c r="I1197" s="223"/>
      <c r="J1197" s="345"/>
      <c r="K1197" s="279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9"/>
      <c r="L1198" s="252"/>
      <c r="M1198" s="253"/>
      <c r="N1198" s="204"/>
    </row>
    <row r="1199" spans="2:14" x14ac:dyDescent="0.2">
      <c r="B1199" s="245"/>
      <c r="C1199" s="255"/>
      <c r="D1199" s="245"/>
      <c r="E1199" s="275"/>
      <c r="F1199" s="275"/>
      <c r="G1199" s="205"/>
      <c r="H1199" s="202"/>
      <c r="I1199" s="223"/>
      <c r="J1199" s="345"/>
      <c r="K1199" s="279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03"/>
      <c r="M1213" s="253"/>
      <c r="N1213" s="204"/>
    </row>
    <row r="1214" spans="2:14" x14ac:dyDescent="0.2">
      <c r="B1214" s="245"/>
      <c r="C1214" s="280"/>
      <c r="D1214" s="281"/>
      <c r="E1214" s="275"/>
      <c r="F1214" s="275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199"/>
      <c r="H1216" s="202"/>
      <c r="I1216" s="223"/>
      <c r="J1216" s="345"/>
      <c r="K1216" s="279"/>
      <c r="L1216" s="203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7"/>
      <c r="I1219" s="221"/>
      <c r="J1219" s="342"/>
      <c r="K1219" s="279"/>
      <c r="L1219" s="252"/>
      <c r="M1219" s="253"/>
      <c r="N1219" s="208"/>
    </row>
    <row r="1220" spans="2:14" x14ac:dyDescent="0.2">
      <c r="B1220" s="245"/>
      <c r="C1220" s="255"/>
      <c r="D1220" s="247"/>
      <c r="E1220" s="248"/>
      <c r="F1220" s="248"/>
      <c r="G1220" s="254"/>
      <c r="H1220" s="207"/>
      <c r="I1220" s="221"/>
      <c r="J1220" s="342"/>
      <c r="K1220" s="279"/>
      <c r="L1220" s="252"/>
      <c r="M1220" s="253"/>
      <c r="N1220" s="208"/>
    </row>
    <row r="1221" spans="2:14" x14ac:dyDescent="0.2">
      <c r="B1221" s="245"/>
      <c r="C1221" s="255"/>
      <c r="D1221" s="247"/>
      <c r="E1221" s="248"/>
      <c r="F1221" s="248"/>
      <c r="G1221" s="254"/>
      <c r="H1221" s="207"/>
      <c r="I1221" s="221"/>
      <c r="J1221" s="342"/>
      <c r="K1221" s="279"/>
      <c r="L1221" s="252"/>
      <c r="M1221" s="253"/>
      <c r="N1221" s="208"/>
    </row>
    <row r="1222" spans="2:14" x14ac:dyDescent="0.2">
      <c r="B1222" s="245"/>
      <c r="C1222" s="246"/>
      <c r="D1222" s="247"/>
      <c r="E1222" s="248"/>
      <c r="F1222" s="248"/>
      <c r="G1222" s="254"/>
      <c r="H1222" s="207"/>
      <c r="I1222" s="221"/>
      <c r="J1222" s="342"/>
      <c r="K1222" s="279"/>
      <c r="L1222" s="252"/>
      <c r="M1222" s="253"/>
      <c r="N1222" s="208"/>
    </row>
    <row r="1223" spans="2:14" x14ac:dyDescent="0.2">
      <c r="B1223" s="245"/>
      <c r="C1223" s="255"/>
      <c r="D1223" s="247"/>
      <c r="E1223" s="248"/>
      <c r="F1223" s="248"/>
      <c r="G1223" s="254"/>
      <c r="H1223" s="207"/>
      <c r="I1223" s="221"/>
      <c r="J1223" s="342"/>
      <c r="K1223" s="279"/>
      <c r="L1223" s="252"/>
      <c r="M1223" s="253"/>
      <c r="N1223" s="208"/>
    </row>
    <row r="1224" spans="2:14" x14ac:dyDescent="0.2">
      <c r="B1224" s="245"/>
      <c r="C1224" s="276"/>
      <c r="D1224" s="276"/>
      <c r="E1224" s="277"/>
      <c r="F1224" s="277"/>
      <c r="G1224" s="209"/>
      <c r="H1224" s="207"/>
      <c r="I1224" s="221"/>
      <c r="J1224" s="342"/>
      <c r="K1224" s="282"/>
      <c r="L1224" s="252"/>
      <c r="M1224" s="253"/>
      <c r="N1224" s="208"/>
    </row>
    <row r="1225" spans="2:14" x14ac:dyDescent="0.2">
      <c r="B1225" s="245"/>
      <c r="C1225" s="255"/>
      <c r="D1225" s="247"/>
      <c r="E1225" s="248"/>
      <c r="F1225" s="248"/>
      <c r="G1225" s="254"/>
      <c r="H1225" s="207"/>
      <c r="I1225" s="221"/>
      <c r="J1225" s="342"/>
      <c r="K1225" s="279"/>
      <c r="L1225" s="252"/>
      <c r="M1225" s="253"/>
      <c r="N1225" s="208"/>
    </row>
    <row r="1226" spans="2:14" x14ac:dyDescent="0.2">
      <c r="B1226" s="245"/>
      <c r="C1226" s="255"/>
      <c r="D1226" s="247"/>
      <c r="E1226" s="248"/>
      <c r="F1226" s="248"/>
      <c r="G1226" s="254"/>
      <c r="H1226" s="207"/>
      <c r="I1226" s="221"/>
      <c r="J1226" s="342"/>
      <c r="K1226" s="279"/>
      <c r="L1226" s="252"/>
      <c r="M1226" s="253"/>
      <c r="N1226" s="208"/>
    </row>
    <row r="1227" spans="2:14" x14ac:dyDescent="0.2">
      <c r="B1227" s="245"/>
      <c r="C1227" s="255"/>
      <c r="D1227" s="247"/>
      <c r="E1227" s="248"/>
      <c r="F1227" s="248"/>
      <c r="G1227" s="254"/>
      <c r="H1227" s="207"/>
      <c r="I1227" s="221"/>
      <c r="J1227" s="342"/>
      <c r="K1227" s="279"/>
      <c r="L1227" s="252"/>
      <c r="M1227" s="253"/>
      <c r="N1227" s="208"/>
    </row>
    <row r="1228" spans="2:14" x14ac:dyDescent="0.2">
      <c r="B1228" s="245"/>
      <c r="C1228" s="255"/>
      <c r="D1228" s="245"/>
      <c r="E1228" s="248"/>
      <c r="F1228" s="248"/>
      <c r="G1228" s="261"/>
      <c r="H1228" s="207"/>
      <c r="I1228" s="221"/>
      <c r="J1228" s="342"/>
      <c r="K1228" s="279"/>
      <c r="L1228" s="252"/>
      <c r="M1228" s="253"/>
      <c r="N1228" s="208"/>
    </row>
    <row r="1229" spans="2:14" x14ac:dyDescent="0.2">
      <c r="B1229" s="245"/>
      <c r="C1229" s="255"/>
      <c r="D1229" s="247"/>
      <c r="E1229" s="248"/>
      <c r="F1229" s="248"/>
      <c r="G1229" s="254"/>
      <c r="H1229" s="207"/>
      <c r="I1229" s="221"/>
      <c r="J1229" s="342"/>
      <c r="K1229" s="279"/>
      <c r="L1229" s="252"/>
      <c r="M1229" s="253"/>
      <c r="N1229" s="208"/>
    </row>
    <row r="1230" spans="2:14" x14ac:dyDescent="0.2">
      <c r="B1230" s="245"/>
      <c r="C1230" s="255"/>
      <c r="D1230" s="247"/>
      <c r="E1230" s="248"/>
      <c r="F1230" s="248"/>
      <c r="G1230" s="254"/>
      <c r="H1230" s="207"/>
      <c r="I1230" s="221"/>
      <c r="J1230" s="342"/>
      <c r="K1230" s="279"/>
      <c r="L1230" s="252"/>
      <c r="M1230" s="253"/>
      <c r="N1230" s="208"/>
    </row>
    <row r="1231" spans="2:14" x14ac:dyDescent="0.2">
      <c r="B1231" s="245"/>
      <c r="C1231" s="255"/>
      <c r="D1231" s="247"/>
      <c r="E1231" s="248"/>
      <c r="F1231" s="248"/>
      <c r="G1231" s="254"/>
      <c r="H1231" s="207"/>
      <c r="I1231" s="221"/>
      <c r="J1231" s="342"/>
      <c r="K1231" s="279"/>
      <c r="L1231" s="252"/>
      <c r="M1231" s="253"/>
      <c r="N1231" s="208"/>
    </row>
    <row r="1232" spans="2:14" x14ac:dyDescent="0.2">
      <c r="B1232" s="245"/>
      <c r="C1232" s="246"/>
      <c r="D1232" s="247"/>
      <c r="E1232" s="248"/>
      <c r="F1232" s="248"/>
      <c r="G1232" s="254"/>
      <c r="H1232" s="207"/>
      <c r="I1232" s="221"/>
      <c r="J1232" s="342"/>
      <c r="K1232" s="279"/>
      <c r="L1232" s="252"/>
      <c r="M1232" s="253"/>
      <c r="N1232" s="208"/>
    </row>
    <row r="1233" spans="2:14" x14ac:dyDescent="0.2">
      <c r="B1233" s="245"/>
      <c r="C1233" s="255"/>
      <c r="D1233" s="247"/>
      <c r="E1233" s="248"/>
      <c r="F1233" s="248"/>
      <c r="G1233" s="205"/>
      <c r="H1233" s="207"/>
      <c r="I1233" s="221"/>
      <c r="J1233" s="342"/>
      <c r="K1233" s="279"/>
      <c r="L1233" s="252"/>
      <c r="M1233" s="253"/>
      <c r="N1233" s="208"/>
    </row>
    <row r="1234" spans="2:14" x14ac:dyDescent="0.2">
      <c r="B1234" s="245"/>
      <c r="C1234" s="246"/>
      <c r="D1234" s="247"/>
      <c r="E1234" s="248"/>
      <c r="F1234" s="248"/>
      <c r="G1234" s="261"/>
      <c r="H1234" s="207"/>
      <c r="I1234" s="221"/>
      <c r="J1234" s="342"/>
      <c r="K1234" s="279"/>
      <c r="L1234" s="252"/>
      <c r="M1234" s="253"/>
      <c r="N1234" s="208"/>
    </row>
    <row r="1235" spans="2:14" x14ac:dyDescent="0.2">
      <c r="B1235" s="245"/>
      <c r="C1235" s="255"/>
      <c r="D1235" s="247"/>
      <c r="E1235" s="248"/>
      <c r="F1235" s="248"/>
      <c r="G1235" s="254"/>
      <c r="H1235" s="207"/>
      <c r="I1235" s="221"/>
      <c r="J1235" s="342"/>
      <c r="K1235" s="279"/>
      <c r="L1235" s="252"/>
      <c r="M1235" s="253"/>
      <c r="N1235" s="208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10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61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46"/>
      <c r="D1238" s="247"/>
      <c r="E1238" s="248"/>
      <c r="F1238" s="248"/>
      <c r="G1238" s="261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ht="15" x14ac:dyDescent="0.25">
      <c r="B1240" s="30"/>
      <c r="C1240" s="283"/>
      <c r="D1240" s="109"/>
      <c r="E1240" s="68"/>
      <c r="F1240" s="68"/>
      <c r="G1240" s="284"/>
      <c r="H1240" s="211"/>
      <c r="I1240" s="224"/>
      <c r="J1240" s="347"/>
      <c r="K1240" s="69"/>
      <c r="L1240" s="285"/>
      <c r="M1240" s="116"/>
      <c r="N1240" s="212"/>
    </row>
    <row r="1241" spans="2:14" ht="15" x14ac:dyDescent="0.25">
      <c r="B1241" s="30"/>
      <c r="C1241" s="283"/>
      <c r="D1241" s="109"/>
      <c r="E1241" s="68"/>
      <c r="F1241" s="68"/>
      <c r="G1241" s="284"/>
      <c r="H1241" s="211"/>
      <c r="I1241" s="224"/>
      <c r="J1241" s="347"/>
      <c r="K1241" s="69"/>
      <c r="L1241" s="285"/>
      <c r="M1241" s="116"/>
      <c r="N1241" s="212"/>
    </row>
    <row r="1242" spans="2:14" ht="15" x14ac:dyDescent="0.25">
      <c r="B1242" s="30"/>
      <c r="C1242" s="283"/>
      <c r="D1242" s="109"/>
      <c r="E1242" s="68"/>
      <c r="F1242" s="68"/>
      <c r="G1242" s="284"/>
      <c r="H1242" s="211"/>
      <c r="I1242" s="224"/>
      <c r="J1242" s="347"/>
      <c r="K1242" s="69"/>
      <c r="L1242" s="285"/>
      <c r="M1242" s="116"/>
      <c r="N1242" s="212"/>
    </row>
    <row r="1243" spans="2:14" ht="15" x14ac:dyDescent="0.25">
      <c r="B1243" s="37"/>
      <c r="C1243" s="78"/>
      <c r="D1243" s="109"/>
      <c r="E1243" s="68"/>
      <c r="F1243" s="68"/>
      <c r="G1243" s="284"/>
      <c r="H1243" s="211"/>
      <c r="I1243" s="224"/>
      <c r="J1243" s="347"/>
      <c r="K1243" s="69"/>
      <c r="L1243" s="285"/>
      <c r="M1243" s="116"/>
      <c r="N1243" s="212"/>
    </row>
    <row r="1244" spans="2:14" ht="15" x14ac:dyDescent="0.25">
      <c r="B1244" s="37"/>
      <c r="C1244" s="283"/>
      <c r="D1244" s="109"/>
      <c r="E1244" s="68"/>
      <c r="F1244" s="68"/>
      <c r="G1244" s="284"/>
      <c r="H1244" s="211"/>
      <c r="I1244" s="224"/>
      <c r="J1244" s="347"/>
      <c r="K1244" s="69"/>
      <c r="L1244" s="285"/>
      <c r="M1244" s="116"/>
      <c r="N1244" s="212"/>
    </row>
    <row r="1245" spans="2:14" ht="15" x14ac:dyDescent="0.25">
      <c r="B1245" s="37"/>
      <c r="C1245" s="78"/>
      <c r="D1245" s="109"/>
      <c r="E1245" s="68"/>
      <c r="F1245" s="68"/>
      <c r="G1245" s="284"/>
      <c r="H1245" s="211"/>
      <c r="I1245" s="224"/>
      <c r="J1245" s="347"/>
      <c r="K1245" s="69"/>
      <c r="L1245" s="285"/>
      <c r="M1245" s="116"/>
      <c r="N1245" s="212"/>
    </row>
    <row r="1246" spans="2:14" ht="15" x14ac:dyDescent="0.25">
      <c r="B1246" s="37"/>
      <c r="C1246" s="283"/>
      <c r="D1246" s="109"/>
      <c r="E1246" s="68"/>
      <c r="F1246" s="68"/>
      <c r="G1246" s="284"/>
      <c r="H1246" s="211"/>
      <c r="I1246" s="224"/>
      <c r="J1246" s="347"/>
      <c r="K1246" s="69"/>
      <c r="L1246" s="285"/>
      <c r="M1246" s="116"/>
      <c r="N1246" s="212"/>
    </row>
    <row r="1247" spans="2:14" x14ac:dyDescent="0.2">
      <c r="B1247" s="37"/>
      <c r="C1247" s="286"/>
      <c r="D1247" s="37"/>
      <c r="E1247" s="60"/>
      <c r="F1247" s="60"/>
      <c r="G1247" s="213"/>
      <c r="H1247" s="211"/>
      <c r="I1247" s="224"/>
      <c r="J1247" s="347"/>
      <c r="K1247" s="69"/>
      <c r="L1247" s="285"/>
      <c r="M1247" s="116"/>
      <c r="N1247" s="212"/>
    </row>
    <row r="1248" spans="2:14" ht="15" x14ac:dyDescent="0.25">
      <c r="B1248" s="37"/>
      <c r="C1248" s="78"/>
      <c r="D1248" s="109"/>
      <c r="E1248" s="68"/>
      <c r="F1248" s="68"/>
      <c r="G1248" s="214"/>
      <c r="H1248" s="211"/>
      <c r="I1248" s="224"/>
      <c r="J1248" s="347"/>
      <c r="K1248" s="69"/>
      <c r="L1248" s="285"/>
      <c r="M1248" s="116"/>
      <c r="N1248" s="212"/>
    </row>
    <row r="1249" spans="2:14" ht="15" x14ac:dyDescent="0.25">
      <c r="B1249" s="37"/>
      <c r="C1249" s="283"/>
      <c r="D1249" s="109"/>
      <c r="E1249" s="68"/>
      <c r="F1249" s="68"/>
      <c r="G1249" s="284"/>
      <c r="H1249" s="211"/>
      <c r="I1249" s="224"/>
      <c r="J1249" s="347"/>
      <c r="K1249" s="69"/>
      <c r="L1249" s="285"/>
      <c r="M1249" s="116"/>
      <c r="N1249" s="212"/>
    </row>
    <row r="1250" spans="2:14" ht="15" x14ac:dyDescent="0.25">
      <c r="B1250" s="37"/>
      <c r="C1250" s="283"/>
      <c r="D1250" s="109"/>
      <c r="E1250" s="68"/>
      <c r="F1250" s="68"/>
      <c r="G1250" s="284"/>
      <c r="H1250" s="211"/>
      <c r="I1250" s="224"/>
      <c r="J1250" s="347"/>
      <c r="K1250" s="69"/>
      <c r="L1250" s="285"/>
      <c r="M1250" s="116"/>
      <c r="N1250" s="212"/>
    </row>
    <row r="1251" spans="2:14" ht="15" x14ac:dyDescent="0.25">
      <c r="B1251" s="37"/>
      <c r="C1251" s="66"/>
      <c r="D1251" s="287"/>
      <c r="E1251" s="68"/>
      <c r="F1251" s="68"/>
      <c r="G1251" s="214"/>
      <c r="H1251" s="211"/>
      <c r="I1251" s="224"/>
      <c r="J1251" s="347"/>
      <c r="K1251" s="69"/>
      <c r="L1251" s="285"/>
      <c r="M1251" s="116"/>
      <c r="N1251" s="212"/>
    </row>
    <row r="1252" spans="2:14" ht="15" x14ac:dyDescent="0.25">
      <c r="B1252" s="30"/>
      <c r="C1252" s="283"/>
      <c r="D1252" s="109"/>
      <c r="E1252" s="68"/>
      <c r="F1252" s="68"/>
      <c r="G1252" s="288"/>
      <c r="H1252" s="215"/>
      <c r="I1252" s="224"/>
      <c r="J1252" s="347"/>
      <c r="K1252" s="69"/>
      <c r="L1252" s="285"/>
      <c r="M1252" s="116"/>
      <c r="N1252" s="212"/>
    </row>
    <row r="1253" spans="2:14" ht="15" x14ac:dyDescent="0.25">
      <c r="B1253" s="30"/>
      <c r="C1253" s="283"/>
      <c r="D1253" s="109"/>
      <c r="E1253" s="68"/>
      <c r="F1253" s="68"/>
      <c r="G1253" s="284"/>
      <c r="H1253" s="215"/>
      <c r="I1253" s="224"/>
      <c r="J1253" s="347"/>
      <c r="K1253" s="69"/>
      <c r="L1253" s="285"/>
      <c r="M1253" s="116"/>
      <c r="N1253" s="212"/>
    </row>
    <row r="1254" spans="2:14" ht="15" x14ac:dyDescent="0.25">
      <c r="B1254" s="30"/>
      <c r="C1254" s="283"/>
      <c r="D1254" s="109"/>
      <c r="E1254" s="68"/>
      <c r="F1254" s="68"/>
      <c r="G1254" s="284"/>
      <c r="H1254" s="215"/>
      <c r="I1254" s="224"/>
      <c r="J1254" s="347"/>
      <c r="K1254" s="69"/>
      <c r="L1254" s="285"/>
      <c r="M1254" s="116"/>
      <c r="N1254" s="212"/>
    </row>
    <row r="1255" spans="2:14" ht="15" x14ac:dyDescent="0.25">
      <c r="B1255" s="65"/>
      <c r="C1255" s="283"/>
      <c r="D1255" s="109"/>
      <c r="E1255" s="68"/>
      <c r="F1255" s="68"/>
      <c r="G1255" s="284"/>
      <c r="H1255" s="215"/>
      <c r="I1255" s="224"/>
      <c r="J1255" s="347"/>
      <c r="K1255" s="69"/>
      <c r="L1255" s="285"/>
      <c r="M1255" s="116"/>
      <c r="N1255" s="212"/>
    </row>
    <row r="1256" spans="2:14" ht="15" x14ac:dyDescent="0.25">
      <c r="B1256" s="65"/>
      <c r="C1256" s="283"/>
      <c r="D1256" s="109"/>
      <c r="E1256" s="68"/>
      <c r="F1256" s="68"/>
      <c r="G1256" s="284"/>
      <c r="H1256" s="215"/>
      <c r="I1256" s="224"/>
      <c r="J1256" s="347"/>
      <c r="K1256" s="69"/>
      <c r="L1256" s="285"/>
      <c r="M1256" s="116"/>
      <c r="N1256" s="212"/>
    </row>
    <row r="1257" spans="2:14" ht="15" x14ac:dyDescent="0.25">
      <c r="B1257" s="30"/>
      <c r="C1257" s="78"/>
      <c r="D1257" s="109"/>
      <c r="E1257" s="68"/>
      <c r="F1257" s="68"/>
      <c r="G1257" s="214"/>
      <c r="H1257" s="215"/>
      <c r="I1257" s="224"/>
      <c r="J1257" s="347"/>
      <c r="K1257" s="69"/>
      <c r="L1257" s="285"/>
      <c r="M1257" s="116"/>
      <c r="N1257" s="212"/>
    </row>
    <row r="1258" spans="2:14" ht="15" x14ac:dyDescent="0.25">
      <c r="B1258" s="65"/>
      <c r="C1258" s="283"/>
      <c r="D1258" s="109"/>
      <c r="E1258" s="68"/>
      <c r="F1258" s="68"/>
      <c r="G1258" s="284"/>
      <c r="H1258" s="215"/>
      <c r="I1258" s="224"/>
      <c r="J1258" s="347"/>
      <c r="K1258" s="69"/>
      <c r="L1258" s="285"/>
      <c r="M1258" s="116"/>
      <c r="N1258" s="212"/>
    </row>
    <row r="1259" spans="2:14" ht="15" x14ac:dyDescent="0.25">
      <c r="B1259" s="65"/>
      <c r="C1259" s="283"/>
      <c r="D1259" s="109"/>
      <c r="E1259" s="68"/>
      <c r="F1259" s="68"/>
      <c r="G1259" s="284"/>
      <c r="H1259" s="215"/>
      <c r="I1259" s="224"/>
      <c r="J1259" s="347"/>
      <c r="K1259" s="69"/>
      <c r="L1259" s="285"/>
      <c r="M1259" s="116"/>
      <c r="N1259" s="212"/>
    </row>
    <row r="1260" spans="2:14" ht="15" x14ac:dyDescent="0.25">
      <c r="B1260" s="65"/>
      <c r="C1260" s="283"/>
      <c r="D1260" s="109"/>
      <c r="E1260" s="68"/>
      <c r="F1260" s="68"/>
      <c r="G1260" s="284"/>
      <c r="H1260" s="215"/>
      <c r="I1260" s="224"/>
      <c r="J1260" s="347"/>
      <c r="K1260" s="69"/>
      <c r="L1260" s="285"/>
      <c r="M1260" s="116"/>
      <c r="N1260" s="212"/>
    </row>
    <row r="1261" spans="2:14" ht="15" x14ac:dyDescent="0.25">
      <c r="B1261" s="65"/>
      <c r="C1261" s="283"/>
      <c r="D1261" s="109"/>
      <c r="E1261" s="68"/>
      <c r="F1261" s="68"/>
      <c r="G1261" s="284"/>
      <c r="H1261" s="215"/>
      <c r="I1261" s="224"/>
      <c r="J1261" s="347"/>
      <c r="K1261" s="69"/>
      <c r="L1261" s="285"/>
      <c r="M1261" s="116"/>
      <c r="N1261" s="212"/>
    </row>
    <row r="1262" spans="2:14" ht="15" x14ac:dyDescent="0.25">
      <c r="B1262" s="65"/>
      <c r="C1262" s="283"/>
      <c r="D1262" s="109"/>
      <c r="E1262" s="68"/>
      <c r="F1262" s="68"/>
      <c r="G1262" s="284"/>
      <c r="H1262" s="215"/>
      <c r="I1262" s="224"/>
      <c r="J1262" s="347"/>
      <c r="K1262" s="69"/>
      <c r="L1262" s="285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7"/>
      <c r="K1263" s="69"/>
      <c r="L1263" s="285"/>
      <c r="M1263" s="116"/>
      <c r="N1263" s="212"/>
    </row>
    <row r="1264" spans="2:14" ht="15" x14ac:dyDescent="0.25">
      <c r="B1264" s="65"/>
      <c r="C1264" s="78"/>
      <c r="D1264" s="109"/>
      <c r="E1264" s="68"/>
      <c r="F1264" s="68"/>
      <c r="G1264" s="214"/>
      <c r="H1264" s="215"/>
      <c r="I1264" s="224"/>
      <c r="J1264" s="347"/>
      <c r="K1264" s="69"/>
      <c r="L1264" s="285"/>
      <c r="M1264" s="116"/>
      <c r="N1264" s="212"/>
    </row>
    <row r="1265" spans="2:14" ht="15" x14ac:dyDescent="0.25">
      <c r="B1265" s="65"/>
      <c r="C1265" s="283"/>
      <c r="D1265" s="109"/>
      <c r="E1265" s="68"/>
      <c r="F1265" s="68"/>
      <c r="G1265" s="284"/>
      <c r="H1265" s="215"/>
      <c r="I1265" s="224"/>
      <c r="J1265" s="347"/>
      <c r="K1265" s="69"/>
      <c r="L1265" s="285"/>
      <c r="M1265" s="116"/>
      <c r="N1265" s="212"/>
    </row>
    <row r="1266" spans="2:14" ht="15" x14ac:dyDescent="0.25">
      <c r="B1266" s="65"/>
      <c r="C1266" s="283"/>
      <c r="D1266" s="109"/>
      <c r="E1266" s="68"/>
      <c r="F1266" s="68"/>
      <c r="G1266" s="284"/>
      <c r="H1266" s="215"/>
      <c r="I1266" s="224"/>
      <c r="J1266" s="347"/>
      <c r="K1266" s="69"/>
      <c r="L1266" s="285"/>
      <c r="M1266" s="116"/>
      <c r="N1266" s="212"/>
    </row>
    <row r="1267" spans="2:14" ht="15" x14ac:dyDescent="0.25">
      <c r="B1267" s="65"/>
      <c r="C1267" s="283"/>
      <c r="D1267" s="109"/>
      <c r="E1267" s="68"/>
      <c r="F1267" s="68"/>
      <c r="G1267" s="284"/>
      <c r="H1267" s="215"/>
      <c r="I1267" s="224"/>
      <c r="J1267" s="347"/>
      <c r="K1267" s="69"/>
      <c r="L1267" s="285"/>
      <c r="M1267" s="116"/>
      <c r="N1267" s="212"/>
    </row>
    <row r="1268" spans="2:14" ht="15" x14ac:dyDescent="0.25">
      <c r="B1268" s="30"/>
      <c r="C1268" s="283"/>
      <c r="D1268" s="109"/>
      <c r="E1268" s="68"/>
      <c r="F1268" s="68"/>
      <c r="G1268" s="284"/>
      <c r="H1268" s="215"/>
      <c r="I1268" s="224"/>
      <c r="J1268" s="347"/>
      <c r="K1268" s="69"/>
      <c r="L1268" s="216"/>
      <c r="M1268" s="116"/>
      <c r="N1268" s="212"/>
    </row>
    <row r="1269" spans="2:14" ht="15" x14ac:dyDescent="0.25">
      <c r="B1269" s="65"/>
      <c r="C1269" s="283"/>
      <c r="D1269" s="109"/>
      <c r="E1269" s="68"/>
      <c r="F1269" s="68"/>
      <c r="G1269" s="284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65"/>
      <c r="C1270" s="78"/>
      <c r="D1270" s="109"/>
      <c r="E1270" s="68"/>
      <c r="F1270" s="68"/>
      <c r="G1270" s="21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65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16"/>
      <c r="M1271" s="116"/>
      <c r="N1271" s="212"/>
    </row>
    <row r="1272" spans="2:14" ht="15" x14ac:dyDescent="0.25">
      <c r="B1272" s="65"/>
      <c r="C1272" s="78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16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78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4"/>
      <c r="H1280" s="215"/>
      <c r="I1280" s="224"/>
      <c r="J1280" s="347"/>
      <c r="K1280" s="69"/>
      <c r="L1280" s="216"/>
      <c r="M1280" s="116"/>
      <c r="N1280" s="212"/>
    </row>
    <row r="1281" spans="2:14" ht="15" x14ac:dyDescent="0.25">
      <c r="B1281" s="30"/>
      <c r="C1281" s="78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30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30"/>
      <c r="C1284" s="78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9"/>
      <c r="D1285" s="290"/>
      <c r="E1285" s="291"/>
      <c r="F1285" s="291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30"/>
      <c r="C1286" s="78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78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x14ac:dyDescent="0.2">
      <c r="B1289" s="30"/>
      <c r="C1289" s="78"/>
      <c r="D1289" s="109"/>
      <c r="E1289" s="68"/>
      <c r="F1289" s="68"/>
      <c r="G1289" s="288"/>
      <c r="H1289" s="211"/>
      <c r="I1289" s="224"/>
      <c r="J1289" s="347"/>
      <c r="K1289" s="80"/>
      <c r="L1289" s="285"/>
      <c r="M1289" s="116"/>
      <c r="N1289" s="212"/>
    </row>
    <row r="1290" spans="2:14" ht="15" x14ac:dyDescent="0.25">
      <c r="B1290" s="30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30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65"/>
      <c r="C1308" s="78"/>
      <c r="D1308" s="109"/>
      <c r="E1308" s="68"/>
      <c r="F1308" s="68"/>
      <c r="G1308" s="21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30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292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1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1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93"/>
      <c r="J1327" s="348"/>
      <c r="K1327" s="69"/>
      <c r="L1327" s="285"/>
      <c r="M1327" s="116"/>
      <c r="N1327" s="212"/>
    </row>
    <row r="1328" spans="2:14" ht="15" x14ac:dyDescent="0.25">
      <c r="B1328" s="292"/>
      <c r="C1328" s="78"/>
      <c r="D1328" s="109"/>
      <c r="E1328" s="68"/>
      <c r="F1328" s="68"/>
      <c r="G1328" s="214"/>
      <c r="H1328" s="215"/>
      <c r="I1328" s="293"/>
      <c r="J1328" s="348"/>
      <c r="K1328" s="69"/>
      <c r="L1328" s="285"/>
      <c r="M1328" s="116"/>
      <c r="N1328" s="212"/>
    </row>
    <row r="1329" spans="2:14" ht="15" x14ac:dyDescent="0.25">
      <c r="B1329" s="292"/>
      <c r="C1329" s="78"/>
      <c r="D1329" s="109"/>
      <c r="E1329" s="68"/>
      <c r="F1329" s="68"/>
      <c r="G1329" s="284"/>
      <c r="H1329" s="215"/>
      <c r="I1329" s="293"/>
      <c r="J1329" s="348"/>
      <c r="K1329" s="69"/>
      <c r="L1329" s="285"/>
      <c r="M1329" s="116"/>
      <c r="N1329" s="212"/>
    </row>
    <row r="1330" spans="2:14" ht="15" x14ac:dyDescent="0.25">
      <c r="B1330" s="292"/>
      <c r="C1330" s="78"/>
      <c r="D1330" s="109"/>
      <c r="E1330" s="68"/>
      <c r="F1330" s="68"/>
      <c r="G1330" s="214"/>
      <c r="H1330" s="215"/>
      <c r="I1330" s="293"/>
      <c r="J1330" s="348"/>
      <c r="K1330" s="69"/>
      <c r="L1330" s="285"/>
      <c r="M1330" s="116"/>
      <c r="N1330" s="212"/>
    </row>
    <row r="1331" spans="2:14" ht="15" x14ac:dyDescent="0.25">
      <c r="B1331" s="292"/>
      <c r="C1331" s="78"/>
      <c r="D1331" s="109"/>
      <c r="E1331" s="68"/>
      <c r="F1331" s="68"/>
      <c r="G1331" s="288"/>
      <c r="H1331" s="215"/>
      <c r="I1331" s="293"/>
      <c r="J1331" s="348"/>
      <c r="K1331" s="69"/>
      <c r="L1331" s="285"/>
      <c r="M1331" s="116"/>
      <c r="N1331" s="212"/>
    </row>
    <row r="1332" spans="2:14" ht="15" x14ac:dyDescent="0.25">
      <c r="B1332" s="292"/>
      <c r="C1332" s="78"/>
      <c r="D1332" s="109"/>
      <c r="E1332" s="68"/>
      <c r="F1332" s="68"/>
      <c r="G1332" s="284"/>
      <c r="H1332" s="215"/>
      <c r="I1332" s="293"/>
      <c r="J1332" s="348"/>
      <c r="K1332" s="69"/>
      <c r="L1332" s="285"/>
      <c r="M1332" s="116"/>
      <c r="N1332" s="212"/>
    </row>
    <row r="1333" spans="2:14" ht="15" x14ac:dyDescent="0.25">
      <c r="B1333" s="292"/>
      <c r="C1333" s="78"/>
      <c r="D1333" s="109"/>
      <c r="E1333" s="68"/>
      <c r="F1333" s="68"/>
      <c r="G1333" s="284"/>
      <c r="H1333" s="215"/>
      <c r="I1333" s="293"/>
      <c r="J1333" s="348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13"/>
      <c r="H1334" s="215"/>
      <c r="I1334" s="293"/>
      <c r="J1334" s="348"/>
      <c r="K1334" s="69"/>
      <c r="L1334" s="285"/>
      <c r="M1334" s="116"/>
      <c r="N1334" s="212"/>
    </row>
    <row r="1335" spans="2:14" x14ac:dyDescent="0.2">
      <c r="B1335" s="292"/>
      <c r="C1335" s="78"/>
      <c r="D1335" s="109"/>
      <c r="E1335" s="68"/>
      <c r="F1335" s="68"/>
      <c r="G1335" s="288"/>
      <c r="H1335" s="211"/>
      <c r="I1335" s="224"/>
      <c r="J1335" s="347"/>
      <c r="K1335" s="80"/>
      <c r="L1335" s="216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8"/>
      <c r="H1336" s="215"/>
      <c r="I1336" s="293"/>
      <c r="J1336" s="348"/>
      <c r="K1336" s="69"/>
      <c r="L1336" s="285"/>
      <c r="M1336" s="116"/>
      <c r="N1336" s="212"/>
    </row>
    <row r="1337" spans="2:14" ht="15" x14ac:dyDescent="0.25">
      <c r="B1337" s="65"/>
      <c r="C1337" s="289"/>
      <c r="D1337" s="290"/>
      <c r="E1337" s="294"/>
      <c r="F1337" s="295"/>
      <c r="G1337" s="296"/>
      <c r="H1337" s="215"/>
      <c r="I1337" s="293"/>
      <c r="J1337" s="348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77"/>
      <c r="G1338" s="284"/>
      <c r="H1338" s="215"/>
      <c r="I1338" s="293"/>
      <c r="J1338" s="348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77"/>
      <c r="G1339" s="284"/>
      <c r="H1339" s="215"/>
      <c r="I1339" s="293"/>
      <c r="J1339" s="348"/>
      <c r="K1339" s="69"/>
      <c r="L1339" s="285"/>
      <c r="M1339" s="116"/>
      <c r="N1339" s="212"/>
    </row>
    <row r="1340" spans="2:14" ht="15" x14ac:dyDescent="0.25">
      <c r="B1340" s="292"/>
      <c r="C1340" s="78"/>
      <c r="D1340" s="109"/>
      <c r="E1340" s="297"/>
      <c r="F1340" s="298"/>
      <c r="G1340" s="299"/>
      <c r="H1340" s="300"/>
      <c r="I1340" s="301"/>
      <c r="J1340" s="349"/>
      <c r="K1340" s="69"/>
      <c r="L1340" s="285"/>
      <c r="M1340" s="116"/>
      <c r="N1340" s="212"/>
    </row>
    <row r="1341" spans="2:14" ht="15" x14ac:dyDescent="0.25">
      <c r="B1341" s="292"/>
      <c r="C1341" s="78"/>
      <c r="D1341" s="109"/>
      <c r="E1341" s="68"/>
      <c r="F1341" s="77"/>
      <c r="G1341" s="284"/>
      <c r="H1341" s="215"/>
      <c r="I1341" s="293"/>
      <c r="J1341" s="348"/>
      <c r="K1341" s="69"/>
      <c r="L1341" s="285"/>
      <c r="M1341" s="116"/>
      <c r="N1341" s="212"/>
    </row>
    <row r="1342" spans="2:14" ht="15" x14ac:dyDescent="0.25">
      <c r="B1342" s="292"/>
      <c r="C1342" s="78"/>
      <c r="D1342" s="109"/>
      <c r="E1342" s="68"/>
      <c r="F1342" s="77"/>
      <c r="G1342" s="284"/>
      <c r="H1342" s="215"/>
      <c r="I1342" s="293"/>
      <c r="J1342" s="348"/>
      <c r="K1342" s="69"/>
      <c r="L1342" s="285"/>
      <c r="M1342" s="116"/>
      <c r="N1342" s="212"/>
    </row>
    <row r="1343" spans="2:14" ht="15" x14ac:dyDescent="0.25">
      <c r="B1343" s="292"/>
      <c r="C1343" s="78"/>
      <c r="D1343" s="109"/>
      <c r="E1343" s="68"/>
      <c r="F1343" s="77"/>
      <c r="G1343" s="214"/>
      <c r="H1343" s="215"/>
      <c r="I1343" s="293"/>
      <c r="J1343" s="348"/>
      <c r="K1343" s="69"/>
      <c r="L1343" s="216"/>
      <c r="M1343" s="116"/>
      <c r="N1343" s="212"/>
    </row>
    <row r="1344" spans="2:14" ht="15" x14ac:dyDescent="0.25">
      <c r="B1344" s="292"/>
      <c r="C1344" s="78"/>
      <c r="D1344" s="109"/>
      <c r="E1344" s="68"/>
      <c r="F1344" s="77"/>
      <c r="G1344" s="28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77"/>
      <c r="G1345" s="28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65"/>
      <c r="C1346" s="289"/>
      <c r="D1346" s="290"/>
      <c r="E1346" s="291"/>
      <c r="F1346" s="284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65"/>
      <c r="C1347" s="66"/>
      <c r="D1347" s="109"/>
      <c r="E1347" s="68"/>
      <c r="F1347" s="77"/>
      <c r="G1347" s="296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65"/>
      <c r="C1350" s="78"/>
      <c r="D1350" s="109"/>
      <c r="E1350" s="68"/>
      <c r="F1350" s="77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77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77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77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77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66"/>
      <c r="D1355" s="109"/>
      <c r="E1355" s="68"/>
      <c r="F1355" s="77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292"/>
      <c r="C1356" s="78"/>
      <c r="D1356" s="109"/>
      <c r="E1356" s="68"/>
      <c r="F1356" s="77"/>
      <c r="G1356" s="21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1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8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91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91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68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14"/>
      <c r="H1368" s="215"/>
      <c r="I1368" s="293"/>
      <c r="J1368" s="348"/>
      <c r="K1368" s="69"/>
      <c r="L1368" s="285"/>
      <c r="M1368" s="116"/>
      <c r="N1368" s="212"/>
    </row>
    <row r="1369" spans="2:14" x14ac:dyDescent="0.2">
      <c r="B1369" s="65"/>
      <c r="C1369" s="78"/>
      <c r="D1369" s="109"/>
      <c r="E1369" s="68"/>
      <c r="F1369" s="77"/>
      <c r="G1369" s="302"/>
      <c r="H1369" s="211"/>
      <c r="I1369" s="224"/>
      <c r="J1369" s="347"/>
      <c r="K1369" s="80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66"/>
      <c r="D1371" s="109"/>
      <c r="E1371" s="68"/>
      <c r="F1371" s="77"/>
      <c r="G1371" s="296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65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65"/>
      <c r="C1375" s="66"/>
      <c r="D1375" s="109"/>
      <c r="E1375" s="68"/>
      <c r="F1375" s="77"/>
      <c r="G1375" s="296"/>
      <c r="H1375" s="303"/>
      <c r="I1375" s="225"/>
      <c r="J1375" s="350"/>
      <c r="K1375" s="69"/>
      <c r="L1375" s="285"/>
      <c r="M1375" s="116"/>
      <c r="N1375" s="212"/>
    </row>
    <row r="1376" spans="2:14" ht="15" x14ac:dyDescent="0.25">
      <c r="B1376" s="65"/>
      <c r="C1376" s="289"/>
      <c r="D1376" s="290"/>
      <c r="E1376" s="291"/>
      <c r="F1376" s="304"/>
      <c r="G1376" s="284"/>
      <c r="H1376" s="303"/>
      <c r="I1376" s="225"/>
      <c r="J1376" s="350"/>
      <c r="K1376" s="69"/>
      <c r="L1376" s="285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6"/>
      <c r="H1377" s="303"/>
      <c r="I1377" s="225"/>
      <c r="J1377" s="350"/>
      <c r="K1377" s="69"/>
      <c r="L1377" s="285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6"/>
      <c r="H1378" s="303"/>
      <c r="I1378" s="225"/>
      <c r="J1378" s="350"/>
      <c r="K1378" s="69"/>
      <c r="L1378" s="285"/>
      <c r="M1378" s="116"/>
      <c r="N1378" s="212"/>
    </row>
    <row r="1379" spans="2:14" ht="15" x14ac:dyDescent="0.25">
      <c r="B1379" s="65"/>
      <c r="C1379" s="66"/>
      <c r="D1379" s="109"/>
      <c r="E1379" s="68"/>
      <c r="F1379" s="77"/>
      <c r="G1379" s="296"/>
      <c r="H1379" s="303"/>
      <c r="I1379" s="225"/>
      <c r="J1379" s="350"/>
      <c r="K1379" s="69"/>
      <c r="L1379" s="285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6"/>
      <c r="H1380" s="303"/>
      <c r="I1380" s="225"/>
      <c r="J1380" s="350"/>
      <c r="K1380" s="69"/>
      <c r="L1380" s="285"/>
      <c r="M1380" s="116"/>
      <c r="N1380" s="212"/>
    </row>
    <row r="1381" spans="2:14" ht="15" x14ac:dyDescent="0.25">
      <c r="B1381" s="91"/>
      <c r="C1381" s="66"/>
      <c r="D1381" s="109"/>
      <c r="E1381" s="68"/>
      <c r="F1381" s="77"/>
      <c r="G1381" s="296"/>
      <c r="H1381" s="303"/>
      <c r="I1381" s="225"/>
      <c r="J1381" s="350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68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6"/>
      <c r="H1383" s="303"/>
      <c r="I1383" s="225"/>
      <c r="J1383" s="350"/>
      <c r="K1383" s="69"/>
      <c r="L1383" s="285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6"/>
      <c r="H1384" s="303"/>
      <c r="I1384" s="225"/>
      <c r="J1384" s="350"/>
      <c r="K1384" s="69"/>
      <c r="L1384" s="285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6"/>
      <c r="H1385" s="303"/>
      <c r="I1385" s="225"/>
      <c r="J1385" s="350"/>
      <c r="K1385" s="69"/>
      <c r="L1385" s="285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6"/>
      <c r="H1386" s="303"/>
      <c r="I1386" s="225"/>
      <c r="J1386" s="350"/>
      <c r="K1386" s="69"/>
      <c r="L1386" s="285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6"/>
      <c r="H1387" s="303"/>
      <c r="I1387" s="225"/>
      <c r="J1387" s="350"/>
      <c r="K1387" s="69"/>
      <c r="L1387" s="285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6"/>
      <c r="H1388" s="303"/>
      <c r="I1388" s="225"/>
      <c r="J1388" s="350"/>
      <c r="K1388" s="69"/>
      <c r="L1388" s="285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6"/>
      <c r="H1389" s="303"/>
      <c r="I1389" s="225"/>
      <c r="J1389" s="350"/>
      <c r="K1389" s="69"/>
      <c r="L1389" s="285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6"/>
      <c r="H1390" s="303"/>
      <c r="I1390" s="225"/>
      <c r="J1390" s="350"/>
      <c r="K1390" s="69"/>
      <c r="L1390" s="285"/>
      <c r="M1390" s="116"/>
      <c r="N1390" s="212"/>
    </row>
    <row r="1391" spans="2:14" ht="15" x14ac:dyDescent="0.25">
      <c r="B1391" s="91"/>
      <c r="C1391" s="66"/>
      <c r="D1391" s="109"/>
      <c r="E1391" s="68"/>
      <c r="F1391" s="77"/>
      <c r="G1391" s="296"/>
      <c r="H1391" s="303"/>
      <c r="I1391" s="225"/>
      <c r="J1391" s="350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78"/>
      <c r="D1395" s="109"/>
      <c r="E1395" s="68"/>
      <c r="F1395" s="77"/>
      <c r="G1395" s="21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78"/>
      <c r="D1396" s="109"/>
      <c r="E1396" s="68"/>
      <c r="F1396" s="77"/>
      <c r="G1396" s="21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68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68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68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78"/>
      <c r="D1411" s="109"/>
      <c r="E1411" s="68"/>
      <c r="F1411" s="77"/>
      <c r="G1411" s="21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23"/>
      <c r="D1414" s="37"/>
      <c r="E1414" s="60"/>
      <c r="F1414" s="26"/>
      <c r="G1414" s="2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305"/>
      <c r="H1416" s="215"/>
      <c r="I1416" s="293"/>
      <c r="J1416" s="348"/>
      <c r="K1416" s="69"/>
      <c r="L1416" s="216"/>
      <c r="M1416" s="116"/>
      <c r="N1416" s="212"/>
    </row>
    <row r="1417" spans="2:14" ht="15" x14ac:dyDescent="0.25">
      <c r="B1417" s="91"/>
      <c r="C1417" s="78"/>
      <c r="D1417" s="109"/>
      <c r="E1417" s="68"/>
      <c r="F1417" s="77"/>
      <c r="G1417" s="302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78"/>
      <c r="D1421" s="109"/>
      <c r="E1421" s="68"/>
      <c r="F1421" s="77"/>
      <c r="G1421" s="214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23"/>
      <c r="D1424" s="37"/>
      <c r="E1424" s="60"/>
      <c r="F1424" s="26"/>
      <c r="G1424" s="104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23"/>
      <c r="D1427" s="290"/>
      <c r="E1427" s="291"/>
      <c r="F1427" s="304"/>
      <c r="G1427" s="28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91"/>
      <c r="C1430" s="66"/>
      <c r="D1430" s="109"/>
      <c r="E1430" s="68"/>
      <c r="F1430" s="77"/>
      <c r="G1430" s="296"/>
      <c r="H1430" s="303"/>
      <c r="I1430" s="225"/>
      <c r="J1430" s="350"/>
      <c r="K1430" s="80"/>
      <c r="L1430" s="285"/>
      <c r="M1430" s="116"/>
      <c r="N1430" s="212"/>
    </row>
    <row r="1431" spans="2:14" ht="15" x14ac:dyDescent="0.25">
      <c r="B1431" s="91"/>
      <c r="C1431" s="23"/>
      <c r="D1431" s="37"/>
      <c r="E1431" s="60"/>
      <c r="F1431" s="26"/>
      <c r="G1431" s="10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6"/>
      <c r="H1432" s="303"/>
      <c r="I1432" s="225"/>
      <c r="J1432" s="350"/>
      <c r="K1432" s="27"/>
      <c r="L1432" s="285"/>
      <c r="M1432" s="116"/>
      <c r="N1432" s="212"/>
    </row>
    <row r="1433" spans="2:14" ht="15" x14ac:dyDescent="0.25">
      <c r="B1433" s="91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214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290"/>
      <c r="L1439" s="285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10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65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286"/>
      <c r="D1442" s="286"/>
      <c r="E1442" s="306"/>
      <c r="F1442" s="307"/>
      <c r="G1442" s="307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78"/>
      <c r="D1443" s="109"/>
      <c r="E1443" s="68"/>
      <c r="F1443" s="77"/>
      <c r="G1443" s="214"/>
      <c r="H1443" s="215"/>
      <c r="I1443" s="293"/>
      <c r="J1443" s="348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65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65"/>
      <c r="C1452" s="78"/>
      <c r="D1452" s="109"/>
      <c r="E1452" s="68"/>
      <c r="F1452" s="77"/>
      <c r="G1452" s="308"/>
      <c r="H1452" s="215"/>
      <c r="I1452" s="293"/>
      <c r="J1452" s="348"/>
      <c r="K1452" s="69"/>
      <c r="L1452" s="216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309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309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51"/>
      <c r="K1455" s="69"/>
      <c r="L1455" s="285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104"/>
      <c r="H1456" s="121"/>
      <c r="I1456" s="107"/>
      <c r="J1456" s="351"/>
      <c r="K1456" s="69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310"/>
      <c r="H1457" s="121"/>
      <c r="I1457" s="107"/>
      <c r="J1457" s="351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121"/>
      <c r="I1458" s="107"/>
      <c r="J1458" s="351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121"/>
      <c r="I1459" s="107"/>
      <c r="J1459" s="351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121"/>
      <c r="I1460" s="107"/>
      <c r="J1460" s="351"/>
      <c r="K1460" s="69"/>
      <c r="L1460" s="285"/>
      <c r="M1460" s="116"/>
      <c r="N1460" s="212"/>
    </row>
    <row r="1461" spans="2:14" ht="15" x14ac:dyDescent="0.25">
      <c r="B1461" s="91"/>
      <c r="C1461" s="78"/>
      <c r="D1461" s="109"/>
      <c r="E1461" s="68"/>
      <c r="F1461" s="77"/>
      <c r="G1461" s="311"/>
      <c r="H1461" s="121"/>
      <c r="I1461" s="107"/>
      <c r="J1461" s="351"/>
      <c r="K1461" s="69"/>
      <c r="L1461" s="285"/>
      <c r="M1461" s="116"/>
      <c r="N1461" s="212"/>
    </row>
    <row r="1462" spans="2:14" ht="15" x14ac:dyDescent="0.25">
      <c r="B1462" s="91"/>
      <c r="C1462" s="66"/>
      <c r="D1462" s="109"/>
      <c r="E1462" s="68"/>
      <c r="F1462" s="77"/>
      <c r="G1462" s="104"/>
      <c r="H1462" s="121"/>
      <c r="I1462" s="107"/>
      <c r="J1462" s="351"/>
      <c r="K1462" s="69"/>
      <c r="L1462" s="285"/>
      <c r="M1462" s="116"/>
      <c r="N1462" s="212"/>
    </row>
    <row r="1463" spans="2:14" ht="15" x14ac:dyDescent="0.25">
      <c r="B1463" s="91"/>
      <c r="C1463" s="66"/>
      <c r="D1463" s="109"/>
      <c r="E1463" s="68"/>
      <c r="F1463" s="68"/>
      <c r="G1463" s="104"/>
      <c r="H1463" s="121"/>
      <c r="I1463" s="107"/>
      <c r="J1463" s="351"/>
      <c r="K1463" s="69"/>
      <c r="L1463" s="285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296"/>
      <c r="H1464" s="121"/>
      <c r="I1464" s="107"/>
      <c r="J1464" s="351"/>
      <c r="K1464" s="69"/>
      <c r="L1464" s="285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51"/>
      <c r="K1465" s="69"/>
      <c r="L1465" s="285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51"/>
      <c r="K1466" s="69"/>
      <c r="L1466" s="285"/>
      <c r="M1466" s="116"/>
      <c r="N1466" s="212"/>
    </row>
    <row r="1467" spans="2:14" ht="15" x14ac:dyDescent="0.25">
      <c r="B1467" s="91"/>
      <c r="C1467" s="66"/>
      <c r="D1467" s="109"/>
      <c r="E1467" s="68"/>
      <c r="F1467" s="77"/>
      <c r="G1467" s="104"/>
      <c r="H1467" s="121"/>
      <c r="I1467" s="107"/>
      <c r="J1467" s="351"/>
      <c r="K1467" s="69"/>
      <c r="L1467" s="285"/>
      <c r="M1467" s="116"/>
      <c r="N1467" s="212"/>
    </row>
    <row r="1468" spans="2:14" ht="15" x14ac:dyDescent="0.25">
      <c r="B1468" s="65"/>
      <c r="C1468" s="78"/>
      <c r="D1468" s="109"/>
      <c r="E1468" s="68"/>
      <c r="F1468" s="77"/>
      <c r="G1468" s="311"/>
      <c r="H1468" s="312"/>
      <c r="I1468" s="313"/>
      <c r="J1468" s="352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51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51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104"/>
      <c r="H1471" s="121"/>
      <c r="I1471" s="107"/>
      <c r="J1471" s="351"/>
      <c r="K1471" s="69"/>
      <c r="L1471" s="285"/>
      <c r="M1471" s="116"/>
      <c r="N1471" s="212"/>
    </row>
    <row r="1472" spans="2:14" ht="15" x14ac:dyDescent="0.25">
      <c r="B1472" s="91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91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91"/>
      <c r="C1474" s="78"/>
      <c r="D1474" s="109"/>
      <c r="E1474" s="68"/>
      <c r="F1474" s="77"/>
      <c r="G1474" s="311"/>
      <c r="H1474" s="312"/>
      <c r="I1474" s="313"/>
      <c r="J1474" s="352"/>
      <c r="K1474" s="69"/>
      <c r="L1474" s="285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91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91"/>
      <c r="C1477" s="78"/>
      <c r="D1477" s="109"/>
      <c r="E1477" s="68"/>
      <c r="F1477" s="77"/>
      <c r="G1477" s="311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78"/>
      <c r="D1480" s="109"/>
      <c r="E1480" s="68"/>
      <c r="F1480" s="77"/>
      <c r="G1480" s="311"/>
      <c r="H1480" s="312"/>
      <c r="I1480" s="313"/>
      <c r="J1480" s="352"/>
      <c r="K1480" s="69"/>
      <c r="L1480" s="216"/>
      <c r="M1480" s="116"/>
      <c r="N1480" s="212"/>
    </row>
    <row r="1481" spans="2:14" ht="15.75" x14ac:dyDescent="0.25">
      <c r="B1481" s="314"/>
      <c r="C1481" s="78"/>
      <c r="D1481" s="109"/>
      <c r="E1481" s="68"/>
      <c r="F1481" s="77"/>
      <c r="G1481" s="311"/>
      <c r="H1481" s="312"/>
      <c r="I1481" s="313"/>
      <c r="J1481" s="352"/>
      <c r="K1481" s="69"/>
      <c r="L1481" s="216"/>
      <c r="M1481" s="116"/>
      <c r="N1481" s="212"/>
    </row>
    <row r="1482" spans="2:14" ht="15.75" x14ac:dyDescent="0.25">
      <c r="B1482" s="315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126"/>
      <c r="M1482" s="116"/>
      <c r="N1482" s="217"/>
    </row>
    <row r="1483" spans="2:14" ht="15.75" x14ac:dyDescent="0.25">
      <c r="B1483" s="315"/>
      <c r="C1483" s="78"/>
      <c r="D1483" s="109"/>
      <c r="E1483" s="68"/>
      <c r="F1483" s="77"/>
      <c r="G1483" s="311"/>
      <c r="H1483" s="312"/>
      <c r="I1483" s="313"/>
      <c r="J1483" s="352"/>
      <c r="K1483" s="69"/>
      <c r="L1483" s="126"/>
      <c r="M1483" s="116"/>
      <c r="N1483" s="217"/>
    </row>
    <row r="1484" spans="2:14" ht="15.75" x14ac:dyDescent="0.25">
      <c r="B1484" s="314"/>
      <c r="C1484" s="78"/>
      <c r="D1484" s="109"/>
      <c r="E1484" s="68"/>
      <c r="F1484" s="77"/>
      <c r="G1484" s="311"/>
      <c r="H1484" s="312"/>
      <c r="I1484" s="313"/>
      <c r="J1484" s="352"/>
      <c r="K1484" s="69"/>
      <c r="L1484" s="216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126"/>
      <c r="M1485" s="116"/>
      <c r="N1485" s="217"/>
    </row>
    <row r="1486" spans="2:14" ht="15" x14ac:dyDescent="0.25">
      <c r="B1486" s="91"/>
      <c r="C1486" s="316"/>
      <c r="D1486" s="65"/>
      <c r="E1486" s="68"/>
      <c r="F1486" s="117"/>
      <c r="G1486" s="117"/>
      <c r="H1486" s="121"/>
      <c r="I1486" s="107"/>
      <c r="J1486" s="351"/>
      <c r="K1486" s="69"/>
      <c r="L1486" s="126"/>
      <c r="M1486" s="116"/>
      <c r="N1486" s="217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126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126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126"/>
      <c r="M1491" s="116"/>
      <c r="N1491" s="212"/>
    </row>
    <row r="1492" spans="2:14" ht="15" x14ac:dyDescent="0.25">
      <c r="B1492" s="65"/>
      <c r="C1492" s="78"/>
      <c r="D1492" s="109"/>
      <c r="E1492" s="68"/>
      <c r="F1492" s="77"/>
      <c r="G1492" s="311"/>
      <c r="H1492" s="312"/>
      <c r="I1492" s="107"/>
      <c r="J1492" s="351"/>
      <c r="K1492" s="69"/>
      <c r="L1492" s="126"/>
      <c r="M1492" s="116"/>
      <c r="N1492" s="212"/>
    </row>
    <row r="1493" spans="2:14" ht="15" x14ac:dyDescent="0.25">
      <c r="B1493" s="65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126"/>
      <c r="M1495" s="116"/>
      <c r="N1495" s="212"/>
    </row>
    <row r="1496" spans="2:14" ht="15" x14ac:dyDescent="0.25">
      <c r="B1496" s="65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16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" x14ac:dyDescent="0.25">
      <c r="B1498" s="65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16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65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3"/>
      <c r="I1507" s="107"/>
      <c r="J1507" s="351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80"/>
      <c r="L1508" s="126"/>
      <c r="M1508" s="117"/>
      <c r="N1508" s="217"/>
    </row>
    <row r="1509" spans="2:14" ht="15" x14ac:dyDescent="0.25">
      <c r="B1509" s="37"/>
      <c r="C1509" s="66"/>
      <c r="D1509" s="109"/>
      <c r="E1509" s="68"/>
      <c r="F1509" s="77"/>
      <c r="G1509" s="104"/>
      <c r="H1509" s="123"/>
      <c r="I1509" s="107"/>
      <c r="J1509" s="351"/>
      <c r="K1509" s="80"/>
      <c r="L1509" s="126"/>
      <c r="M1509" s="116"/>
      <c r="N1509" s="217"/>
    </row>
    <row r="1510" spans="2:14" ht="15" x14ac:dyDescent="0.25">
      <c r="B1510" s="37"/>
      <c r="C1510" s="66"/>
      <c r="D1510" s="109"/>
      <c r="E1510" s="68"/>
      <c r="F1510" s="68"/>
      <c r="G1510" s="104"/>
      <c r="H1510" s="121"/>
      <c r="I1510" s="107"/>
      <c r="J1510" s="351"/>
      <c r="K1510" s="69"/>
      <c r="L1510" s="126"/>
      <c r="M1510" s="116"/>
      <c r="N1510" s="217"/>
    </row>
    <row r="1511" spans="2:14" ht="15" x14ac:dyDescent="0.25">
      <c r="B1511" s="37"/>
      <c r="C1511" s="316"/>
      <c r="D1511" s="65"/>
      <c r="E1511" s="68"/>
      <c r="F1511" s="117"/>
      <c r="G1511" s="117"/>
      <c r="H1511" s="121"/>
      <c r="I1511" s="107"/>
      <c r="J1511" s="351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7"/>
    </row>
    <row r="1517" spans="2:14" ht="15" x14ac:dyDescent="0.25">
      <c r="B1517" s="37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126"/>
      <c r="M1517" s="116"/>
      <c r="N1517" s="217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91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126"/>
      <c r="M1519" s="116"/>
      <c r="N1519" s="217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51"/>
      <c r="K1521" s="69"/>
      <c r="L1521" s="126"/>
      <c r="M1521" s="116"/>
      <c r="N1521" s="217"/>
    </row>
    <row r="1522" spans="2:14" ht="15" x14ac:dyDescent="0.25">
      <c r="B1522" s="91"/>
      <c r="C1522" s="66"/>
      <c r="D1522" s="109"/>
      <c r="E1522" s="68"/>
      <c r="F1522" s="77"/>
      <c r="G1522" s="104"/>
      <c r="H1522" s="121"/>
      <c r="I1522" s="107"/>
      <c r="J1522" s="351"/>
      <c r="K1522" s="69"/>
      <c r="L1522" s="126"/>
      <c r="M1522" s="116"/>
      <c r="N1522" s="217"/>
    </row>
    <row r="1523" spans="2:14" ht="15" x14ac:dyDescent="0.25">
      <c r="B1523" s="91"/>
      <c r="C1523" s="78"/>
      <c r="D1523" s="109"/>
      <c r="E1523" s="68"/>
      <c r="F1523" s="77"/>
      <c r="G1523" s="311"/>
      <c r="H1523" s="312"/>
      <c r="I1523" s="107"/>
      <c r="J1523" s="351"/>
      <c r="K1523" s="69"/>
      <c r="L1523" s="126"/>
      <c r="M1523" s="116"/>
      <c r="N1523" s="217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11"/>
      <c r="H1527" s="312"/>
      <c r="I1527" s="313"/>
      <c r="J1527" s="352"/>
      <c r="K1527" s="69"/>
      <c r="L1527" s="216"/>
      <c r="M1527" s="116"/>
      <c r="N1527" s="212"/>
    </row>
    <row r="1528" spans="2:14" ht="15" x14ac:dyDescent="0.25">
      <c r="B1528" s="65"/>
      <c r="C1528" s="78"/>
      <c r="D1528" s="109"/>
      <c r="E1528" s="68"/>
      <c r="F1528" s="77"/>
      <c r="G1528" s="311"/>
      <c r="H1528" s="312"/>
      <c r="I1528" s="313"/>
      <c r="J1528" s="352"/>
      <c r="K1528" s="69"/>
      <c r="L1528" s="216"/>
      <c r="M1528" s="116"/>
      <c r="N1528" s="212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91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65"/>
      <c r="C1533" s="78"/>
      <c r="D1533" s="109"/>
      <c r="E1533" s="68"/>
      <c r="F1533" s="77"/>
      <c r="G1533" s="311"/>
      <c r="H1533" s="312"/>
      <c r="I1533" s="107"/>
      <c r="J1533" s="351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68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123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x14ac:dyDescent="0.2">
      <c r="B1543" s="91"/>
      <c r="C1543" s="66"/>
      <c r="D1543" s="109"/>
      <c r="E1543" s="68"/>
      <c r="F1543" s="77"/>
      <c r="G1543" s="104"/>
      <c r="H1543" s="121"/>
      <c r="I1543" s="129"/>
      <c r="J1543" s="353"/>
      <c r="K1543" s="80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66"/>
      <c r="D1545" s="109"/>
      <c r="E1545" s="68"/>
      <c r="F1545" s="77"/>
      <c r="G1545" s="104"/>
      <c r="H1545" s="121"/>
      <c r="I1545" s="107"/>
      <c r="J1545" s="351"/>
      <c r="K1545" s="69"/>
      <c r="L1545" s="126"/>
      <c r="M1545" s="116"/>
      <c r="N1545" s="317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317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2"/>
    </row>
    <row r="1550" spans="2:14" ht="15" x14ac:dyDescent="0.25">
      <c r="B1550" s="65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313"/>
      <c r="J1551" s="352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313"/>
      <c r="J1552" s="352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313"/>
      <c r="J1553" s="352"/>
      <c r="K1553" s="69"/>
      <c r="L1553" s="216"/>
      <c r="M1553" s="116"/>
      <c r="N1553" s="212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313"/>
      <c r="J1554" s="352"/>
      <c r="K1554" s="69"/>
      <c r="L1554" s="216"/>
      <c r="M1554" s="116"/>
      <c r="N1554" s="212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51"/>
      <c r="K1556" s="79"/>
      <c r="L1556" s="126"/>
      <c r="M1556" s="115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91"/>
      <c r="C1559" s="66"/>
      <c r="D1559" s="109"/>
      <c r="E1559" s="68"/>
      <c r="F1559" s="77"/>
      <c r="G1559" s="104"/>
      <c r="H1559" s="121"/>
      <c r="I1559" s="107"/>
      <c r="J1559" s="351"/>
      <c r="K1559" s="79"/>
      <c r="L1559" s="126"/>
      <c r="M1559" s="115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2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107"/>
      <c r="J1565" s="351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3"/>
      <c r="I1567" s="107"/>
      <c r="J1567" s="351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7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7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107"/>
      <c r="J1570" s="351"/>
      <c r="K1570" s="69"/>
      <c r="L1570" s="126"/>
      <c r="M1570" s="116"/>
      <c r="N1570" s="217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68"/>
      <c r="G1577" s="104"/>
      <c r="H1577" s="121"/>
      <c r="I1577" s="107"/>
      <c r="J1577" s="351"/>
      <c r="K1577" s="69"/>
      <c r="L1577" s="120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3"/>
      <c r="I1578" s="107"/>
      <c r="J1578" s="351"/>
      <c r="K1578" s="69"/>
      <c r="L1578" s="120"/>
      <c r="M1578" s="116"/>
      <c r="N1578" s="218"/>
    </row>
    <row r="1579" spans="2:14" ht="15" x14ac:dyDescent="0.25">
      <c r="B1579" s="65"/>
      <c r="C1579" s="78"/>
      <c r="D1579" s="109"/>
      <c r="E1579" s="68"/>
      <c r="F1579" s="77"/>
      <c r="G1579" s="311"/>
      <c r="H1579" s="312"/>
      <c r="I1579" s="313"/>
      <c r="J1579" s="352"/>
      <c r="K1579" s="69"/>
      <c r="L1579" s="318"/>
      <c r="M1579" s="116"/>
      <c r="N1579" s="318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0"/>
      <c r="M1580" s="116"/>
      <c r="N1580" s="218"/>
    </row>
    <row r="1581" spans="2:14" ht="15" x14ac:dyDescent="0.25">
      <c r="B1581" s="65"/>
      <c r="C1581" s="78"/>
      <c r="D1581" s="109"/>
      <c r="E1581" s="68"/>
      <c r="F1581" s="77"/>
      <c r="G1581" s="311"/>
      <c r="H1581" s="312"/>
      <c r="I1581" s="313"/>
      <c r="J1581" s="352"/>
      <c r="K1581" s="69"/>
      <c r="L1581" s="318"/>
      <c r="M1581" s="116"/>
      <c r="N1581" s="318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313"/>
      <c r="J1582" s="352"/>
      <c r="K1582" s="69"/>
      <c r="L1582" s="118"/>
      <c r="M1582" s="116"/>
      <c r="N1582" s="3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18"/>
      <c r="M1583" s="116"/>
      <c r="N1583" s="318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313"/>
      <c r="J1584" s="352"/>
      <c r="K1584" s="69"/>
      <c r="L1584" s="318"/>
      <c r="M1584" s="116"/>
      <c r="N1584" s="318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313"/>
      <c r="J1585" s="352"/>
      <c r="K1585" s="69"/>
      <c r="L1585" s="318"/>
      <c r="M1585" s="116"/>
      <c r="N1585" s="318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313"/>
      <c r="J1586" s="352"/>
      <c r="K1586" s="69"/>
      <c r="L1586" s="318"/>
      <c r="M1586" s="116"/>
      <c r="N1586" s="318"/>
    </row>
    <row r="1587" spans="2:14" ht="15" x14ac:dyDescent="0.25">
      <c r="B1587" s="65"/>
      <c r="C1587" s="66"/>
      <c r="D1587" s="109"/>
      <c r="E1587" s="68"/>
      <c r="F1587" s="68"/>
      <c r="G1587" s="104"/>
      <c r="H1587" s="121"/>
      <c r="I1587" s="107"/>
      <c r="J1587" s="351"/>
      <c r="K1587" s="69"/>
      <c r="L1587" s="120"/>
      <c r="M1587" s="116"/>
      <c r="N1587" s="218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3"/>
      <c r="I1589" s="107"/>
      <c r="J1589" s="351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104"/>
      <c r="H1592" s="123"/>
      <c r="I1592" s="107"/>
      <c r="J1592" s="351"/>
      <c r="K1592" s="69"/>
      <c r="L1592" s="120"/>
      <c r="M1592" s="116"/>
      <c r="N1592" s="218"/>
    </row>
    <row r="1593" spans="2:14" ht="15" x14ac:dyDescent="0.25">
      <c r="B1593" s="65"/>
      <c r="C1593" s="66"/>
      <c r="D1593" s="109"/>
      <c r="E1593" s="68"/>
      <c r="F1593" s="77"/>
      <c r="G1593" s="311"/>
      <c r="H1593" s="123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3"/>
      <c r="I1600" s="107"/>
      <c r="J1600" s="351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20"/>
      <c r="M1602" s="116"/>
      <c r="N1602" s="218"/>
    </row>
    <row r="1603" spans="2:14" ht="15" x14ac:dyDescent="0.25">
      <c r="B1603" s="91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318"/>
      <c r="M1603" s="116"/>
      <c r="N1603" s="318"/>
    </row>
    <row r="1604" spans="2:14" ht="15" x14ac:dyDescent="0.25">
      <c r="B1604" s="91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318"/>
      <c r="M1607" s="116"/>
      <c r="N1607" s="3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18"/>
      <c r="M1608" s="116"/>
      <c r="N1608" s="3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18"/>
      <c r="M1609" s="116"/>
      <c r="N1609" s="318"/>
    </row>
    <row r="1610" spans="2:14" ht="15" x14ac:dyDescent="0.25">
      <c r="B1610" s="65"/>
      <c r="C1610" s="78"/>
      <c r="D1610" s="109"/>
      <c r="E1610" s="68"/>
      <c r="F1610" s="77"/>
      <c r="G1610" s="311"/>
      <c r="H1610" s="312"/>
      <c r="I1610" s="313"/>
      <c r="J1610" s="352"/>
      <c r="K1610" s="69"/>
      <c r="L1610" s="318"/>
      <c r="M1610" s="116"/>
      <c r="N1610" s="318"/>
    </row>
    <row r="1611" spans="2:14" ht="15" x14ac:dyDescent="0.25">
      <c r="B1611" s="65"/>
      <c r="C1611" s="78"/>
      <c r="D1611" s="109"/>
      <c r="E1611" s="68"/>
      <c r="F1611" s="77"/>
      <c r="G1611" s="311"/>
      <c r="H1611" s="312"/>
      <c r="I1611" s="313"/>
      <c r="J1611" s="352"/>
      <c r="K1611" s="69"/>
      <c r="L1611" s="318"/>
      <c r="M1611" s="116"/>
      <c r="N1611" s="319"/>
    </row>
    <row r="1612" spans="2:14" ht="15" x14ac:dyDescent="0.25">
      <c r="B1612" s="91"/>
      <c r="C1612" s="66"/>
      <c r="D1612" s="109"/>
      <c r="E1612" s="68"/>
      <c r="F1612" s="68"/>
      <c r="G1612" s="104"/>
      <c r="H1612" s="123"/>
      <c r="I1612" s="107"/>
      <c r="J1612" s="351"/>
      <c r="K1612" s="69"/>
      <c r="L1612" s="120"/>
      <c r="M1612" s="116"/>
      <c r="N1612" s="3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319"/>
    </row>
    <row r="1614" spans="2:14" ht="15" x14ac:dyDescent="0.25">
      <c r="B1614" s="91"/>
      <c r="C1614" s="78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319"/>
    </row>
    <row r="1615" spans="2:14" ht="15" x14ac:dyDescent="0.25">
      <c r="B1615" s="65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318"/>
      <c r="M1615" s="116"/>
      <c r="N1615" s="319"/>
    </row>
    <row r="1616" spans="2:14" ht="15" x14ac:dyDescent="0.25">
      <c r="B1616" s="65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318"/>
      <c r="M1616" s="116"/>
      <c r="N1616" s="319"/>
    </row>
    <row r="1617" spans="2:14" ht="15" x14ac:dyDescent="0.25">
      <c r="B1617" s="65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318"/>
      <c r="M1617" s="116"/>
      <c r="N1617" s="319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311"/>
      <c r="H1619" s="123"/>
      <c r="I1619" s="107"/>
      <c r="J1619" s="351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51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51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3"/>
      <c r="I1624" s="107"/>
      <c r="J1624" s="351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120"/>
      <c r="M1625" s="116"/>
      <c r="N1625" s="219"/>
    </row>
    <row r="1626" spans="2:14" ht="15" x14ac:dyDescent="0.25">
      <c r="B1626" s="91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311"/>
      <c r="H1628" s="123"/>
      <c r="I1628" s="107"/>
      <c r="J1628" s="351"/>
      <c r="K1628" s="69"/>
      <c r="L1628" s="120"/>
      <c r="M1628" s="116"/>
      <c r="N1628" s="219"/>
    </row>
    <row r="1629" spans="2:14" ht="15" x14ac:dyDescent="0.25">
      <c r="B1629" s="37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20"/>
      <c r="M1629" s="116"/>
      <c r="N1629" s="219"/>
    </row>
    <row r="1630" spans="2:14" ht="15" x14ac:dyDescent="0.25">
      <c r="B1630" s="37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68"/>
      <c r="G1632" s="311"/>
      <c r="H1632" s="123"/>
      <c r="I1632" s="107"/>
      <c r="J1632" s="351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219"/>
    </row>
    <row r="1634" spans="2:14" ht="15" x14ac:dyDescent="0.25">
      <c r="B1634" s="37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318"/>
      <c r="M1634" s="116"/>
      <c r="N1634" s="319"/>
    </row>
    <row r="1635" spans="2:14" ht="15" x14ac:dyDescent="0.25">
      <c r="B1635" s="37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18"/>
      <c r="M1635" s="116"/>
      <c r="N1635" s="319"/>
    </row>
    <row r="1636" spans="2:14" ht="15" x14ac:dyDescent="0.25">
      <c r="B1636" s="37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37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65"/>
      <c r="C1639" s="78"/>
      <c r="D1639" s="109"/>
      <c r="E1639" s="68"/>
      <c r="F1639" s="77"/>
      <c r="G1639" s="311"/>
      <c r="H1639" s="312"/>
      <c r="I1639" s="313"/>
      <c r="J1639" s="352"/>
      <c r="K1639" s="69"/>
      <c r="L1639" s="318"/>
      <c r="M1639" s="116"/>
      <c r="N1639" s="319"/>
    </row>
    <row r="1640" spans="2:14" ht="15" x14ac:dyDescent="0.25">
      <c r="B1640" s="65"/>
      <c r="C1640" s="78"/>
      <c r="D1640" s="109"/>
      <c r="E1640" s="68"/>
      <c r="F1640" s="77"/>
      <c r="G1640" s="311"/>
      <c r="H1640" s="312"/>
      <c r="I1640" s="313"/>
      <c r="J1640" s="352"/>
      <c r="K1640" s="69"/>
      <c r="L1640" s="318"/>
      <c r="M1640" s="116"/>
      <c r="N1640" s="3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65"/>
      <c r="C1642" s="78"/>
      <c r="D1642" s="109"/>
      <c r="E1642" s="68"/>
      <c r="F1642" s="77"/>
      <c r="G1642" s="311"/>
      <c r="H1642" s="312"/>
      <c r="I1642" s="313"/>
      <c r="J1642" s="352"/>
      <c r="K1642" s="69"/>
      <c r="L1642" s="318"/>
      <c r="M1642" s="116"/>
      <c r="N1642" s="3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68"/>
      <c r="G1645" s="104"/>
      <c r="H1645" s="121"/>
      <c r="I1645" s="107"/>
      <c r="J1645" s="351"/>
      <c r="K1645" s="69"/>
      <c r="L1645" s="318"/>
      <c r="M1645" s="116"/>
      <c r="N1645" s="319"/>
    </row>
    <row r="1646" spans="2:14" ht="15" x14ac:dyDescent="0.25">
      <c r="B1646" s="65"/>
      <c r="C1646" s="78"/>
      <c r="D1646" s="109"/>
      <c r="E1646" s="68"/>
      <c r="F1646" s="77"/>
      <c r="G1646" s="311"/>
      <c r="H1646" s="312"/>
      <c r="I1646" s="313"/>
      <c r="J1646" s="352"/>
      <c r="K1646" s="69"/>
      <c r="L1646" s="318"/>
      <c r="M1646" s="116"/>
      <c r="N1646" s="319"/>
    </row>
    <row r="1647" spans="2:14" ht="15" x14ac:dyDescent="0.25">
      <c r="B1647" s="65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318"/>
      <c r="M1647" s="116"/>
      <c r="N1647" s="319"/>
    </row>
    <row r="1648" spans="2:14" ht="15" x14ac:dyDescent="0.25">
      <c r="B1648" s="65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318"/>
      <c r="M1648" s="116"/>
      <c r="N1648" s="319"/>
    </row>
    <row r="1649" spans="2:14" ht="15" x14ac:dyDescent="0.25">
      <c r="B1649" s="65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318"/>
      <c r="M1649" s="116"/>
      <c r="N1649" s="319"/>
    </row>
    <row r="1650" spans="2:14" ht="15" x14ac:dyDescent="0.25">
      <c r="B1650" s="65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318"/>
      <c r="M1650" s="116"/>
      <c r="N1650" s="319"/>
    </row>
    <row r="1651" spans="2:14" ht="15" x14ac:dyDescent="0.25">
      <c r="B1651" s="65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318"/>
      <c r="M1651" s="116"/>
      <c r="N1651" s="319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51"/>
      <c r="K1652" s="79"/>
      <c r="L1652" s="120"/>
      <c r="M1652" s="115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51"/>
      <c r="K1653" s="69"/>
      <c r="L1653" s="118"/>
      <c r="M1653" s="116"/>
      <c r="N1653" s="320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51"/>
      <c r="K1654" s="69"/>
      <c r="L1654" s="118"/>
      <c r="M1654" s="116"/>
      <c r="N1654" s="320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51"/>
      <c r="K1655" s="114"/>
      <c r="L1655" s="118"/>
      <c r="M1655" s="117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1"/>
      <c r="I1656" s="107"/>
      <c r="J1656" s="351"/>
      <c r="K1656" s="69"/>
      <c r="L1656" s="118"/>
      <c r="M1656" s="116"/>
      <c r="N1656" s="320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51"/>
      <c r="K1657" s="69"/>
      <c r="L1657" s="1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51"/>
      <c r="K1658" s="69"/>
      <c r="L1658" s="118"/>
      <c r="M1658" s="116"/>
      <c r="N1658" s="320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51"/>
      <c r="K1659" s="69"/>
      <c r="L1659" s="1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91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91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91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118"/>
      <c r="M1666" s="116"/>
      <c r="N1666" s="320"/>
    </row>
    <row r="1667" spans="2:14" ht="15" x14ac:dyDescent="0.25">
      <c r="B1667" s="91"/>
      <c r="C1667" s="66"/>
      <c r="D1667" s="109"/>
      <c r="E1667" s="68"/>
      <c r="F1667" s="77"/>
      <c r="G1667" s="104"/>
      <c r="H1667" s="121"/>
      <c r="I1667" s="107"/>
      <c r="J1667" s="351"/>
      <c r="K1667" s="69"/>
      <c r="L1667" s="118"/>
      <c r="M1667" s="116"/>
      <c r="N1667" s="319"/>
    </row>
    <row r="1668" spans="2:14" ht="15" x14ac:dyDescent="0.25">
      <c r="B1668" s="91"/>
      <c r="C1668" s="66"/>
      <c r="D1668" s="109"/>
      <c r="E1668" s="68"/>
      <c r="F1668" s="77"/>
      <c r="G1668" s="104"/>
      <c r="H1668" s="121"/>
      <c r="I1668" s="107"/>
      <c r="J1668" s="351"/>
      <c r="K1668" s="69"/>
      <c r="L1668" s="1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216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216"/>
      <c r="M1672" s="82"/>
      <c r="N1672" s="319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51"/>
      <c r="K1673" s="69"/>
      <c r="L1673" s="84"/>
      <c r="M1673" s="82"/>
      <c r="N1673" s="319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51"/>
      <c r="K1674" s="69"/>
      <c r="L1674" s="84"/>
      <c r="M1674" s="82"/>
      <c r="N1674" s="319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51"/>
      <c r="K1675" s="69"/>
      <c r="L1675" s="84"/>
      <c r="M1675" s="82"/>
      <c r="N1675" s="319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51"/>
      <c r="K1676" s="69"/>
      <c r="L1676" s="84"/>
      <c r="M1676" s="82"/>
      <c r="N1676" s="319"/>
    </row>
    <row r="1677" spans="2:14" ht="15" x14ac:dyDescent="0.25">
      <c r="B1677" s="91"/>
      <c r="C1677" s="66"/>
      <c r="D1677" s="100"/>
      <c r="E1677" s="101"/>
      <c r="F1677" s="77"/>
      <c r="G1677" s="104"/>
      <c r="H1677" s="106"/>
      <c r="I1677" s="107"/>
      <c r="J1677" s="351"/>
      <c r="K1677" s="69"/>
      <c r="L1677" s="84"/>
      <c r="M1677" s="82"/>
      <c r="N1677" s="319"/>
    </row>
    <row r="1678" spans="2:14" ht="15" x14ac:dyDescent="0.25">
      <c r="B1678" s="91"/>
      <c r="C1678" s="78"/>
      <c r="D1678" s="100"/>
      <c r="E1678" s="101"/>
      <c r="F1678" s="77"/>
      <c r="G1678" s="311"/>
      <c r="H1678" s="321"/>
      <c r="I1678" s="107"/>
      <c r="J1678" s="351"/>
      <c r="K1678" s="69"/>
      <c r="L1678" s="84"/>
      <c r="M1678" s="82"/>
      <c r="N1678" s="319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51"/>
      <c r="K1679" s="69"/>
      <c r="L1679" s="84"/>
      <c r="M1679" s="82"/>
      <c r="N1679" s="319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51"/>
      <c r="K1680" s="69"/>
      <c r="L1680" s="84"/>
      <c r="M1680" s="82"/>
      <c r="N1680" s="319"/>
    </row>
    <row r="1681" spans="2:14" ht="15" x14ac:dyDescent="0.25">
      <c r="B1681" s="65"/>
      <c r="C1681" s="66"/>
      <c r="D1681" s="100"/>
      <c r="E1681" s="101"/>
      <c r="F1681" s="77"/>
      <c r="G1681" s="104"/>
      <c r="H1681" s="106"/>
      <c r="I1681" s="107"/>
      <c r="J1681" s="351"/>
      <c r="K1681" s="69"/>
      <c r="L1681" s="84"/>
      <c r="M1681" s="82"/>
      <c r="N1681" s="319"/>
    </row>
    <row r="1682" spans="2:14" ht="15" x14ac:dyDescent="0.25">
      <c r="B1682" s="65"/>
      <c r="C1682" s="78"/>
      <c r="D1682" s="100"/>
      <c r="E1682" s="101"/>
      <c r="F1682" s="77"/>
      <c r="G1682" s="311"/>
      <c r="H1682" s="321"/>
      <c r="I1682" s="313"/>
      <c r="J1682" s="352"/>
      <c r="K1682" s="69"/>
      <c r="L1682" s="84"/>
      <c r="M1682" s="82"/>
      <c r="N1682" s="319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51"/>
      <c r="K1683" s="69"/>
      <c r="L1683" s="84"/>
      <c r="M1683" s="82"/>
      <c r="N1683" s="319"/>
    </row>
    <row r="1684" spans="2:14" ht="15" x14ac:dyDescent="0.25">
      <c r="B1684" s="65"/>
      <c r="C1684" s="66"/>
      <c r="D1684" s="100"/>
      <c r="E1684" s="101"/>
      <c r="F1684" s="77"/>
      <c r="G1684" s="104"/>
      <c r="H1684" s="106"/>
      <c r="I1684" s="107"/>
      <c r="J1684" s="351"/>
      <c r="K1684" s="69"/>
      <c r="L1684" s="84"/>
      <c r="M1684" s="82"/>
      <c r="N1684" s="319"/>
    </row>
    <row r="1685" spans="2:14" ht="15" x14ac:dyDescent="0.25">
      <c r="B1685" s="65"/>
      <c r="C1685" s="78"/>
      <c r="D1685" s="100"/>
      <c r="E1685" s="101"/>
      <c r="F1685" s="77"/>
      <c r="G1685" s="311"/>
      <c r="H1685" s="321"/>
      <c r="I1685" s="313"/>
      <c r="J1685" s="352"/>
      <c r="K1685" s="69"/>
      <c r="L1685" s="84"/>
      <c r="M1685" s="82"/>
      <c r="N1685" s="319"/>
    </row>
    <row r="1686" spans="2:14" ht="15" x14ac:dyDescent="0.25">
      <c r="B1686" s="65"/>
      <c r="C1686" s="66"/>
      <c r="D1686" s="109"/>
      <c r="E1686" s="101"/>
      <c r="F1686" s="77"/>
      <c r="G1686" s="104"/>
      <c r="H1686" s="106"/>
      <c r="I1686" s="107"/>
      <c r="J1686" s="351"/>
      <c r="K1686" s="69"/>
      <c r="L1686" s="322"/>
      <c r="M1686" s="82"/>
      <c r="N1686" s="319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51"/>
      <c r="K1687" s="69"/>
      <c r="L1687" s="84"/>
      <c r="M1687" s="82"/>
      <c r="N1687" s="319"/>
    </row>
    <row r="1688" spans="2:14" ht="15" x14ac:dyDescent="0.25">
      <c r="B1688" s="65"/>
      <c r="C1688" s="66"/>
      <c r="D1688" s="100"/>
      <c r="E1688" s="101"/>
      <c r="F1688" s="77"/>
      <c r="G1688" s="104"/>
      <c r="H1688" s="106"/>
      <c r="I1688" s="107"/>
      <c r="J1688" s="351"/>
      <c r="K1688" s="69"/>
      <c r="L1688" s="322"/>
      <c r="M1688" s="82"/>
      <c r="N1688" s="319"/>
    </row>
    <row r="1689" spans="2:14" ht="15" x14ac:dyDescent="0.25">
      <c r="B1689" s="65"/>
      <c r="C1689" s="78"/>
      <c r="D1689" s="100"/>
      <c r="E1689" s="101"/>
      <c r="F1689" s="77"/>
      <c r="G1689" s="311"/>
      <c r="H1689" s="321"/>
      <c r="I1689" s="313"/>
      <c r="J1689" s="352"/>
      <c r="K1689" s="69"/>
      <c r="L1689" s="322"/>
      <c r="M1689" s="82"/>
      <c r="N1689" s="319"/>
    </row>
    <row r="1690" spans="2:14" ht="15" x14ac:dyDescent="0.25">
      <c r="B1690" s="65"/>
      <c r="C1690" s="78"/>
      <c r="D1690" s="100"/>
      <c r="E1690" s="101"/>
      <c r="F1690" s="77"/>
      <c r="G1690" s="311"/>
      <c r="H1690" s="321"/>
      <c r="I1690" s="313"/>
      <c r="J1690" s="352"/>
      <c r="K1690" s="69"/>
      <c r="L1690" s="322"/>
      <c r="M1690" s="82"/>
      <c r="N1690" s="323"/>
    </row>
    <row r="1691" spans="2:14" ht="15" x14ac:dyDescent="0.25">
      <c r="B1691" s="65"/>
      <c r="C1691" s="78"/>
      <c r="D1691" s="100"/>
      <c r="E1691" s="101"/>
      <c r="F1691" s="77"/>
      <c r="G1691" s="311"/>
      <c r="H1691" s="321"/>
      <c r="I1691" s="313"/>
      <c r="J1691" s="352"/>
      <c r="K1691" s="69"/>
      <c r="L1691" s="322"/>
      <c r="M1691" s="82"/>
      <c r="N1691" s="323"/>
    </row>
    <row r="1692" spans="2:14" ht="15" x14ac:dyDescent="0.25">
      <c r="B1692" s="65"/>
      <c r="C1692" s="78"/>
      <c r="D1692" s="100"/>
      <c r="E1692" s="101"/>
      <c r="F1692" s="77"/>
      <c r="G1692" s="311"/>
      <c r="H1692" s="321"/>
      <c r="I1692" s="313"/>
      <c r="J1692" s="352"/>
      <c r="K1692" s="69"/>
      <c r="L1692" s="322"/>
      <c r="M1692" s="82"/>
      <c r="N1692" s="323"/>
    </row>
    <row r="1693" spans="2:14" ht="15" x14ac:dyDescent="0.25">
      <c r="B1693" s="65"/>
      <c r="C1693" s="78"/>
      <c r="D1693" s="100"/>
      <c r="E1693" s="101"/>
      <c r="F1693" s="77"/>
      <c r="G1693" s="311"/>
      <c r="H1693" s="321"/>
      <c r="I1693" s="107"/>
      <c r="J1693" s="351"/>
      <c r="K1693" s="69"/>
      <c r="L1693" s="84"/>
      <c r="M1693" s="82"/>
      <c r="N1693" s="323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23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23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23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23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23"/>
    </row>
    <row r="1699" spans="2:14" ht="15" x14ac:dyDescent="0.25">
      <c r="B1699" s="91"/>
      <c r="C1699" s="66"/>
      <c r="D1699" s="100"/>
      <c r="E1699" s="101"/>
      <c r="F1699" s="68"/>
      <c r="G1699" s="104"/>
      <c r="H1699" s="106"/>
      <c r="I1699" s="107"/>
      <c r="J1699" s="351"/>
      <c r="K1699" s="69"/>
      <c r="L1699" s="84"/>
      <c r="M1699" s="82"/>
      <c r="N1699" s="323"/>
    </row>
    <row r="1700" spans="2:14" ht="15" x14ac:dyDescent="0.25">
      <c r="B1700" s="91"/>
      <c r="C1700" s="78"/>
      <c r="D1700" s="100"/>
      <c r="E1700" s="101"/>
      <c r="F1700" s="77"/>
      <c r="G1700" s="311"/>
      <c r="H1700" s="321"/>
      <c r="I1700" s="107"/>
      <c r="J1700" s="351"/>
      <c r="K1700" s="69"/>
      <c r="L1700" s="84"/>
      <c r="M1700" s="82"/>
      <c r="N1700" s="323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23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51"/>
      <c r="K1702" s="70"/>
      <c r="L1702" s="84"/>
      <c r="M1702" s="82"/>
      <c r="N1702" s="323"/>
    </row>
    <row r="1703" spans="2:14" ht="15" x14ac:dyDescent="0.25">
      <c r="B1703" s="91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23"/>
    </row>
    <row r="1704" spans="2:14" ht="15" x14ac:dyDescent="0.25">
      <c r="B1704" s="91"/>
      <c r="C1704" s="78"/>
      <c r="D1704" s="100"/>
      <c r="E1704" s="101"/>
      <c r="F1704" s="68"/>
      <c r="G1704" s="311"/>
      <c r="H1704" s="321"/>
      <c r="I1704" s="107"/>
      <c r="J1704" s="351"/>
      <c r="K1704" s="69"/>
      <c r="L1704" s="84"/>
      <c r="M1704" s="82"/>
      <c r="N1704" s="323"/>
    </row>
    <row r="1705" spans="2:14" ht="15" x14ac:dyDescent="0.25">
      <c r="B1705" s="91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23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23"/>
    </row>
    <row r="1707" spans="2:14" ht="15" x14ac:dyDescent="0.25">
      <c r="B1707" s="65"/>
      <c r="C1707" s="66"/>
      <c r="D1707" s="100"/>
      <c r="E1707" s="101"/>
      <c r="F1707" s="68"/>
      <c r="G1707" s="104"/>
      <c r="H1707" s="106"/>
      <c r="I1707" s="107"/>
      <c r="J1707" s="351"/>
      <c r="K1707" s="69"/>
      <c r="L1707" s="84"/>
      <c r="M1707" s="82"/>
      <c r="N1707" s="323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23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23"/>
    </row>
    <row r="1710" spans="2:14" ht="15" x14ac:dyDescent="0.25">
      <c r="B1710" s="65"/>
      <c r="C1710" s="66"/>
      <c r="D1710" s="100"/>
      <c r="E1710" s="101"/>
      <c r="F1710" s="77"/>
      <c r="G1710" s="104"/>
      <c r="H1710" s="106"/>
      <c r="I1710" s="107"/>
      <c r="J1710" s="351"/>
      <c r="K1710" s="69"/>
      <c r="L1710" s="322"/>
      <c r="M1710" s="82"/>
      <c r="N1710" s="323"/>
    </row>
    <row r="1711" spans="2:14" x14ac:dyDescent="0.2">
      <c r="B1711" s="65"/>
      <c r="C1711" s="78"/>
      <c r="D1711" s="100"/>
      <c r="E1711" s="101"/>
      <c r="F1711" s="77"/>
      <c r="G1711" s="311"/>
      <c r="H1711" s="321"/>
      <c r="I1711" s="324"/>
      <c r="J1711" s="354"/>
      <c r="K1711" s="69"/>
      <c r="L1711" s="84"/>
      <c r="M1711" s="82"/>
      <c r="N1711" s="323"/>
    </row>
    <row r="1712" spans="2:14" x14ac:dyDescent="0.2">
      <c r="B1712" s="65"/>
      <c r="C1712" s="78"/>
      <c r="D1712" s="100"/>
      <c r="E1712" s="101"/>
      <c r="F1712" s="77"/>
      <c r="G1712" s="311"/>
      <c r="H1712" s="321"/>
      <c r="I1712" s="324"/>
      <c r="J1712" s="354"/>
      <c r="K1712" s="69"/>
      <c r="L1712" s="84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100"/>
      <c r="E1714" s="102"/>
      <c r="F1714" s="77"/>
      <c r="G1714" s="325"/>
      <c r="H1714" s="321"/>
      <c r="I1714" s="313"/>
      <c r="J1714" s="352"/>
      <c r="K1714" s="69"/>
      <c r="L1714" s="322"/>
      <c r="M1714" s="82"/>
      <c r="N1714" s="323"/>
    </row>
    <row r="1715" spans="2:14" ht="15" x14ac:dyDescent="0.25">
      <c r="B1715" s="65"/>
      <c r="C1715" s="78"/>
      <c r="D1715" s="97"/>
      <c r="E1715" s="67"/>
      <c r="F1715" s="77"/>
      <c r="G1715" s="325"/>
      <c r="H1715" s="321"/>
      <c r="I1715" s="313"/>
      <c r="J1715" s="352"/>
      <c r="K1715" s="69"/>
      <c r="L1715" s="322"/>
      <c r="M1715" s="82"/>
      <c r="N1715" s="323"/>
    </row>
    <row r="1716" spans="2:14" ht="15" x14ac:dyDescent="0.25">
      <c r="B1716" s="65"/>
      <c r="C1716" s="78"/>
      <c r="D1716" s="97"/>
      <c r="E1716" s="67"/>
      <c r="F1716" s="77"/>
      <c r="G1716" s="325"/>
      <c r="H1716" s="321"/>
      <c r="I1716" s="313"/>
      <c r="J1716" s="352"/>
      <c r="K1716" s="69"/>
      <c r="L1716" s="322"/>
      <c r="M1716" s="82"/>
      <c r="N1716" s="323"/>
    </row>
    <row r="1717" spans="2:14" ht="15" x14ac:dyDescent="0.25">
      <c r="B1717" s="65"/>
      <c r="C1717" s="78"/>
      <c r="D1717" s="97"/>
      <c r="E1717" s="67"/>
      <c r="F1717" s="77"/>
      <c r="G1717" s="325"/>
      <c r="H1717" s="321"/>
      <c r="I1717" s="326"/>
      <c r="J1717" s="355"/>
      <c r="K1717" s="69"/>
      <c r="L1717" s="322"/>
      <c r="M1717" s="82"/>
      <c r="N1717" s="323"/>
    </row>
    <row r="1718" spans="2:14" ht="15" x14ac:dyDescent="0.25">
      <c r="B1718" s="65"/>
      <c r="C1718" s="78"/>
      <c r="D1718" s="97"/>
      <c r="E1718" s="67"/>
      <c r="F1718" s="77"/>
      <c r="G1718" s="325"/>
      <c r="H1718" s="321"/>
      <c r="I1718" s="326"/>
      <c r="J1718" s="355"/>
      <c r="K1718" s="69"/>
      <c r="L1718" s="322"/>
      <c r="M1718" s="82"/>
      <c r="N1718" s="323"/>
    </row>
    <row r="1719" spans="2:14" x14ac:dyDescent="0.2">
      <c r="B1719" s="65"/>
      <c r="C1719" s="66"/>
      <c r="D1719" s="90"/>
      <c r="E1719" s="67"/>
      <c r="F1719" s="77"/>
      <c r="G1719" s="77"/>
      <c r="H1719" s="106"/>
      <c r="I1719" s="94"/>
      <c r="J1719" s="356"/>
      <c r="K1719" s="80"/>
      <c r="L1719" s="84"/>
      <c r="M1719" s="82"/>
      <c r="N1719" s="327"/>
    </row>
    <row r="1720" spans="2:14" ht="15" x14ac:dyDescent="0.25">
      <c r="B1720" s="65"/>
      <c r="C1720" s="78"/>
      <c r="D1720" s="90"/>
      <c r="E1720" s="67"/>
      <c r="F1720" s="77"/>
      <c r="G1720" s="328"/>
      <c r="H1720" s="321"/>
      <c r="I1720" s="326"/>
      <c r="J1720" s="355"/>
      <c r="K1720" s="69"/>
      <c r="L1720" s="322"/>
      <c r="M1720" s="82"/>
      <c r="N1720" s="327"/>
    </row>
    <row r="1721" spans="2:14" ht="15" x14ac:dyDescent="0.25">
      <c r="B1721" s="65"/>
      <c r="C1721" s="66"/>
      <c r="D1721" s="90"/>
      <c r="E1721" s="67"/>
      <c r="F1721" s="77"/>
      <c r="G1721" s="77"/>
      <c r="H1721" s="106"/>
      <c r="I1721" s="95"/>
      <c r="J1721" s="357"/>
      <c r="K1721" s="80"/>
      <c r="L1721" s="84"/>
      <c r="M1721" s="82"/>
      <c r="N1721" s="327"/>
    </row>
    <row r="1722" spans="2:14" ht="15" x14ac:dyDescent="0.25">
      <c r="B1722" s="91"/>
      <c r="C1722" s="66"/>
      <c r="D1722" s="90"/>
      <c r="E1722" s="67"/>
      <c r="F1722" s="77"/>
      <c r="G1722" s="77"/>
      <c r="H1722" s="106"/>
      <c r="I1722" s="95"/>
      <c r="J1722" s="357"/>
      <c r="K1722" s="69"/>
      <c r="L1722" s="84"/>
      <c r="M1722" s="82"/>
      <c r="N1722" s="327"/>
    </row>
    <row r="1723" spans="2:14" x14ac:dyDescent="0.2">
      <c r="B1723" s="91"/>
      <c r="C1723" s="66"/>
      <c r="D1723" s="90"/>
      <c r="E1723" s="67"/>
      <c r="F1723" s="77"/>
      <c r="G1723" s="77"/>
      <c r="H1723" s="106"/>
      <c r="I1723" s="94"/>
      <c r="J1723" s="356"/>
      <c r="K1723" s="69"/>
      <c r="L1723" s="84"/>
      <c r="M1723" s="82"/>
      <c r="N1723" s="327"/>
    </row>
    <row r="1724" spans="2:14" x14ac:dyDescent="0.2">
      <c r="B1724" s="91"/>
      <c r="C1724" s="66"/>
      <c r="D1724" s="90"/>
      <c r="E1724" s="67"/>
      <c r="F1724" s="77"/>
      <c r="G1724" s="77"/>
      <c r="H1724" s="106"/>
      <c r="I1724" s="94"/>
      <c r="J1724" s="356"/>
      <c r="K1724" s="69"/>
      <c r="L1724" s="84"/>
      <c r="M1724" s="82"/>
      <c r="N1724" s="327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7"/>
      <c r="K1725" s="80"/>
      <c r="L1725" s="84"/>
      <c r="M1725" s="82"/>
      <c r="N1725" s="327"/>
    </row>
    <row r="1726" spans="2:14" ht="15" x14ac:dyDescent="0.25">
      <c r="B1726" s="91"/>
      <c r="C1726" s="66"/>
      <c r="D1726" s="90"/>
      <c r="E1726" s="67"/>
      <c r="F1726" s="77"/>
      <c r="G1726" s="77"/>
      <c r="H1726" s="106"/>
      <c r="I1726" s="95"/>
      <c r="J1726" s="357"/>
      <c r="K1726" s="69"/>
      <c r="L1726" s="84"/>
      <c r="M1726" s="82"/>
      <c r="N1726" s="327"/>
    </row>
    <row r="1727" spans="2:14" ht="15" x14ac:dyDescent="0.25">
      <c r="B1727" s="91"/>
      <c r="C1727" s="78"/>
      <c r="D1727" s="90"/>
      <c r="E1727" s="67"/>
      <c r="F1727" s="77"/>
      <c r="G1727" s="328"/>
      <c r="H1727" s="321"/>
      <c r="I1727" s="326"/>
      <c r="J1727" s="355"/>
      <c r="K1727" s="69"/>
      <c r="L1727" s="84"/>
      <c r="M1727" s="82"/>
      <c r="N1727" s="327"/>
    </row>
    <row r="1728" spans="2:14" x14ac:dyDescent="0.2">
      <c r="B1728" s="91"/>
      <c r="C1728" s="66"/>
      <c r="D1728" s="90"/>
      <c r="E1728" s="67"/>
      <c r="F1728" s="77"/>
      <c r="G1728" s="77"/>
      <c r="H1728" s="106"/>
      <c r="I1728" s="94"/>
      <c r="J1728" s="356"/>
      <c r="K1728" s="69"/>
      <c r="L1728" s="84"/>
      <c r="M1728" s="82"/>
      <c r="N1728" s="327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7"/>
      <c r="K1729" s="69"/>
      <c r="L1729" s="84"/>
      <c r="M1729" s="82"/>
      <c r="N1729" s="327"/>
    </row>
    <row r="1730" spans="2:14" ht="15" x14ac:dyDescent="0.25">
      <c r="B1730" s="91"/>
      <c r="C1730" s="66"/>
      <c r="D1730" s="90"/>
      <c r="E1730" s="67"/>
      <c r="F1730" s="77"/>
      <c r="G1730" s="77"/>
      <c r="H1730" s="106"/>
      <c r="I1730" s="95"/>
      <c r="J1730" s="357"/>
      <c r="K1730" s="80"/>
      <c r="L1730" s="84"/>
      <c r="M1730" s="82"/>
      <c r="N1730" s="327"/>
    </row>
    <row r="1731" spans="2:14" x14ac:dyDescent="0.2">
      <c r="B1731" s="91"/>
      <c r="C1731" s="66"/>
      <c r="D1731" s="90"/>
      <c r="E1731" s="67"/>
      <c r="F1731" s="77"/>
      <c r="G1731" s="77"/>
      <c r="H1731" s="106"/>
      <c r="I1731" s="94"/>
      <c r="J1731" s="356"/>
      <c r="K1731" s="69"/>
      <c r="L1731" s="84"/>
      <c r="M1731" s="82"/>
      <c r="N1731" s="323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7"/>
      <c r="K1732" s="69"/>
      <c r="L1732" s="322"/>
      <c r="M1732" s="82"/>
      <c r="N1732" s="323"/>
    </row>
    <row r="1733" spans="2:14" ht="15" x14ac:dyDescent="0.25">
      <c r="B1733" s="91"/>
      <c r="C1733" s="66"/>
      <c r="D1733" s="90"/>
      <c r="E1733" s="67"/>
      <c r="F1733" s="77"/>
      <c r="G1733" s="77"/>
      <c r="H1733" s="106"/>
      <c r="I1733" s="95"/>
      <c r="J1733" s="357"/>
      <c r="K1733" s="69"/>
      <c r="L1733" s="84"/>
      <c r="M1733" s="82"/>
      <c r="N1733" s="323"/>
    </row>
    <row r="1734" spans="2:14" ht="15" x14ac:dyDescent="0.25">
      <c r="B1734" s="65"/>
      <c r="C1734" s="78"/>
      <c r="D1734" s="90"/>
      <c r="E1734" s="67"/>
      <c r="F1734" s="77"/>
      <c r="G1734" s="328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37"/>
      <c r="C1735" s="52"/>
      <c r="D1735" s="24"/>
      <c r="E1735" s="25"/>
      <c r="F1735" s="26"/>
      <c r="G1735" s="26"/>
      <c r="H1735" s="329"/>
      <c r="I1735" s="41"/>
      <c r="J1735" s="358"/>
      <c r="K1735" s="27"/>
      <c r="L1735" s="330"/>
      <c r="M1735" s="34"/>
      <c r="N1735" s="331"/>
    </row>
    <row r="1736" spans="2:14" ht="15" x14ac:dyDescent="0.25">
      <c r="B1736" s="37"/>
      <c r="C1736" s="53"/>
      <c r="D1736" s="24"/>
      <c r="E1736" s="25"/>
      <c r="F1736" s="26"/>
      <c r="G1736" s="325"/>
      <c r="H1736" s="332"/>
      <c r="I1736" s="333"/>
      <c r="J1736" s="359"/>
      <c r="K1736" s="27"/>
      <c r="L1736" s="33"/>
      <c r="M1736" s="34"/>
      <c r="N1736" s="331"/>
    </row>
    <row r="1737" spans="2:14" ht="15" x14ac:dyDescent="0.25">
      <c r="B1737" s="37"/>
      <c r="C1737" s="53"/>
      <c r="D1737" s="24"/>
      <c r="E1737" s="25"/>
      <c r="F1737" s="26"/>
      <c r="G1737" s="325"/>
      <c r="H1737" s="332"/>
      <c r="I1737" s="333"/>
      <c r="J1737" s="359"/>
      <c r="K1737" s="27"/>
      <c r="L1737" s="330"/>
      <c r="M1737" s="34"/>
      <c r="N1737" s="331"/>
    </row>
    <row r="1738" spans="2:14" ht="15" x14ac:dyDescent="0.25">
      <c r="B1738" s="37"/>
      <c r="C1738" s="53"/>
      <c r="D1738" s="24"/>
      <c r="E1738" s="25"/>
      <c r="F1738" s="26"/>
      <c r="G1738" s="325"/>
      <c r="H1738" s="332"/>
      <c r="I1738" s="333"/>
      <c r="J1738" s="359"/>
      <c r="K1738" s="27"/>
      <c r="L1738" s="330"/>
      <c r="M1738" s="34"/>
      <c r="N1738" s="331"/>
    </row>
    <row r="1739" spans="2:14" ht="15" x14ac:dyDescent="0.25">
      <c r="B1739" s="37"/>
      <c r="C1739" s="53"/>
      <c r="D1739" s="24"/>
      <c r="E1739" s="25"/>
      <c r="F1739" s="26"/>
      <c r="G1739" s="325"/>
      <c r="H1739" s="332"/>
      <c r="I1739" s="333"/>
      <c r="J1739" s="359"/>
      <c r="K1739" s="27"/>
      <c r="L1739" s="330"/>
      <c r="M1739" s="34"/>
      <c r="N1739" s="331"/>
    </row>
    <row r="1740" spans="2:14" ht="15" x14ac:dyDescent="0.25">
      <c r="B1740" s="30"/>
      <c r="C1740" s="52"/>
      <c r="D1740" s="24"/>
      <c r="E1740" s="25"/>
      <c r="F1740" s="26"/>
      <c r="G1740" s="26"/>
      <c r="H1740" s="329"/>
      <c r="I1740" s="41"/>
      <c r="J1740" s="358"/>
      <c r="K1740" s="27"/>
      <c r="L1740" s="330"/>
      <c r="M1740" s="34"/>
      <c r="N1740" s="331"/>
    </row>
    <row r="1741" spans="2:14" ht="15" x14ac:dyDescent="0.25">
      <c r="B1741" s="37"/>
      <c r="C1741" s="53"/>
      <c r="D1741" s="24"/>
      <c r="E1741" s="25"/>
      <c r="F1741" s="26"/>
      <c r="G1741" s="325"/>
      <c r="H1741" s="332"/>
      <c r="I1741" s="333"/>
      <c r="J1741" s="359"/>
      <c r="K1741" s="27"/>
      <c r="L1741" s="330"/>
      <c r="M1741" s="34"/>
      <c r="N1741" s="331"/>
    </row>
    <row r="1742" spans="2:14" ht="15" x14ac:dyDescent="0.25">
      <c r="B1742" s="37"/>
      <c r="C1742" s="53"/>
      <c r="D1742" s="24"/>
      <c r="E1742" s="25"/>
      <c r="F1742" s="26"/>
      <c r="G1742" s="325"/>
      <c r="H1742" s="332"/>
      <c r="I1742" s="333"/>
      <c r="J1742" s="359"/>
      <c r="K1742" s="27"/>
      <c r="L1742" s="330"/>
      <c r="M1742" s="34"/>
      <c r="N1742" s="331"/>
    </row>
    <row r="1743" spans="2:14" ht="15" x14ac:dyDescent="0.25">
      <c r="B1743" s="37"/>
      <c r="C1743" s="53"/>
      <c r="D1743" s="24"/>
      <c r="E1743" s="25"/>
      <c r="F1743" s="26"/>
      <c r="G1743" s="325"/>
      <c r="H1743" s="332"/>
      <c r="I1743" s="333"/>
      <c r="J1743" s="359"/>
      <c r="K1743" s="27"/>
      <c r="L1743" s="330"/>
      <c r="M1743" s="34"/>
      <c r="N1743" s="35"/>
    </row>
    <row r="1744" spans="2:14" ht="15" x14ac:dyDescent="0.25">
      <c r="B1744" s="30"/>
      <c r="C1744" s="23"/>
      <c r="D1744" s="24"/>
      <c r="E1744" s="25"/>
      <c r="F1744" s="26"/>
      <c r="G1744" s="325"/>
      <c r="H1744" s="332"/>
      <c r="I1744" s="333"/>
      <c r="J1744" s="359"/>
      <c r="K1744" s="27"/>
      <c r="L1744" s="330"/>
      <c r="M1744" s="34"/>
      <c r="N1744" s="35"/>
    </row>
    <row r="1745" spans="2:14" ht="15" x14ac:dyDescent="0.25">
      <c r="B1745" s="30"/>
      <c r="C1745" s="52"/>
      <c r="D1745" s="24"/>
      <c r="E1745" s="25"/>
      <c r="F1745" s="26"/>
      <c r="G1745" s="26"/>
      <c r="H1745" s="329"/>
      <c r="I1745" s="41"/>
      <c r="J1745" s="358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26"/>
      <c r="G1746" s="26"/>
      <c r="H1746" s="329"/>
      <c r="I1746" s="41"/>
      <c r="J1746" s="358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60"/>
      <c r="G1747" s="26"/>
      <c r="H1747" s="329"/>
      <c r="I1747" s="41"/>
      <c r="J1747" s="358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9"/>
      <c r="I1748" s="41"/>
      <c r="J1748" s="358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9"/>
      <c r="I1749" s="41"/>
      <c r="J1749" s="358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9"/>
      <c r="I1750" s="41"/>
      <c r="J1750" s="358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9"/>
      <c r="I1751" s="41"/>
      <c r="J1751" s="358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"/>
      <c r="M1753" s="34"/>
      <c r="N1753" s="35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5"/>
    </row>
    <row r="1755" spans="2:14" x14ac:dyDescent="0.2">
      <c r="B1755" s="37"/>
      <c r="C1755" s="23"/>
      <c r="D1755" s="24"/>
      <c r="E1755" s="25"/>
      <c r="F1755" s="60"/>
      <c r="G1755" s="26"/>
      <c r="H1755" s="329"/>
      <c r="I1755" s="42"/>
      <c r="J1755" s="360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"/>
      <c r="M1756" s="34"/>
      <c r="N1756" s="35"/>
    </row>
    <row r="1757" spans="2:14" ht="15" x14ac:dyDescent="0.25">
      <c r="B1757" s="37"/>
      <c r="C1757" s="52"/>
      <c r="D1757" s="24"/>
      <c r="E1757" s="25"/>
      <c r="F1757" s="60"/>
      <c r="G1757" s="26"/>
      <c r="H1757" s="329"/>
      <c r="I1757" s="41"/>
      <c r="J1757" s="358"/>
      <c r="K1757" s="27"/>
      <c r="L1757" s="33"/>
      <c r="M1757" s="34"/>
      <c r="N1757" s="35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5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5"/>
      <c r="H1766" s="332"/>
      <c r="I1766" s="333"/>
      <c r="J1766" s="359"/>
      <c r="K1766" s="27"/>
      <c r="L1766" s="330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5"/>
      <c r="H1767" s="332"/>
      <c r="I1767" s="333"/>
      <c r="J1767" s="359"/>
      <c r="K1767" s="27"/>
      <c r="L1767" s="330"/>
      <c r="M1767" s="34"/>
      <c r="N1767" s="35"/>
    </row>
    <row r="1768" spans="2:14" ht="15" x14ac:dyDescent="0.25">
      <c r="B1768" s="37"/>
      <c r="C1768" s="53"/>
      <c r="D1768" s="24"/>
      <c r="E1768" s="25"/>
      <c r="F1768" s="26"/>
      <c r="G1768" s="325"/>
      <c r="H1768" s="332"/>
      <c r="I1768" s="333"/>
      <c r="J1768" s="359"/>
      <c r="K1768" s="27"/>
      <c r="L1768" s="330"/>
      <c r="M1768" s="34"/>
      <c r="N1768" s="35"/>
    </row>
    <row r="1769" spans="2:14" ht="15" x14ac:dyDescent="0.25">
      <c r="B1769" s="30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26"/>
      <c r="H1770" s="329"/>
      <c r="I1770" s="41"/>
      <c r="J1770" s="358"/>
      <c r="K1770" s="36"/>
      <c r="L1770" s="33"/>
      <c r="M1770" s="34"/>
      <c r="N1770" s="35"/>
    </row>
    <row r="1771" spans="2:14" ht="15" x14ac:dyDescent="0.25">
      <c r="B1771" s="30"/>
      <c r="C1771" s="23"/>
      <c r="D1771" s="24"/>
      <c r="E1771" s="25"/>
      <c r="F1771" s="26"/>
      <c r="G1771" s="325"/>
      <c r="H1771" s="332"/>
      <c r="I1771" s="333"/>
      <c r="J1771" s="359"/>
      <c r="K1771" s="27"/>
      <c r="L1771" s="33"/>
      <c r="M1771" s="34"/>
      <c r="N1771" s="35"/>
    </row>
    <row r="1772" spans="2:14" ht="15" x14ac:dyDescent="0.25">
      <c r="B1772" s="30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x14ac:dyDescent="0.2">
      <c r="B1773" s="37"/>
      <c r="C1773" s="52"/>
      <c r="D1773" s="24"/>
      <c r="E1773" s="25"/>
      <c r="F1773" s="26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x14ac:dyDescent="0.2">
      <c r="B1776" s="37"/>
      <c r="C1776" s="52"/>
      <c r="D1776" s="24"/>
      <c r="E1776" s="25"/>
      <c r="F1776" s="26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x14ac:dyDescent="0.2">
      <c r="B1778" s="37"/>
      <c r="C1778" s="52"/>
      <c r="D1778" s="24"/>
      <c r="E1778" s="25"/>
      <c r="F1778" s="26"/>
      <c r="G1778" s="26"/>
      <c r="H1778" s="329"/>
      <c r="I1778" s="42"/>
      <c r="J1778" s="360"/>
      <c r="K1778" s="27"/>
      <c r="L1778" s="33"/>
      <c r="M1778" s="34"/>
      <c r="N1778" s="35"/>
    </row>
    <row r="1779" spans="2:14" x14ac:dyDescent="0.2">
      <c r="B1779" s="37"/>
      <c r="C1779" s="23"/>
      <c r="D1779" s="24"/>
      <c r="E1779" s="25"/>
      <c r="F1779" s="26"/>
      <c r="G1779" s="325"/>
      <c r="H1779" s="332"/>
      <c r="I1779" s="334"/>
      <c r="J1779" s="361"/>
      <c r="K1779" s="27"/>
      <c r="L1779" s="33"/>
      <c r="M1779" s="34"/>
      <c r="N1779" s="35"/>
    </row>
    <row r="1780" spans="2:14" x14ac:dyDescent="0.2">
      <c r="B1780" s="37"/>
      <c r="C1780" s="52"/>
      <c r="D1780" s="24"/>
      <c r="E1780" s="25"/>
      <c r="F1780" s="26"/>
      <c r="G1780" s="26"/>
      <c r="H1780" s="329"/>
      <c r="I1780" s="42"/>
      <c r="J1780" s="360"/>
      <c r="K1780" s="36"/>
      <c r="L1780" s="33"/>
      <c r="M1780" s="34"/>
      <c r="N1780" s="35"/>
    </row>
    <row r="1781" spans="2:14" x14ac:dyDescent="0.2">
      <c r="B1781" s="37"/>
      <c r="C1781" s="53"/>
      <c r="D1781" s="24"/>
      <c r="E1781" s="25"/>
      <c r="F1781" s="26"/>
      <c r="G1781" s="26"/>
      <c r="H1781" s="329"/>
      <c r="I1781" s="334"/>
      <c r="J1781" s="361"/>
      <c r="K1781" s="36"/>
      <c r="L1781" s="330"/>
      <c r="M1781" s="34"/>
      <c r="N1781" s="35"/>
    </row>
    <row r="1782" spans="2:14" ht="15" x14ac:dyDescent="0.25">
      <c r="B1782" s="37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0"/>
      <c r="M1782" s="34"/>
      <c r="N1782" s="35"/>
    </row>
    <row r="1783" spans="2:14" ht="15" x14ac:dyDescent="0.25">
      <c r="B1783" s="37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26"/>
      <c r="H1784" s="329"/>
      <c r="I1784" s="333"/>
      <c r="J1784" s="359"/>
      <c r="K1784" s="36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5"/>
      <c r="H1790" s="332"/>
      <c r="I1790" s="333"/>
      <c r="J1790" s="359"/>
      <c r="K1790" s="27"/>
      <c r="L1790" s="330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5"/>
      <c r="H1791" s="332"/>
      <c r="I1791" s="333"/>
      <c r="J1791" s="359"/>
      <c r="K1791" s="27"/>
      <c r="L1791" s="330"/>
      <c r="M1791" s="34"/>
      <c r="N1791" s="35"/>
    </row>
    <row r="1792" spans="2:14" ht="15" x14ac:dyDescent="0.25">
      <c r="B1792" s="37"/>
      <c r="C1792" s="53"/>
      <c r="D1792" s="24"/>
      <c r="E1792" s="25"/>
      <c r="F1792" s="26"/>
      <c r="G1792" s="325"/>
      <c r="H1792" s="332"/>
      <c r="I1792" s="333"/>
      <c r="J1792" s="359"/>
      <c r="K1792" s="27"/>
      <c r="L1792" s="330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36"/>
      <c r="L1793" s="33"/>
      <c r="M1793" s="34"/>
      <c r="N1793" s="35"/>
    </row>
    <row r="1794" spans="2:14" ht="15" x14ac:dyDescent="0.25">
      <c r="B1794" s="30"/>
      <c r="C1794" s="52"/>
      <c r="D1794" s="24"/>
      <c r="E1794" s="25"/>
      <c r="F1794" s="26"/>
      <c r="G1794" s="26"/>
      <c r="H1794" s="329"/>
      <c r="I1794" s="41"/>
      <c r="J1794" s="358"/>
      <c r="K1794" s="36"/>
      <c r="L1794" s="33"/>
      <c r="M1794" s="34"/>
      <c r="N1794" s="35"/>
    </row>
    <row r="1795" spans="2:14" ht="15" x14ac:dyDescent="0.25">
      <c r="B1795" s="30"/>
      <c r="C1795" s="23"/>
      <c r="D1795" s="24"/>
      <c r="E1795" s="25"/>
      <c r="F1795" s="26"/>
      <c r="G1795" s="26"/>
      <c r="H1795" s="329"/>
      <c r="I1795" s="41"/>
      <c r="J1795" s="358"/>
      <c r="K1795" s="36"/>
      <c r="L1795" s="33"/>
      <c r="M1795" s="34"/>
      <c r="N1795" s="35"/>
    </row>
    <row r="1796" spans="2:14" ht="15" x14ac:dyDescent="0.25">
      <c r="B1796" s="30"/>
      <c r="C1796" s="23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ht="15" x14ac:dyDescent="0.25">
      <c r="B1797" s="30"/>
      <c r="C1797" s="52"/>
      <c r="D1797" s="24"/>
      <c r="E1797" s="25"/>
      <c r="F1797" s="26"/>
      <c r="G1797" s="26"/>
      <c r="H1797" s="329"/>
      <c r="I1797" s="41"/>
      <c r="J1797" s="358"/>
      <c r="K1797" s="27"/>
      <c r="L1797" s="33"/>
      <c r="M1797" s="34"/>
      <c r="N1797" s="35"/>
    </row>
    <row r="1798" spans="2:14" ht="15" x14ac:dyDescent="0.25">
      <c r="B1798" s="30"/>
      <c r="C1798" s="23"/>
      <c r="D1798" s="24"/>
      <c r="E1798" s="25"/>
      <c r="F1798" s="26"/>
      <c r="G1798" s="26"/>
      <c r="H1798" s="329"/>
      <c r="I1798" s="41"/>
      <c r="J1798" s="358"/>
      <c r="K1798" s="27"/>
      <c r="L1798" s="33"/>
      <c r="M1798" s="34"/>
      <c r="N1798" s="35"/>
    </row>
    <row r="1799" spans="2:14" ht="15" x14ac:dyDescent="0.25">
      <c r="B1799" s="30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"/>
      <c r="M1799" s="34"/>
      <c r="N1799" s="35"/>
    </row>
    <row r="1800" spans="2:14" ht="15" x14ac:dyDescent="0.25">
      <c r="B1800" s="30"/>
      <c r="C1800" s="53"/>
      <c r="D1800" s="24"/>
      <c r="E1800" s="25"/>
      <c r="F1800" s="26"/>
      <c r="G1800" s="325"/>
      <c r="H1800" s="332"/>
      <c r="I1800" s="333"/>
      <c r="J1800" s="359"/>
      <c r="K1800" s="36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0"/>
      <c r="C1802" s="52"/>
      <c r="D1802" s="24"/>
      <c r="E1802" s="25"/>
      <c r="F1802" s="26"/>
      <c r="G1802" s="26"/>
      <c r="H1802" s="329"/>
      <c r="I1802" s="41"/>
      <c r="J1802" s="358"/>
      <c r="K1802" s="36"/>
      <c r="L1802" s="33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x14ac:dyDescent="0.2">
      <c r="B1804" s="37"/>
      <c r="C1804" s="23"/>
      <c r="D1804" s="24"/>
      <c r="E1804" s="25"/>
      <c r="F1804" s="26"/>
      <c r="G1804" s="26"/>
      <c r="H1804" s="329"/>
      <c r="I1804" s="42"/>
      <c r="J1804" s="360"/>
      <c r="K1804" s="36"/>
      <c r="L1804" s="33"/>
      <c r="M1804" s="34"/>
      <c r="N1804" s="35"/>
    </row>
    <row r="1805" spans="2:14" x14ac:dyDescent="0.2">
      <c r="B1805" s="37"/>
      <c r="C1805" s="23"/>
      <c r="D1805" s="24"/>
      <c r="E1805" s="25"/>
      <c r="F1805" s="26"/>
      <c r="G1805" s="26"/>
      <c r="H1805" s="329"/>
      <c r="I1805" s="42"/>
      <c r="J1805" s="360"/>
      <c r="K1805" s="36"/>
      <c r="L1805" s="33"/>
      <c r="M1805" s="34"/>
      <c r="N1805" s="35"/>
    </row>
    <row r="1806" spans="2:14" ht="15" x14ac:dyDescent="0.25">
      <c r="B1806" s="37"/>
      <c r="C1806" s="23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x14ac:dyDescent="0.2">
      <c r="B1807" s="37"/>
      <c r="C1807" s="52"/>
      <c r="D1807" s="24"/>
      <c r="E1807" s="25"/>
      <c r="F1807" s="26"/>
      <c r="G1807" s="26"/>
      <c r="H1807" s="329"/>
      <c r="I1807" s="42"/>
      <c r="J1807" s="360"/>
      <c r="K1807" s="36"/>
      <c r="L1807" s="33"/>
      <c r="M1807" s="34"/>
      <c r="N1807" s="35"/>
    </row>
    <row r="1808" spans="2:14" ht="15" x14ac:dyDescent="0.25">
      <c r="B1808" s="37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x14ac:dyDescent="0.2">
      <c r="B1809" s="37"/>
      <c r="C1809" s="52"/>
      <c r="D1809" s="24"/>
      <c r="E1809" s="25"/>
      <c r="F1809" s="26"/>
      <c r="G1809" s="26"/>
      <c r="H1809" s="329"/>
      <c r="I1809" s="42"/>
      <c r="J1809" s="360"/>
      <c r="K1809" s="36"/>
      <c r="L1809" s="330"/>
      <c r="M1809" s="34"/>
      <c r="N1809" s="35"/>
    </row>
    <row r="1810" spans="2:14" ht="15" x14ac:dyDescent="0.25">
      <c r="B1810" s="37"/>
      <c r="C1810" s="23"/>
      <c r="D1810" s="24"/>
      <c r="E1810" s="25"/>
      <c r="F1810" s="26"/>
      <c r="G1810" s="26"/>
      <c r="H1810" s="329"/>
      <c r="I1810" s="41"/>
      <c r="J1810" s="358"/>
      <c r="K1810" s="27"/>
      <c r="L1810" s="330"/>
      <c r="M1810" s="34"/>
      <c r="N1810" s="35"/>
    </row>
    <row r="1811" spans="2:14" ht="15" x14ac:dyDescent="0.25">
      <c r="B1811" s="37"/>
      <c r="C1811" s="23"/>
      <c r="D1811" s="24"/>
      <c r="E1811" s="25"/>
      <c r="F1811" s="26"/>
      <c r="G1811" s="26"/>
      <c r="H1811" s="329"/>
      <c r="I1811" s="41"/>
      <c r="J1811" s="358"/>
      <c r="K1811" s="27"/>
      <c r="L1811" s="330"/>
      <c r="M1811" s="34"/>
      <c r="N1811" s="35"/>
    </row>
    <row r="1812" spans="2:14" x14ac:dyDescent="0.2">
      <c r="B1812" s="37"/>
      <c r="C1812" s="23"/>
      <c r="D1812" s="24"/>
      <c r="E1812" s="25"/>
      <c r="F1812" s="26"/>
      <c r="G1812" s="325"/>
      <c r="H1812" s="332"/>
      <c r="I1812" s="334"/>
      <c r="J1812" s="361"/>
      <c r="K1812" s="27"/>
      <c r="L1812" s="33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7"/>
      <c r="C1814" s="53"/>
      <c r="D1814" s="24"/>
      <c r="E1814" s="25"/>
      <c r="F1814" s="26"/>
      <c r="G1814" s="325"/>
      <c r="H1814" s="332"/>
      <c r="I1814" s="333"/>
      <c r="J1814" s="359"/>
      <c r="K1814" s="27"/>
      <c r="L1814" s="330"/>
      <c r="M1814" s="34"/>
      <c r="N1814" s="35"/>
    </row>
    <row r="1815" spans="2:14" ht="15" x14ac:dyDescent="0.25">
      <c r="B1815" s="37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x14ac:dyDescent="0.2">
      <c r="B1816" s="37"/>
      <c r="C1816" s="23"/>
      <c r="D1816" s="24"/>
      <c r="E1816" s="25"/>
      <c r="F1816" s="26"/>
      <c r="G1816" s="325"/>
      <c r="H1816" s="332"/>
      <c r="I1816" s="334"/>
      <c r="J1816" s="361"/>
      <c r="K1816" s="27"/>
      <c r="L1816" s="33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5"/>
      <c r="H1817" s="332"/>
      <c r="I1817" s="333"/>
      <c r="J1817" s="359"/>
      <c r="K1817" s="27"/>
      <c r="L1817" s="330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5"/>
      <c r="H1818" s="332"/>
      <c r="I1818" s="333"/>
      <c r="J1818" s="359"/>
      <c r="K1818" s="27"/>
      <c r="L1818" s="330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5"/>
      <c r="H1819" s="332"/>
      <c r="I1819" s="333"/>
      <c r="J1819" s="359"/>
      <c r="K1819" s="27"/>
      <c r="L1819" s="330"/>
      <c r="M1819" s="34"/>
      <c r="N1819" s="35"/>
    </row>
    <row r="1820" spans="2:14" ht="15" x14ac:dyDescent="0.25">
      <c r="B1820" s="37"/>
      <c r="C1820" s="53"/>
      <c r="D1820" s="24"/>
      <c r="E1820" s="25"/>
      <c r="F1820" s="26"/>
      <c r="G1820" s="325"/>
      <c r="H1820" s="332"/>
      <c r="I1820" s="333"/>
      <c r="J1820" s="359"/>
      <c r="K1820" s="27"/>
      <c r="L1820" s="330"/>
      <c r="M1820" s="34"/>
      <c r="N1820" s="35"/>
    </row>
    <row r="1821" spans="2:14" ht="15" x14ac:dyDescent="0.25">
      <c r="B1821" s="37"/>
      <c r="D1821" s="24"/>
      <c r="E1821" s="25"/>
      <c r="F1821" s="26"/>
      <c r="G1821" s="325"/>
      <c r="H1821" s="332"/>
      <c r="I1821" s="333"/>
      <c r="J1821" s="359"/>
      <c r="K1821" s="27"/>
      <c r="L1821" s="330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ht="15" x14ac:dyDescent="0.25">
      <c r="B1824" s="30"/>
      <c r="C1824" s="23"/>
      <c r="D1824" s="24"/>
      <c r="E1824" s="25"/>
      <c r="F1824" s="26"/>
      <c r="G1824" s="325"/>
      <c r="H1824" s="332"/>
      <c r="I1824" s="333"/>
      <c r="J1824" s="359"/>
      <c r="K1824" s="27"/>
      <c r="L1824" s="33"/>
      <c r="M1824" s="34"/>
      <c r="N1824" s="35"/>
    </row>
    <row r="1825" spans="2:14" x14ac:dyDescent="0.2">
      <c r="B1825" s="30"/>
      <c r="C1825" s="23"/>
      <c r="D1825" s="24"/>
      <c r="E1825" s="25"/>
      <c r="F1825" s="26"/>
      <c r="G1825" s="26"/>
      <c r="H1825" s="329"/>
      <c r="I1825" s="42"/>
      <c r="J1825" s="360"/>
      <c r="K1825" s="27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27"/>
      <c r="L1826" s="33"/>
      <c r="M1826" s="34"/>
      <c r="N1826" s="35"/>
    </row>
    <row r="1827" spans="2:14" x14ac:dyDescent="0.2">
      <c r="B1827" s="37"/>
      <c r="C1827" s="23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0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0"/>
      <c r="C1829" s="23"/>
      <c r="D1829" s="24"/>
      <c r="E1829" s="25"/>
      <c r="F1829" s="26"/>
      <c r="G1829" s="26"/>
      <c r="H1829" s="329"/>
      <c r="I1829" s="42"/>
      <c r="J1829" s="360"/>
      <c r="K1829" s="27"/>
      <c r="L1829" s="33"/>
      <c r="M1829" s="34"/>
      <c r="N1829" s="35"/>
    </row>
    <row r="1830" spans="2:14" ht="15" x14ac:dyDescent="0.25">
      <c r="B1830" s="30"/>
      <c r="C1830" s="23"/>
      <c r="D1830" s="24"/>
      <c r="E1830" s="25"/>
      <c r="F1830" s="26"/>
      <c r="G1830" s="325"/>
      <c r="H1830" s="332"/>
      <c r="I1830" s="333"/>
      <c r="J1830" s="359"/>
      <c r="K1830" s="27"/>
      <c r="L1830" s="33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26"/>
      <c r="H1832" s="329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9"/>
      <c r="I1833" s="41"/>
      <c r="J1833" s="358"/>
      <c r="K1833" s="27"/>
      <c r="L1833" s="330"/>
      <c r="M1833" s="34"/>
      <c r="N1833" s="35"/>
    </row>
    <row r="1834" spans="2:14" ht="15" x14ac:dyDescent="0.25">
      <c r="B1834" s="37"/>
      <c r="C1834" s="23"/>
      <c r="D1834" s="24"/>
      <c r="E1834" s="25"/>
      <c r="F1834" s="26"/>
      <c r="G1834" s="26"/>
      <c r="H1834" s="329"/>
      <c r="I1834" s="41"/>
      <c r="J1834" s="358"/>
      <c r="K1834" s="27"/>
      <c r="L1834" s="330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26"/>
      <c r="H1835" s="329"/>
      <c r="I1835" s="42"/>
      <c r="J1835" s="360"/>
      <c r="K1835" s="27"/>
      <c r="L1835" s="33"/>
      <c r="M1835" s="34"/>
      <c r="N1835" s="35"/>
    </row>
    <row r="1836" spans="2:14" x14ac:dyDescent="0.2">
      <c r="B1836" s="30"/>
      <c r="C1836" s="23"/>
      <c r="D1836" s="24"/>
      <c r="E1836" s="25"/>
      <c r="F1836" s="26"/>
      <c r="G1836" s="26"/>
      <c r="H1836" s="329"/>
      <c r="I1836" s="42"/>
      <c r="J1836" s="360"/>
      <c r="K1836" s="27"/>
      <c r="L1836" s="33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2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0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0"/>
      <c r="M1843" s="34"/>
      <c r="N1843" s="35"/>
    </row>
    <row r="1844" spans="2:14" ht="15" x14ac:dyDescent="0.25">
      <c r="B1844" s="37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0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36"/>
      <c r="L1848" s="33"/>
      <c r="M1848" s="34"/>
      <c r="N1848" s="35"/>
    </row>
  </sheetData>
  <sortState xmlns:xlrd2="http://schemas.microsoft.com/office/spreadsheetml/2017/richdata2" ref="B7:I1048557">
    <sortCondition ref="C7:C27"/>
  </sortState>
  <mergeCells count="3">
    <mergeCell ref="D1:H1"/>
    <mergeCell ref="D2:K2"/>
    <mergeCell ref="B3:F4"/>
  </mergeCells>
  <phoneticPr fontId="19" type="noConversion"/>
  <conditionalFormatting sqref="H1821:H184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1:H184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1:H184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1:E184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1:E184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1:E184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1:E184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1:E184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1:E184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1:E184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1:E184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1:H184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1:H184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1:H184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1:E184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1:H184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1:E184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1:H1848">
    <cfRule type="iconSet" priority="282941">
      <iconSet>
        <cfvo type="percent" val="0"/>
        <cfvo type="percent" val="23"/>
        <cfvo type="percent" val="70"/>
      </iconSet>
    </cfRule>
  </conditionalFormatting>
  <conditionalFormatting sqref="H1821:H184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1:H184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1:H184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1:H184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1:E184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1:H184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1:H184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1:H184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1:H184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1:H184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1:E184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1:H184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1:H184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1:E184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1:E184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1:H184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1:H184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1:H184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1:E184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1:H184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1:H184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1:H184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1:H184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1:H184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1:H184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1:E184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1:H184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1:H184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1:H184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1:H184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1:H184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1:H184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1:H184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1:E184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1:H184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1:E184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1:H184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1:E184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1:H184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09">
      <iconSet>
        <cfvo type="percent" val="0"/>
        <cfvo type="num" val="22"/>
        <cfvo type="num" val="26"/>
      </iconSet>
    </cfRule>
  </conditionalFormatting>
  <conditionalFormatting sqref="H1821:H184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1:H1848">
    <cfRule type="iconSet" priority="283415">
      <iconSet>
        <cfvo type="percent" val="0"/>
        <cfvo type="num" val="21"/>
        <cfvo type="num" val="25"/>
      </iconSet>
    </cfRule>
  </conditionalFormatting>
  <conditionalFormatting sqref="H1821:H1848">
    <cfRule type="iconSet" priority="283417">
      <iconSet>
        <cfvo type="percent" val="0"/>
        <cfvo type="num" val="19"/>
        <cfvo type="num" val="23"/>
      </iconSet>
    </cfRule>
  </conditionalFormatting>
  <conditionalFormatting sqref="H1821:H1848">
    <cfRule type="iconSet" priority="283419">
      <iconSet>
        <cfvo type="percent" val="0"/>
        <cfvo type="num" val="23"/>
        <cfvo type="num" val="27"/>
      </iconSet>
    </cfRule>
  </conditionalFormatting>
  <conditionalFormatting sqref="E1735:E173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30">
    <cfRule type="containsText" dxfId="19" priority="175" operator="containsText" text="M">
      <formula>NOT(ISERROR(SEARCH("M",M7)))</formula>
    </cfRule>
  </conditionalFormatting>
  <conditionalFormatting sqref="U6">
    <cfRule type="cellIs" dxfId="18" priority="172" operator="between">
      <formula>1</formula>
      <formula>4</formula>
    </cfRule>
  </conditionalFormatting>
  <conditionalFormatting sqref="E29:E1158 E7:E27">
    <cfRule type="cellIs" dxfId="17" priority="170" operator="greaterThan">
      <formula>7</formula>
    </cfRule>
  </conditionalFormatting>
  <conditionalFormatting sqref="E1468:E4746">
    <cfRule type="cellIs" dxfId="16" priority="137" operator="greaterThan">
      <formula>7</formula>
    </cfRule>
  </conditionalFormatting>
  <conditionalFormatting sqref="I29:I1230 G29:G31 I7:I27">
    <cfRule type="cellIs" dxfId="15" priority="41" operator="lessThan">
      <formula>E7</formula>
    </cfRule>
  </conditionalFormatting>
  <conditionalFormatting sqref="I1821:I184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1:I184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1:I184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1:I184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1:I184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1:I184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1:I184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1:I184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1:I184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1:I184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1:I184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1:I184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1:I184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1:I184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7:H1454 H1241:H1415 H29:H1230 H7:H27">
    <cfRule type="cellIs" dxfId="14" priority="297748" operator="greaterThan">
      <formula>$H$28</formula>
    </cfRule>
  </conditionalFormatting>
  <conditionalFormatting sqref="L7:L1230">
    <cfRule type="top10" dxfId="13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7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E1821:E1848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H1821:H1848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E1735:E1737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I1821:I1848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L1821:L1848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H1821:H1848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E1715:E1734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$H$28</xm:f>
              </x14:cfvo>
              <x14:cfIcon iconSet="NoIcons" iconId="0"/>
              <x14:cfIcon iconSet="NoIcons" iconId="0"/>
              <x14:cfIcon iconSet="3Stars" iconId="2"/>
            </x14:iconSet>
          </x14:cfRule>
          <xm:sqref>H1241:H1251 H29:H1230 H7:H27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110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111</v>
      </c>
      <c r="E2" s="370"/>
      <c r="F2" s="370"/>
      <c r="G2" s="370"/>
      <c r="H2" s="370"/>
      <c r="I2" s="370"/>
      <c r="J2" s="370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115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2026-01-05T05:19:44Z</cp:lastPrinted>
  <dcterms:created xsi:type="dcterms:W3CDTF">2021-05-05T13:25:05Z</dcterms:created>
  <dcterms:modified xsi:type="dcterms:W3CDTF">2026-01-05T05:20:24Z</dcterms:modified>
</cp:coreProperties>
</file>