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7B2BD144-86A2-4C87-9B50-08A2B46F77F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1" l="1"/>
  <c r="C45" i="1"/>
  <c r="G45" i="1"/>
  <c r="H45" i="1" s="1"/>
  <c r="F45" i="1"/>
  <c r="E45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M7" i="1"/>
  <c r="N9" i="1" s="1"/>
  <c r="M8" i="1"/>
  <c r="M9" i="1"/>
  <c r="N16" i="1" s="1"/>
  <c r="M10" i="1"/>
  <c r="N20" i="1" s="1"/>
  <c r="M11" i="1"/>
  <c r="M12" i="1"/>
  <c r="M13" i="1"/>
  <c r="M44" i="1"/>
  <c r="N39" i="1" s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17" i="1"/>
  <c r="H27" i="1"/>
  <c r="H40" i="1"/>
  <c r="H41" i="1"/>
  <c r="H9" i="1"/>
  <c r="H24" i="1"/>
  <c r="H19" i="1"/>
  <c r="H42" i="1"/>
  <c r="H28" i="1"/>
  <c r="H43" i="1"/>
  <c r="H10" i="1"/>
  <c r="H11" i="1"/>
  <c r="H44" i="1"/>
  <c r="H7" i="1"/>
  <c r="H30" i="1"/>
  <c r="H26" i="1"/>
  <c r="H8" i="1"/>
  <c r="H14" i="1"/>
  <c r="H31" i="1"/>
  <c r="H15" i="1"/>
  <c r="H32" i="1"/>
  <c r="H18" i="1"/>
  <c r="H33" i="1"/>
  <c r="H25" i="1"/>
  <c r="H21" i="1"/>
  <c r="H36" i="1"/>
  <c r="H34" i="1"/>
  <c r="H22" i="1"/>
  <c r="H20" i="1"/>
  <c r="H35" i="1"/>
  <c r="H23" i="1"/>
  <c r="H12" i="1"/>
  <c r="H37" i="1"/>
  <c r="H38" i="1"/>
  <c r="H39" i="1"/>
  <c r="H29" i="1"/>
  <c r="H13" i="1"/>
  <c r="H16" i="1"/>
  <c r="P3" i="6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D12" i="3"/>
  <c r="E13" i="3"/>
  <c r="AP6" i="3"/>
  <c r="D13" i="3"/>
  <c r="N32" i="1" l="1"/>
  <c r="N28" i="1"/>
  <c r="N13" i="1"/>
  <c r="N41" i="1"/>
  <c r="N24" i="1"/>
  <c r="N35" i="1"/>
  <c r="N23" i="1"/>
  <c r="N19" i="1"/>
  <c r="N15" i="1"/>
  <c r="N12" i="1"/>
  <c r="N8" i="1"/>
  <c r="N40" i="1"/>
  <c r="N31" i="1"/>
  <c r="N27" i="1"/>
  <c r="N43" i="1"/>
  <c r="N38" i="1"/>
  <c r="N34" i="1"/>
  <c r="N30" i="1"/>
  <c r="N26" i="1"/>
  <c r="N22" i="1"/>
  <c r="N18" i="1"/>
  <c r="N14" i="1"/>
  <c r="N11" i="1"/>
  <c r="N7" i="1"/>
  <c r="N42" i="1"/>
  <c r="N37" i="1"/>
  <c r="N33" i="1"/>
  <c r="N29" i="1"/>
  <c r="N25" i="1"/>
  <c r="N21" i="1"/>
  <c r="N17" i="1"/>
  <c r="N44" i="1"/>
  <c r="N10" i="1"/>
  <c r="I37" i="1"/>
  <c r="I34" i="1"/>
  <c r="I16" i="1"/>
  <c r="P17" i="1" s="1"/>
  <c r="I18" i="1"/>
  <c r="J18" i="1" s="1"/>
  <c r="I8" i="1"/>
  <c r="P8" i="1" s="1"/>
  <c r="L8" i="1" s="1"/>
  <c r="I10" i="1"/>
  <c r="P10" i="1" s="1"/>
  <c r="L10" i="1" s="1"/>
  <c r="I24" i="1"/>
  <c r="I17" i="1"/>
  <c r="P18" i="1" s="1"/>
  <c r="I13" i="1"/>
  <c r="J13" i="1" s="1"/>
  <c r="I23" i="1"/>
  <c r="J23" i="1" s="1"/>
  <c r="I36" i="1"/>
  <c r="P37" i="1" s="1"/>
  <c r="I32" i="1"/>
  <c r="J32" i="1" s="1"/>
  <c r="I30" i="1"/>
  <c r="J30" i="1" s="1"/>
  <c r="I43" i="1"/>
  <c r="J43" i="1" s="1"/>
  <c r="I9" i="1"/>
  <c r="J9" i="1" s="1"/>
  <c r="I39" i="1"/>
  <c r="I35" i="1"/>
  <c r="J35" i="1" s="1"/>
  <c r="I21" i="1"/>
  <c r="I31" i="1"/>
  <c r="J24" i="1" s="1"/>
  <c r="I7" i="1"/>
  <c r="J7" i="1" s="1"/>
  <c r="I28" i="1"/>
  <c r="I40" i="1"/>
  <c r="I38" i="1"/>
  <c r="J38" i="1" s="1"/>
  <c r="I20" i="1"/>
  <c r="J20" i="1" s="1"/>
  <c r="I33" i="1"/>
  <c r="I14" i="1"/>
  <c r="I44" i="1"/>
  <c r="P14" i="1" s="1"/>
  <c r="I19" i="1"/>
  <c r="J19" i="1" s="1"/>
  <c r="I27" i="1"/>
  <c r="P28" i="1" s="1"/>
  <c r="I29" i="1"/>
  <c r="I12" i="1"/>
  <c r="J12" i="1" s="1"/>
  <c r="I22" i="1"/>
  <c r="J22" i="1" s="1"/>
  <c r="I25" i="1"/>
  <c r="J25" i="1" s="1"/>
  <c r="I15" i="1"/>
  <c r="I26" i="1"/>
  <c r="J26" i="1" s="1"/>
  <c r="I11" i="1"/>
  <c r="J17" i="1" s="1"/>
  <c r="I42" i="1"/>
  <c r="J42" i="1" s="1"/>
  <c r="I41" i="1"/>
  <c r="J36" i="1"/>
  <c r="J39" i="1"/>
  <c r="J34" i="1"/>
  <c r="J37" i="1"/>
  <c r="J29" i="1"/>
  <c r="J21" i="1"/>
  <c r="J10" i="1"/>
  <c r="J15" i="1"/>
  <c r="J14" i="1"/>
  <c r="U10" i="1"/>
  <c r="U9" i="1"/>
  <c r="U14" i="1"/>
  <c r="U18" i="1"/>
  <c r="U22" i="1"/>
  <c r="U26" i="1"/>
  <c r="U30" i="1"/>
  <c r="U34" i="1"/>
  <c r="U38" i="1"/>
  <c r="U42" i="1"/>
  <c r="U11" i="1"/>
  <c r="U15" i="1"/>
  <c r="U19" i="1"/>
  <c r="U23" i="1"/>
  <c r="U27" i="1"/>
  <c r="U31" i="1"/>
  <c r="U35" i="1"/>
  <c r="U39" i="1"/>
  <c r="U43" i="1"/>
  <c r="U12" i="1"/>
  <c r="U16" i="1"/>
  <c r="U20" i="1"/>
  <c r="U24" i="1"/>
  <c r="U28" i="1"/>
  <c r="U32" i="1"/>
  <c r="U36" i="1"/>
  <c r="U40" i="1"/>
  <c r="U44" i="1"/>
  <c r="U8" i="1"/>
  <c r="U13" i="1"/>
  <c r="U17" i="1"/>
  <c r="U21" i="1"/>
  <c r="U25" i="1"/>
  <c r="U29" i="1"/>
  <c r="U33" i="1"/>
  <c r="U37" i="1"/>
  <c r="U41" i="1"/>
  <c r="U7" i="1"/>
  <c r="P41" i="1"/>
  <c r="P25" i="1"/>
  <c r="P32" i="1"/>
  <c r="P35" i="1"/>
  <c r="P15" i="1"/>
  <c r="P42" i="1"/>
  <c r="P30" i="1"/>
  <c r="P22" i="1"/>
  <c r="P45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L44" i="1" l="1"/>
  <c r="P38" i="1"/>
  <c r="L37" i="1" s="1"/>
  <c r="P16" i="1"/>
  <c r="L15" i="1" s="1"/>
  <c r="J16" i="1"/>
  <c r="L16" i="1"/>
  <c r="L41" i="1"/>
  <c r="P29" i="1"/>
  <c r="L28" i="1" s="1"/>
  <c r="L14" i="1"/>
  <c r="L17" i="1"/>
  <c r="P39" i="1"/>
  <c r="L38" i="1" s="1"/>
  <c r="P9" i="1"/>
  <c r="L9" i="1" s="1"/>
  <c r="J44" i="1"/>
  <c r="P33" i="1"/>
  <c r="L32" i="1" s="1"/>
  <c r="P12" i="1"/>
  <c r="L12" i="1" s="1"/>
  <c r="J31" i="1"/>
  <c r="P19" i="1"/>
  <c r="L18" i="1" s="1"/>
  <c r="P20" i="1"/>
  <c r="J8" i="1"/>
  <c r="J40" i="1"/>
  <c r="P43" i="1"/>
  <c r="L42" i="1" s="1"/>
  <c r="J28" i="1"/>
  <c r="P31" i="1"/>
  <c r="L30" i="1" s="1"/>
  <c r="P13" i="1"/>
  <c r="L13" i="1" s="1"/>
  <c r="P36" i="1"/>
  <c r="L35" i="1" s="1"/>
  <c r="P40" i="1"/>
  <c r="L39" i="1" s="1"/>
  <c r="P7" i="1"/>
  <c r="L7" i="1" s="1"/>
  <c r="P44" i="1"/>
  <c r="P21" i="1"/>
  <c r="L20" i="1" s="1"/>
  <c r="J33" i="1"/>
  <c r="J27" i="1"/>
  <c r="P26" i="1"/>
  <c r="L25" i="1" s="1"/>
  <c r="P24" i="1"/>
  <c r="L23" i="1" s="1"/>
  <c r="P34" i="1"/>
  <c r="L33" i="1" s="1"/>
  <c r="P23" i="1"/>
  <c r="L22" i="1" s="1"/>
  <c r="J11" i="1"/>
  <c r="J41" i="1"/>
  <c r="P11" i="1"/>
  <c r="L11" i="1" s="1"/>
  <c r="P27" i="1"/>
  <c r="L27" i="1" s="1"/>
  <c r="I45" i="1"/>
  <c r="N45" i="1"/>
  <c r="M11" i="6"/>
  <c r="U45" i="1"/>
  <c r="U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3" i="1" l="1"/>
  <c r="L40" i="1"/>
  <c r="L24" i="1"/>
  <c r="L26" i="1"/>
  <c r="L21" i="1"/>
  <c r="L31" i="1"/>
  <c r="L34" i="1"/>
  <c r="L19" i="1"/>
  <c r="L36" i="1"/>
  <c r="L29" i="1"/>
  <c r="J45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<sst xmlns="http://schemas.openxmlformats.org/spreadsheetml/2006/main" count="301" uniqueCount="193">
  <si>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</si>
  <si>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</si>
  <si>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</si>
  <si>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</si>
  <si>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</si>
  <si>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</si>
  <si>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</si>
  <si>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</si>
  <si>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</si>
  <si>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</si>
  <si>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</si>
  <si>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</si>
  <si>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</si>
  <si>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</si>
  <si>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</si>
  <si>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</si>
  <si>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</si>
  <si>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</si>
  <si>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</si>
  <si>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</si>
  <si>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</si>
  <si>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</si>
  <si>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</si>
  <si>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</si>
  <si>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</si>
  <si>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</si>
  <si>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</si>
  <si>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</si>
  <si>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</si>
  <si>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</si>
  <si>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</si>
  <si>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</si>
  <si>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</si>
  <si>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</si>
  <si>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</si>
  <si>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</si>
  <si>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</si>
  <si>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</si>
  <si>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</si>
  <si>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</si>
  <si>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</si>
  <si>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</si>
  <si>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</si>
  <si>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</si>
  <si>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</si>
  <si>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</si>
  <si>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</si>
  <si>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</si>
  <si>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</si>
  <si>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</si>
  <si>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</si>
  <si>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</si>
  <si>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</si>
  <si>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</si>
  <si>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</si>
  <si>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</si>
  <si>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</si>
  <si>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</si>
  <si>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</si>
  <si>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</si>
  <si>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</si>
  <si>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</si>
  <si>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</si>
  <si>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</si>
  <si>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</si>
  <si>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</si>
  <si>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</si>
  <si>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</si>
  <si>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</si>
  <si>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</si>
  <si>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</si>
  <si>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</si>
  <si>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</si>
  <si>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</si>
  <si>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</si>
  <si>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</si>
  <si>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</si>
  <si>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</si>
  <si>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</si>
  <si>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</si>
  <si>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</si>
  <si>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</si>
  <si>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</si>
  <si>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</si>
  <si>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</si>
  <si>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</si>
  <si>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</si>
  <si>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</si>
  <si>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</si>
  <si>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</si>
  <si>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</si>
  <si>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</si>
  <si>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</si>
  <si>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</si>
  <si>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</si>
  <si>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</si>
  <si>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</si>
  <si>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</si>
  <si>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</si>
  <si>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</si>
  <si>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</si>
  <si>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</si>
  <si>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</si>
  <si>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</si>
  <si>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</si>
  <si>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</si>
  <si>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</si>
  <si>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</si>
  <si>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</si>
  <si>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</si>
  <si>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</si>
  <si>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</si>
  <si>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</si>
  <si>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</si>
  <si>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</si>
  <si>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</si>
  <si>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</si>
  <si>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</si>
  <si>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</si>
  <si>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</si>
  <si>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</si>
  <si>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</si>
  <si>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</si>
  <si>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</si>
  <si>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</si>
  <si>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</si>
  <si>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</si>
  <si>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</si>
  <si>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</si>
  <si>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</si>
  <si>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</si>
  <si>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</si>
  <si>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</si>
  <si>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</si>
  <si>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</si>
  <si>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</si>
  <si>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</si>
  <si>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</si>
  <si>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</si>
  <si>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</si>
  <si>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</si>
  <si>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</si>
  <si>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</si>
  <si>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</si>
  <si>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</si>
  <si>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</si>
  <si>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</si>
  <si>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</si>
  <si>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TUBERQUIA URREGO HAROL</t>
  </si>
  <si>
    <t>YEPES TORRES JHON ALEXANDER</t>
  </si>
  <si>
    <t>MACIAS HERNANDEZ JULIAN DAVID</t>
  </si>
  <si>
    <t>VERENZUELA MARTINEZ ALEXANDER</t>
  </si>
  <si>
    <t>ARAQUE ARROYAVE JOSE ALBEIRO</t>
  </si>
  <si>
    <t>CARTAGENA RAMIREZ FREDY ALONSO</t>
  </si>
  <si>
    <t>TUBERQUIA  MAICOL</t>
  </si>
  <si>
    <t>JIMENEZ HURTADO CARLOS ESTIVEN</t>
  </si>
  <si>
    <t>PARIAS MURIEL JHON FREDY</t>
  </si>
  <si>
    <t>LONDOÑO LOPERA DUVAN ANDRES</t>
  </si>
  <si>
    <t>VALENCIA MENDOZA JHON</t>
  </si>
  <si>
    <t>QUIRAMA CASTAÑEDA JHON JADER</t>
  </si>
  <si>
    <t>LOPEZ PINEDA DANIEL ESTIVEN</t>
  </si>
  <si>
    <t>PEREZ GARCIA JUAN ESTEBAN</t>
  </si>
  <si>
    <t>SANCHEZ BETANCOURT FRANSCISCO</t>
  </si>
  <si>
    <t>HERNANDEZ MACIAS GILBERTO</t>
  </si>
  <si>
    <t>JIMENEZ HERNANDEZ ESTEBAN CAMILO</t>
  </si>
  <si>
    <t>ALBERTO ARISTIZABAL RAFAEL</t>
  </si>
  <si>
    <t>CIRO MARIN RODRIGO ALBERTO</t>
  </si>
  <si>
    <t>MURILLO  YOIMAR ANDRES</t>
  </si>
  <si>
    <t>MARTINEZ CHAVERRA LUIS NORBERTO</t>
  </si>
  <si>
    <t>DAVID  HENRY GIOVANNY</t>
  </si>
  <si>
    <t>JARAMILLO JARAMILLO FRANCISCO WBEIMAR</t>
  </si>
  <si>
    <t>PARRA VILLA YUBER ALONSO</t>
  </si>
  <si>
    <t>ESPINOZA ECHAVARRIA EMANUEL</t>
  </si>
  <si>
    <t>LAYOS JIMENEZ JOHAN CAMILO</t>
  </si>
  <si>
    <t>IBARGUEN GARRIDO JUAN ESTEBAN</t>
  </si>
  <si>
    <t>SALDARRIAGA PARRA LUIS ALBERTO</t>
  </si>
  <si>
    <t>TABORDA ROJAS DIEGO ALEJANDRO</t>
  </si>
  <si>
    <t>GONZALEZ IPUANA RENE</t>
  </si>
  <si>
    <t>SUAREZ ESCUDERO JONATAN</t>
  </si>
  <si>
    <t>RUA CHAVARRIA YEFERSON ANDREY</t>
  </si>
  <si>
    <t>MONTOYA OSPINA GILBERTO ANTONIO</t>
  </si>
  <si>
    <t>LEON PEREZ RAUL ENRIQUE</t>
  </si>
  <si>
    <t>AGUDELO GARCIA LLORDIN ELIAS</t>
  </si>
  <si>
    <t>LOPERA ALVAREZ ESTIVEN</t>
  </si>
  <si>
    <t>PALMAR PANA EDIXON JOSUE</t>
  </si>
  <si>
    <t>FLORES RINCON JORGE ALBERTO</t>
  </si>
  <si>
    <t xml:space="preserve">2 Descuentos (Despachador y conduct) </t>
  </si>
  <si>
    <t xml:space="preserve">1 Descuento (Despachador) </t>
  </si>
  <si>
    <t xml:space="preserve">3 Descuentos (Despachador y usuarios desubicados) </t>
  </si>
  <si>
    <t xml:space="preserve">1 Descuento (Usuario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</si>
  <si>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17.8 USUARIOS</t>
    </r>
  </si>
  <si>
    <t xml:space="preserve">Se descuenta 0.5 viaje de 4 06 pm ya que abandona ruta sin autorización. 1 Descuento (Despachador) </t>
  </si>
  <si>
    <t xml:space="preserve">Se descuenta 0.5 viaje de 8 57 am ya que NO espera el tiempo indicado en el paradero.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</si>
</sst>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2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4" fontId="33" fillId="0" borderId="8" xfId="1" applyFont="1" applyBorder="1" applyAlignment="1">
      <alignment horizontal="center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0</c:formatCode>
                <c:ptCount val="3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 formatCode="General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 formatCode="General">
                  <c:v>24</c:v>
                </c:pt>
                <c:pt idx="20">
                  <c:v>25</c:v>
                </c:pt>
                <c:pt idx="21" formatCode="General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 formatCode="General">
                  <c:v>42</c:v>
                </c:pt>
                <c:pt idx="36">
                  <c:v>43</c:v>
                </c:pt>
                <c:pt idx="37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19</c:v>
                </c:pt>
                <c:pt idx="1">
                  <c:v>16.875</c:v>
                </c:pt>
                <c:pt idx="2">
                  <c:v>20.100000000000001</c:v>
                </c:pt>
                <c:pt idx="3">
                  <c:v>16.600000000000001</c:v>
                </c:pt>
                <c:pt idx="4">
                  <c:v>20.111111111111111</c:v>
                </c:pt>
                <c:pt idx="5">
                  <c:v>19.399999999999999</c:v>
                </c:pt>
                <c:pt idx="6">
                  <c:v>21.3</c:v>
                </c:pt>
                <c:pt idx="7">
                  <c:v>17.888888888888889</c:v>
                </c:pt>
                <c:pt idx="8">
                  <c:v>22.833333333333332</c:v>
                </c:pt>
                <c:pt idx="9">
                  <c:v>15.7</c:v>
                </c:pt>
                <c:pt idx="10">
                  <c:v>19.384615384615383</c:v>
                </c:pt>
                <c:pt idx="11">
                  <c:v>18.899999999999999</c:v>
                </c:pt>
                <c:pt idx="12">
                  <c:v>13.3</c:v>
                </c:pt>
                <c:pt idx="13">
                  <c:v>20</c:v>
                </c:pt>
                <c:pt idx="14">
                  <c:v>16.90909090909091</c:v>
                </c:pt>
                <c:pt idx="15">
                  <c:v>21.222222222222221</c:v>
                </c:pt>
                <c:pt idx="16">
                  <c:v>16.5</c:v>
                </c:pt>
                <c:pt idx="17">
                  <c:v>15.888888888888889</c:v>
                </c:pt>
                <c:pt idx="18">
                  <c:v>15.333333333333334</c:v>
                </c:pt>
                <c:pt idx="19">
                  <c:v>14.888888888888889</c:v>
                </c:pt>
                <c:pt idx="20">
                  <c:v>21.333333333333332</c:v>
                </c:pt>
                <c:pt idx="21">
                  <c:v>15.666666666666666</c:v>
                </c:pt>
                <c:pt idx="22">
                  <c:v>17.222222222222221</c:v>
                </c:pt>
                <c:pt idx="23">
                  <c:v>15.9</c:v>
                </c:pt>
                <c:pt idx="24">
                  <c:v>17.777777777777779</c:v>
                </c:pt>
                <c:pt idx="25">
                  <c:v>13.222222222222221</c:v>
                </c:pt>
                <c:pt idx="26">
                  <c:v>20.714285714285715</c:v>
                </c:pt>
                <c:pt idx="27">
                  <c:v>19.571428571428573</c:v>
                </c:pt>
                <c:pt idx="28">
                  <c:v>14.555555555555555</c:v>
                </c:pt>
                <c:pt idx="29">
                  <c:v>20.7</c:v>
                </c:pt>
                <c:pt idx="30">
                  <c:v>18.875</c:v>
                </c:pt>
                <c:pt idx="31">
                  <c:v>14.142857142857142</c:v>
                </c:pt>
                <c:pt idx="32">
                  <c:v>18.600000000000001</c:v>
                </c:pt>
                <c:pt idx="33">
                  <c:v>19.333333333333332</c:v>
                </c:pt>
                <c:pt idx="34">
                  <c:v>23.625</c:v>
                </c:pt>
                <c:pt idx="35">
                  <c:v>15.888888888888889</c:v>
                </c:pt>
                <c:pt idx="36">
                  <c:v>17</c:v>
                </c:pt>
                <c:pt idx="37">
                  <c:v>16.222222222222221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5" totalsRowCount="1" headerRowDxfId="62" dataDxfId="61" totalsRowDxfId="60">
  <sortState xmlns:xlrd2="http://schemas.microsoft.com/office/spreadsheetml/2017/richdata2" ref="B7:N44">
    <sortCondition ref="C15:C44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17.8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+(SUMIFS(G:G,M:M,"MICRO",E:E,"&gt;0")*100)/COUNTIF($E$7:$E$44,"&gt;0")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topLeftCell="A27" zoomScaleNormal="100" workbookViewId="0">
      <selection activeCell="A27"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8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+SUM(G6:G1856)/2</f>
        <v>6121</v>
      </c>
      <c r="R3" s="55">
        <f>+SUM(E6:E1856)/2</f>
        <v>342</v>
      </c>
      <c r="S3" s="55">
        <f>+Q3-R3</f>
        <v>5779</v>
      </c>
      <c r="T3" s="56">
        <f>+S3/R3</f>
        <v>16.897660818713451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46029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121</v>
      </c>
      <c r="C7" s="166">
        <v>2</v>
      </c>
      <c r="D7" s="151" t="s">
        <v>156</v>
      </c>
      <c r="E7" s="150">
        <v>9</v>
      </c>
      <c r="F7" s="150">
        <v>0</v>
      </c>
      <c r="G7" s="165">
        <v>171</v>
      </c>
      <c r="H7" s="226">
        <f>+G7/E7</f>
        <v>19</v>
      </c>
      <c r="I7" s="227">
        <f>+(SUM($G$7:$G$1048576)/SUM($E$7:$E$1048576))*E7</f>
        <v>161.07894736842107</v>
      </c>
      <c r="J7" s="363">
        <f>+Tabla2[[#This Row],[PROM DE USUARIOS]]-Tabla2[[#This Row],[USUARIOS]]</f>
        <v>-9.9210526315789309</v>
      </c>
      <c r="K7" s="151" t="s">
        <v>186</v>
      </c>
      <c r="L7" s="163">
        <f>P7*585</f>
        <v>88966.18421052632</v>
      </c>
      <c r="M7" s="162">
        <f>+VLOOKUP(C7,Lista!B:D,3,0)</f>
        <v>0</v>
      </c>
      <c r="N7" s="164">
        <f>+(SUMIFS(G:G,M:M,"MICRO",E:E,"&gt;0")*100)/COUNTIF($E$7:$E$44,"&gt;0")</f>
        <v>8821.0526315789466</v>
      </c>
      <c r="O7" s="50">
        <f t="shared" ref="O7:O44" si="0">+(E7*1)-V7</f>
        <v>9</v>
      </c>
      <c r="P7" s="47">
        <f t="shared" ref="P7:P44" si="1">+I7-O7-W7</f>
        <v>152.07894736842107</v>
      </c>
      <c r="Q7" s="49">
        <f t="shared" ref="Q7:Q44" si="2">+G7-O7</f>
        <v>162</v>
      </c>
      <c r="R7" s="51">
        <f t="shared" ref="R7:R44" si="3">+E7*$T$3</f>
        <v>152.07894736842107</v>
      </c>
      <c r="S7" s="46">
        <f t="shared" ref="S7:S44" si="4">+R7*550</f>
        <v>83643.421052631587</v>
      </c>
      <c r="T7" t="str">
        <f t="shared" ref="T7:T44" si="5">+IF(K7&lt;&gt;"",K7,"")</f>
        <v xml:space="preserve">2 Descuentos (Despachador y conduct) </v>
      </c>
      <c r="U7">
        <f>+RANK(H7,$H$6:$H$1048576,1)</f>
        <v>25</v>
      </c>
      <c r="V7"/>
      <c r="W7"/>
      <c r="Y7" t="str">
        <f>TRIM(Tabla2[[#This Row],[CONDUCTOR]])</f>
        <v>PARIAS MURIEL JHON FREDY</v>
      </c>
    </row>
    <row r="8" spans="1:32" x14ac:dyDescent="0.2">
      <c r="B8" s="136" t="s">
        <v>122</v>
      </c>
      <c r="C8" s="166">
        <v>3</v>
      </c>
      <c r="D8" s="151" t="s">
        <v>172</v>
      </c>
      <c r="E8" s="150">
        <v>8</v>
      </c>
      <c r="F8" s="150">
        <v>0</v>
      </c>
      <c r="G8" s="165">
        <v>135</v>
      </c>
      <c r="H8" s="226">
        <f>+G8/E8</f>
        <v>16.875</v>
      </c>
      <c r="I8" s="227">
        <f>+(SUM($G$7:$G$1048576)/SUM($E$7:$E$1048576))*E8</f>
        <v>143.18128654970761</v>
      </c>
      <c r="J8" s="363">
        <f>+Tabla2[[#This Row],[PROM DE USUARIOS]]-Tabla2[[#This Row],[USUARIOS]]</f>
        <v>8.1812865497076075</v>
      </c>
      <c r="K8" s="151"/>
      <c r="L8" s="163">
        <f>P8*585</f>
        <v>79081.052631578947</v>
      </c>
      <c r="M8" s="162" t="str">
        <f>+VLOOKUP(C8,Lista!B:D,3,0)</f>
        <v>MICRO</v>
      </c>
      <c r="N8" s="164">
        <f>+(SUMIFS(G:G,M:M,"MICRO",E:E,"&gt;0")*100)/COUNTIF($E$7:$E$44,"&gt;0")</f>
        <v>8821.0526315789466</v>
      </c>
      <c r="O8" s="50">
        <f t="shared" si="0"/>
        <v>8</v>
      </c>
      <c r="P8" s="47">
        <f t="shared" si="1"/>
        <v>135.18128654970761</v>
      </c>
      <c r="Q8" s="49">
        <f t="shared" si="2"/>
        <v>127</v>
      </c>
      <c r="R8" s="51">
        <f t="shared" si="3"/>
        <v>135.18128654970761</v>
      </c>
      <c r="S8" s="46">
        <f t="shared" si="4"/>
        <v>74349.707602339186</v>
      </c>
      <c r="T8" t="str">
        <f t="shared" si="5"/>
        <v/>
      </c>
      <c r="U8">
        <f>+RANK(H8,$H$6:$H$1048576,1)</f>
        <v>15</v>
      </c>
      <c r="Y8" t="str">
        <f>TRIM(Tabla2[[#This Row],[CONDUCTOR]])</f>
        <v>ESPINOZA ECHAVARRIA EMANUEL</v>
      </c>
    </row>
    <row r="9" spans="1:32" x14ac:dyDescent="0.2">
      <c r="B9" s="136" t="s">
        <v>121</v>
      </c>
      <c r="C9" s="166">
        <v>4</v>
      </c>
      <c r="D9" s="151" t="s">
        <v>162</v>
      </c>
      <c r="E9" s="150">
        <v>10</v>
      </c>
      <c r="F9" s="150">
        <v>0</v>
      </c>
      <c r="G9" s="146">
        <v>201</v>
      </c>
      <c r="H9" s="226">
        <f>+G9/E9</f>
        <v>20.100000000000001</v>
      </c>
      <c r="I9" s="364">
        <f>+(SUM($G$7:$G$1048576)/SUM($E$7:$E$1048576))*E9</f>
        <v>178.9766081871345</v>
      </c>
      <c r="J9" s="363">
        <f>+Tabla2[[#This Row],[PROM DE USUARIOS]]-Tabla2[[#This Row],[USUARIOS]]</f>
        <v>-22.023391812865498</v>
      </c>
      <c r="K9" s="151"/>
      <c r="L9" s="163">
        <f>P9*585</f>
        <v>98851.31578947368</v>
      </c>
      <c r="M9" s="162" t="str">
        <f>+VLOOKUP(C9,Lista!B:D,3,0)</f>
        <v>MICRO</v>
      </c>
      <c r="N9" s="164">
        <f>+(SUMIFS(G:G,M:M,"MICRO",E:E,"&gt;0")*100)/COUNTIF($E$7:$E$44,"&gt;0")</f>
        <v>8821.0526315789466</v>
      </c>
      <c r="O9" s="50">
        <f t="shared" si="0"/>
        <v>10</v>
      </c>
      <c r="P9" s="47">
        <f t="shared" si="1"/>
        <v>168.9766081871345</v>
      </c>
      <c r="Q9" s="49">
        <f t="shared" si="2"/>
        <v>191</v>
      </c>
      <c r="R9" s="51">
        <f t="shared" si="3"/>
        <v>168.9766081871345</v>
      </c>
      <c r="S9" s="46">
        <f t="shared" si="4"/>
        <v>92937.134502923975</v>
      </c>
      <c r="T9" t="str">
        <f t="shared" si="5"/>
        <v/>
      </c>
      <c r="U9">
        <f>+RANK(H9,$H$6:$H$1048576,1)</f>
        <v>31</v>
      </c>
      <c r="Y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5</v>
      </c>
      <c r="D10" s="151" t="s">
        <v>157</v>
      </c>
      <c r="E10" s="150">
        <v>10</v>
      </c>
      <c r="F10" s="150">
        <v>0</v>
      </c>
      <c r="G10" s="165">
        <v>166</v>
      </c>
      <c r="H10" s="226">
        <f>+G10/E10</f>
        <v>16.600000000000001</v>
      </c>
      <c r="I10" s="227">
        <f>+(SUM($G$7:$G$1048576)/SUM($E$7:$E$1048576))*E10</f>
        <v>178.9766081871345</v>
      </c>
      <c r="J10" s="363">
        <f>+Tabla2[[#This Row],[PROM DE USUARIOS]]-Tabla2[[#This Row],[USUARIOS]]</f>
        <v>12.976608187134502</v>
      </c>
      <c r="K10" s="151"/>
      <c r="L10" s="163">
        <f>P10*585</f>
        <v>98851.31578947368</v>
      </c>
      <c r="M10" s="162">
        <f>+VLOOKUP(C10,Lista!B:D,3,0)</f>
        <v>0</v>
      </c>
      <c r="N10" s="164">
        <f>+(SUMIFS(G:G,M:M,"MICRO",E:E,"&gt;0")*100)/COUNTIF($E$7:$E$44,"&gt;0")</f>
        <v>8821.0526315789466</v>
      </c>
      <c r="O10" s="50">
        <f t="shared" si="0"/>
        <v>10</v>
      </c>
      <c r="P10" s="47">
        <f t="shared" si="1"/>
        <v>168.9766081871345</v>
      </c>
      <c r="Q10" s="49">
        <f t="shared" si="2"/>
        <v>156</v>
      </c>
      <c r="R10" s="51">
        <f t="shared" si="3"/>
        <v>168.9766081871345</v>
      </c>
      <c r="S10" s="46">
        <f t="shared" si="4"/>
        <v>92937.134502923975</v>
      </c>
      <c r="T10" t="str">
        <f t="shared" si="5"/>
        <v/>
      </c>
      <c r="U10">
        <f>+RANK(H10,$H$6:$H$1048576,1)</f>
        <v>14</v>
      </c>
      <c r="Y10" t="str">
        <f>TRIM(Tabla2[[#This Row],[CONDUCTOR]])</f>
        <v>LONDOÑO LOPERA DUVAN ANDRES</v>
      </c>
    </row>
    <row r="11" spans="1:32" x14ac:dyDescent="0.2">
      <c r="B11" s="136" t="s">
        <v>121</v>
      </c>
      <c r="C11" s="166">
        <v>6</v>
      </c>
      <c r="D11" s="151" t="s">
        <v>160</v>
      </c>
      <c r="E11" s="150">
        <v>9</v>
      </c>
      <c r="F11" s="150">
        <v>0</v>
      </c>
      <c r="G11" s="146">
        <v>181</v>
      </c>
      <c r="H11" s="226">
        <f>+G11/E11</f>
        <v>20.111111111111111</v>
      </c>
      <c r="I11" s="364">
        <f>+(SUM($G$7:$G$1048576)/SUM($E$7:$E$1048576))*E11</f>
        <v>161.07894736842107</v>
      </c>
      <c r="J11" s="363">
        <f>+Tabla2[[#This Row],[PROM DE USUARIOS]]-Tabla2[[#This Row],[USUARIOS]]</f>
        <v>-19.921052631578931</v>
      </c>
      <c r="K11" s="151" t="s">
        <v>187</v>
      </c>
      <c r="L11" s="163">
        <f>P11*585</f>
        <v>88966.18421052632</v>
      </c>
      <c r="M11" s="162" t="str">
        <f>+VLOOKUP(C11,Lista!B:D,3,0)</f>
        <v>MICRO</v>
      </c>
      <c r="N11" s="164">
        <f>+(SUMIFS(G:G,M:M,"MICRO",E:E,"&gt;0")*100)/COUNTIF($E$7:$E$44,"&gt;0")</f>
        <v>8821.0526315789466</v>
      </c>
      <c r="O11" s="50">
        <f t="shared" si="0"/>
        <v>9</v>
      </c>
      <c r="P11" s="47">
        <f t="shared" si="1"/>
        <v>152.07894736842107</v>
      </c>
      <c r="Q11" s="49">
        <f t="shared" si="2"/>
        <v>172</v>
      </c>
      <c r="R11" s="51">
        <f t="shared" si="3"/>
        <v>152.07894736842107</v>
      </c>
      <c r="S11" s="46">
        <f t="shared" si="4"/>
        <v>83643.421052631587</v>
      </c>
      <c r="T11" t="str">
        <f t="shared" si="5"/>
        <v xml:space="preserve">1 Descuento (Despachador) </v>
      </c>
      <c r="U11">
        <f>+RANK(H11,$H$6:$H$1048576,1)</f>
        <v>32</v>
      </c>
      <c r="Y11" t="str">
        <f>TRIM(Tabla2[[#This Row],[CONDUCTOR]])</f>
        <v>LOPEZ PINEDA DANIEL ESTIVEN</v>
      </c>
    </row>
    <row r="12" spans="1:32" x14ac:dyDescent="0.2">
      <c r="B12" s="136" t="s">
        <v>122</v>
      </c>
      <c r="C12" s="166">
        <v>7</v>
      </c>
      <c r="D12" s="151" t="s">
        <v>148</v>
      </c>
      <c r="E12" s="150">
        <v>10</v>
      </c>
      <c r="F12" s="150">
        <v>0</v>
      </c>
      <c r="G12" s="146">
        <v>194</v>
      </c>
      <c r="H12" s="226">
        <f>+G12/E12</f>
        <v>19.399999999999999</v>
      </c>
      <c r="I12" s="364">
        <f>+(SUM($G$7:$G$1048576)/SUM($E$7:$E$1048576))*E12</f>
        <v>178.9766081871345</v>
      </c>
      <c r="J12" s="363">
        <f>+Tabla2[[#This Row],[PROM DE USUARIOS]]-Tabla2[[#This Row],[USUARIOS]]</f>
        <v>-15.023391812865498</v>
      </c>
      <c r="K12" s="151"/>
      <c r="L12" s="163">
        <f>P12*585</f>
        <v>98851.31578947368</v>
      </c>
      <c r="M12" s="162">
        <f>+VLOOKUP(C12,Lista!B:D,3,0)</f>
        <v>0</v>
      </c>
      <c r="N12" s="164">
        <f>+(SUMIFS(G:G,M:M,"MICRO",E:E,"&gt;0")*100)/COUNTIF($E$7:$E$44,"&gt;0")</f>
        <v>8821.0526315789466</v>
      </c>
      <c r="O12" s="50">
        <f t="shared" si="0"/>
        <v>10</v>
      </c>
      <c r="P12" s="47">
        <f t="shared" si="1"/>
        <v>168.9766081871345</v>
      </c>
      <c r="Q12" s="49">
        <f t="shared" si="2"/>
        <v>184</v>
      </c>
      <c r="R12" s="51">
        <f t="shared" si="3"/>
        <v>168.9766081871345</v>
      </c>
      <c r="S12" s="46">
        <f t="shared" si="4"/>
        <v>92937.134502923975</v>
      </c>
      <c r="T12" t="str">
        <f t="shared" si="5"/>
        <v/>
      </c>
      <c r="U12">
        <f>+RANK(H12,$H$6:$H$1048576,1)</f>
        <v>28</v>
      </c>
      <c r="Y12" t="str">
        <f>TRIM(Tabla2[[#This Row],[CONDUCTOR]])</f>
        <v>TUBERQUIA URREGO HAROL</v>
      </c>
    </row>
    <row r="13" spans="1:32" x14ac:dyDescent="0.2">
      <c r="B13" s="136" t="s">
        <v>121</v>
      </c>
      <c r="C13" s="166">
        <v>9</v>
      </c>
      <c r="D13" s="151" t="s">
        <v>153</v>
      </c>
      <c r="E13" s="150">
        <v>10</v>
      </c>
      <c r="F13" s="150">
        <v>0</v>
      </c>
      <c r="G13" s="165">
        <v>213</v>
      </c>
      <c r="H13" s="226">
        <f>+G13/E13</f>
        <v>21.3</v>
      </c>
      <c r="I13" s="227">
        <f>+(SUM($G$7:$G$1048576)/SUM($E$7:$E$1048576))*E13</f>
        <v>178.9766081871345</v>
      </c>
      <c r="J13" s="363">
        <f>+Tabla2[[#This Row],[PROM DE USUARIOS]]-Tabla2[[#This Row],[USUARIOS]]</f>
        <v>-34.023391812865498</v>
      </c>
      <c r="K13" s="151"/>
      <c r="L13" s="163">
        <f>P13*585</f>
        <v>98851.31578947368</v>
      </c>
      <c r="M13" s="162" t="str">
        <f>+VLOOKUP(C13,Lista!B:D,3,0)</f>
        <v>MICRO</v>
      </c>
      <c r="N13" s="164">
        <f>+(SUMIFS(G:G,M:M,"MICRO",E:E,"&gt;0")*100)/COUNTIF($E$7:$E$44,"&gt;0")</f>
        <v>8821.0526315789466</v>
      </c>
      <c r="O13" s="50">
        <f t="shared" si="0"/>
        <v>10</v>
      </c>
      <c r="P13" s="47">
        <f t="shared" si="1"/>
        <v>168.9766081871345</v>
      </c>
      <c r="Q13" s="49">
        <f t="shared" si="2"/>
        <v>203</v>
      </c>
      <c r="R13" s="51">
        <f t="shared" si="3"/>
        <v>168.9766081871345</v>
      </c>
      <c r="S13" s="46">
        <f t="shared" si="4"/>
        <v>92937.134502923975</v>
      </c>
      <c r="T13" t="str">
        <f t="shared" si="5"/>
        <v/>
      </c>
      <c r="U13">
        <f>+RANK(H13,$H$6:$H$1048576,1)</f>
        <v>36</v>
      </c>
      <c r="Y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11</v>
      </c>
      <c r="D14" s="151" t="s">
        <v>149</v>
      </c>
      <c r="E14" s="150">
        <v>9</v>
      </c>
      <c r="F14" s="150"/>
      <c r="G14" s="146">
        <v>161</v>
      </c>
      <c r="H14" s="226">
        <f>+G14/E14</f>
        <v>17.888888888888889</v>
      </c>
      <c r="I14" s="364">
        <f>+(SUM($G$7:$G$1048576)/SUM($E$7:$E$1048576))*E14</f>
        <v>161.07894736842107</v>
      </c>
      <c r="J14" s="363">
        <f>+Tabla2[[#This Row],[PROM DE USUARIOS]]-Tabla2[[#This Row],[USUARIOS]]</f>
        <v>7.8947368421069086E-2</v>
      </c>
      <c r="K14" s="151"/>
      <c r="L14" s="163">
        <f>P14*585</f>
        <v>88966.18421052632</v>
      </c>
      <c r="M14" s="162" t="str">
        <f>+VLOOKUP(C14,Lista!B:D,3,0)</f>
        <v>MICRO</v>
      </c>
      <c r="N14" s="164">
        <f>+(SUMIFS(G:G,M:M,"MICRO",E:E,"&gt;0")*100)/COUNTIF($E$7:$E$44,"&gt;0")</f>
        <v>8821.0526315789466</v>
      </c>
      <c r="O14" s="50">
        <f t="shared" si="0"/>
        <v>9</v>
      </c>
      <c r="P14" s="47">
        <f t="shared" si="1"/>
        <v>152.07894736842107</v>
      </c>
      <c r="Q14" s="49">
        <f t="shared" si="2"/>
        <v>152</v>
      </c>
      <c r="R14" s="51">
        <f t="shared" si="3"/>
        <v>152.07894736842107</v>
      </c>
      <c r="S14" s="46">
        <f t="shared" si="4"/>
        <v>83643.421052631587</v>
      </c>
      <c r="T14" t="str">
        <f t="shared" si="5"/>
        <v/>
      </c>
      <c r="U14">
        <f>+RANK(H14,$H$6:$H$1048576,1)</f>
        <v>20</v>
      </c>
      <c r="Y14" t="str">
        <f>TRIM(Tabla2[[#This Row],[CONDUCTOR]])</f>
        <v>YEPES TORRES JHON ALEXANDER</v>
      </c>
    </row>
    <row r="15" spans="1:32" x14ac:dyDescent="0.2">
      <c r="B15" s="136" t="s">
        <v>122</v>
      </c>
      <c r="C15" s="166">
        <v>12</v>
      </c>
      <c r="D15" s="151" t="s">
        <v>169</v>
      </c>
      <c r="E15" s="150">
        <v>6</v>
      </c>
      <c r="F15" s="150">
        <v>0</v>
      </c>
      <c r="G15" s="146">
        <v>137</v>
      </c>
      <c r="H15" s="226">
        <f>+G15/E15</f>
        <v>22.833333333333332</v>
      </c>
      <c r="I15" s="364">
        <f>+(SUM($G$7:$G$1048576)/SUM($E$7:$E$1048576))*E15</f>
        <v>107.38596491228071</v>
      </c>
      <c r="J15" s="363">
        <f>+Tabla2[[#This Row],[PROM DE USUARIOS]]-Tabla2[[#This Row],[USUARIOS]]</f>
        <v>-29.614035087719287</v>
      </c>
      <c r="K15" s="151"/>
      <c r="L15" s="163">
        <f>P15*585</f>
        <v>59310.789473684214</v>
      </c>
      <c r="M15" s="162">
        <f>+VLOOKUP(C15,Lista!B:D,3,0)</f>
        <v>0</v>
      </c>
      <c r="N15" s="164">
        <f>+(SUMIFS(G:G,M:M,"MICRO",E:E,"&gt;0")*100)/COUNTIF($E$7:$E$44,"&gt;0")</f>
        <v>8821.0526315789466</v>
      </c>
      <c r="O15" s="50">
        <f t="shared" si="0"/>
        <v>6</v>
      </c>
      <c r="P15" s="47">
        <f t="shared" si="1"/>
        <v>101.38596491228071</v>
      </c>
      <c r="Q15" s="49">
        <f t="shared" si="2"/>
        <v>131</v>
      </c>
      <c r="R15" s="51">
        <f t="shared" si="3"/>
        <v>101.38596491228071</v>
      </c>
      <c r="S15" s="46">
        <f t="shared" si="4"/>
        <v>55762.280701754389</v>
      </c>
      <c r="T15" t="str">
        <f t="shared" si="5"/>
        <v/>
      </c>
      <c r="U15">
        <f>+RANK(H15,$H$6:$H$1048576,1)</f>
        <v>38</v>
      </c>
      <c r="Y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171</v>
      </c>
      <c r="E16" s="150">
        <v>10</v>
      </c>
      <c r="F16" s="150">
        <v>0</v>
      </c>
      <c r="G16" s="146">
        <v>157</v>
      </c>
      <c r="H16" s="226">
        <f>+G16/E16</f>
        <v>15.7</v>
      </c>
      <c r="I16" s="364">
        <f>+(SUM($G$7:$G$1048576)/SUM($E$7:$E$1048576))*E16</f>
        <v>178.9766081871345</v>
      </c>
      <c r="J16" s="363">
        <f>+Tabla2[[#This Row],[PROM DE USUARIOS]]-Tabla2[[#This Row],[USUARIOS]]</f>
        <v>21.976608187134502</v>
      </c>
      <c r="K16" s="151"/>
      <c r="L16" s="163">
        <f>P16*585</f>
        <v>98851.31578947368</v>
      </c>
      <c r="M16" s="162" t="str">
        <f>+VLOOKUP(C16,Lista!B:D,3,0)</f>
        <v>MICRO</v>
      </c>
      <c r="N16" s="164">
        <f>+(SUMIFS(G:G,M:M,"MICRO",E:E,"&gt;0")*100)/COUNTIF($E$7:$E$44,"&gt;0")</f>
        <v>8821.0526315789466</v>
      </c>
      <c r="O16" s="50">
        <f t="shared" si="0"/>
        <v>10</v>
      </c>
      <c r="P16" s="47">
        <f t="shared" si="1"/>
        <v>168.9766081871345</v>
      </c>
      <c r="Q16" s="49">
        <f t="shared" si="2"/>
        <v>147</v>
      </c>
      <c r="R16" s="51">
        <f t="shared" si="3"/>
        <v>168.9766081871345</v>
      </c>
      <c r="S16" s="46">
        <f t="shared" si="4"/>
        <v>92937.134502923975</v>
      </c>
      <c r="T16" t="str">
        <f t="shared" si="5"/>
        <v/>
      </c>
      <c r="U16">
        <f>+RANK(H16,$H$6:$H$1048576,1)</f>
        <v>8</v>
      </c>
      <c r="Y16" t="str">
        <f>TRIM(Tabla2[[#This Row],[CONDUCTOR]])</f>
        <v>PARRA VILLA YUBER ALONSO</v>
      </c>
    </row>
    <row r="17" spans="2:25" x14ac:dyDescent="0.2">
      <c r="B17" s="136" t="s">
        <v>122</v>
      </c>
      <c r="C17" s="166">
        <v>14</v>
      </c>
      <c r="D17" s="151" t="s">
        <v>151</v>
      </c>
      <c r="E17" s="150">
        <v>13</v>
      </c>
      <c r="F17" s="150">
        <v>0</v>
      </c>
      <c r="G17" s="165">
        <v>252</v>
      </c>
      <c r="H17" s="226">
        <f>+G17/E17</f>
        <v>19.384615384615383</v>
      </c>
      <c r="I17" s="227">
        <f>+(SUM($G$7:$G$1048576)/SUM($E$7:$E$1048576))*E17</f>
        <v>232.66959064327486</v>
      </c>
      <c r="J17" s="363">
        <f>+Tabla2[[#This Row],[PROM DE USUARIOS]]-Tabla2[[#This Row],[USUARIOS]]</f>
        <v>-19.330409356725141</v>
      </c>
      <c r="K17" s="151"/>
      <c r="L17" s="163">
        <f>P17*585</f>
        <v>128506.71052631579</v>
      </c>
      <c r="M17" s="162">
        <f>+VLOOKUP(C17,Lista!B:D,3,0)</f>
        <v>0</v>
      </c>
      <c r="N17" s="164">
        <f>+(SUMIFS(G:G,M:M,"MICRO",E:E,"&gt;0")*100)/COUNTIF($E$7:$E$44,"&gt;0")</f>
        <v>8821.0526315789466</v>
      </c>
      <c r="O17" s="50">
        <f t="shared" si="0"/>
        <v>13</v>
      </c>
      <c r="P17" s="47">
        <f t="shared" si="1"/>
        <v>219.66959064327486</v>
      </c>
      <c r="Q17" s="49">
        <f t="shared" si="2"/>
        <v>239</v>
      </c>
      <c r="R17" s="51">
        <f t="shared" si="3"/>
        <v>219.66959064327486</v>
      </c>
      <c r="S17" s="46">
        <f t="shared" si="4"/>
        <v>120818.27485380117</v>
      </c>
      <c r="T17" t="str">
        <f t="shared" si="5"/>
        <v/>
      </c>
      <c r="U17">
        <f>+RANK(H17,$H$6:$H$1048576,1)</f>
        <v>27</v>
      </c>
      <c r="Y17" t="str">
        <f>TRIM(Tabla2[[#This Row],[CONDUCTOR]])</f>
        <v>VERENZUELA MARTINEZ ALEXANDER</v>
      </c>
    </row>
    <row r="18" spans="2:25" x14ac:dyDescent="0.2">
      <c r="B18" s="136" t="s">
        <v>121</v>
      </c>
      <c r="C18" s="137">
        <v>15</v>
      </c>
      <c r="D18" s="151" t="s">
        <v>163</v>
      </c>
      <c r="E18" s="150">
        <v>10</v>
      </c>
      <c r="F18" s="150">
        <v>0</v>
      </c>
      <c r="G18" s="165">
        <v>189</v>
      </c>
      <c r="H18" s="226">
        <f>+G18/E18</f>
        <v>18.899999999999999</v>
      </c>
      <c r="I18" s="227">
        <f>+(SUM($G$7:$G$1048576)/SUM($E$7:$E$1048576))*E18</f>
        <v>178.9766081871345</v>
      </c>
      <c r="J18" s="363">
        <f>+Tabla2[[#This Row],[PROM DE USUARIOS]]-Tabla2[[#This Row],[USUARIOS]]</f>
        <v>-10.023391812865498</v>
      </c>
      <c r="K18" s="151"/>
      <c r="L18" s="163">
        <f>P18*585</f>
        <v>98851.31578947368</v>
      </c>
      <c r="M18" s="162">
        <f>+VLOOKUP(C18,Lista!B:D,3,0)</f>
        <v>0</v>
      </c>
      <c r="N18" s="164">
        <f>+(SUMIFS(G:G,M:M,"MICRO",E:E,"&gt;0")*100)/COUNTIF($E$7:$E$44,"&gt;0")</f>
        <v>8821.0526315789466</v>
      </c>
      <c r="O18" s="50">
        <f t="shared" si="0"/>
        <v>10</v>
      </c>
      <c r="P18" s="47">
        <f t="shared" si="1"/>
        <v>168.9766081871345</v>
      </c>
      <c r="Q18" s="49">
        <f t="shared" si="2"/>
        <v>179</v>
      </c>
      <c r="R18" s="51">
        <f t="shared" si="3"/>
        <v>168.9766081871345</v>
      </c>
      <c r="S18" s="46">
        <f t="shared" si="4"/>
        <v>92937.134502923975</v>
      </c>
      <c r="T18" t="str">
        <f t="shared" si="5"/>
        <v/>
      </c>
      <c r="U18">
        <f>+RANK(H18,$H$6:$H$1048576,1)</f>
        <v>24</v>
      </c>
      <c r="Y18" t="str">
        <f>TRIM(Tabla2[[#This Row],[CONDUCTOR]])</f>
        <v>HERNANDEZ MACIAS GILBERTO</v>
      </c>
    </row>
    <row r="19" spans="2:25" x14ac:dyDescent="0.2">
      <c r="B19" s="136" t="s">
        <v>122</v>
      </c>
      <c r="C19" s="166">
        <v>16</v>
      </c>
      <c r="D19" s="151" t="s">
        <v>161</v>
      </c>
      <c r="E19" s="150">
        <v>10</v>
      </c>
      <c r="F19" s="150">
        <v>0</v>
      </c>
      <c r="G19" s="165">
        <v>133</v>
      </c>
      <c r="H19" s="226">
        <f>+G19/E19</f>
        <v>13.3</v>
      </c>
      <c r="I19" s="227">
        <f>+(SUM($G$7:$G$1048576)/SUM($E$7:$E$1048576))*E19</f>
        <v>178.9766081871345</v>
      </c>
      <c r="J19" s="363">
        <f>+Tabla2[[#This Row],[PROM DE USUARIOS]]-Tabla2[[#This Row],[USUARIOS]]</f>
        <v>45.976608187134502</v>
      </c>
      <c r="K19" s="151"/>
      <c r="L19" s="163">
        <f>P19*585</f>
        <v>98851.31578947368</v>
      </c>
      <c r="M19" s="162" t="str">
        <f>+VLOOKUP(C19,Lista!B:D,3,0)</f>
        <v>MICRO</v>
      </c>
      <c r="N19" s="164">
        <f>+(SUMIFS(G:G,M:M,"MICRO",E:E,"&gt;0")*100)/COUNTIF($E$7:$E$44,"&gt;0")</f>
        <v>8821.0526315789466</v>
      </c>
      <c r="O19" s="50">
        <f t="shared" si="0"/>
        <v>10</v>
      </c>
      <c r="P19" s="47">
        <f t="shared" si="1"/>
        <v>168.9766081871345</v>
      </c>
      <c r="Q19" s="49">
        <f t="shared" si="2"/>
        <v>123</v>
      </c>
      <c r="R19" s="51">
        <f t="shared" si="3"/>
        <v>168.9766081871345</v>
      </c>
      <c r="S19" s="46">
        <f t="shared" si="4"/>
        <v>92937.134502923975</v>
      </c>
      <c r="T19" t="str">
        <f t="shared" si="5"/>
        <v/>
      </c>
      <c r="U19">
        <f>+RANK(H19,$H$6:$H$1048576,1)</f>
        <v>2</v>
      </c>
      <c r="Y19" t="str">
        <f>TRIM(Tabla2[[#This Row],[CONDUCTOR]])</f>
        <v>PEREZ GARCIA JUAN ESTEBAN</v>
      </c>
    </row>
    <row r="20" spans="2:25" x14ac:dyDescent="0.2">
      <c r="B20" s="136" t="s">
        <v>121</v>
      </c>
      <c r="C20" s="166">
        <v>18</v>
      </c>
      <c r="D20" s="151" t="s">
        <v>165</v>
      </c>
      <c r="E20" s="150">
        <v>6</v>
      </c>
      <c r="F20" s="150">
        <v>0</v>
      </c>
      <c r="G20" s="146">
        <v>120</v>
      </c>
      <c r="H20" s="226">
        <f>+G20/E20</f>
        <v>20</v>
      </c>
      <c r="I20" s="364">
        <f>+(SUM($G$7:$G$1048576)/SUM($E$7:$E$1048576))*E20</f>
        <v>107.38596491228071</v>
      </c>
      <c r="J20" s="363">
        <f>+Tabla2[[#This Row],[PROM DE USUARIOS]]-Tabla2[[#This Row],[USUARIOS]]</f>
        <v>-12.614035087719287</v>
      </c>
      <c r="K20" s="151" t="s">
        <v>188</v>
      </c>
      <c r="L20" s="163">
        <f>P20*585</f>
        <v>59310.789473684214</v>
      </c>
      <c r="M20" s="162" t="str">
        <f>+VLOOKUP(C20,Lista!B:D,3,0)</f>
        <v>MICRO</v>
      </c>
      <c r="N20" s="164">
        <f>+(SUMIFS(G:G,M:M,"MICRO",E:E,"&gt;0")*100)/COUNTIF($E$7:$E$44,"&gt;0")</f>
        <v>8821.0526315789466</v>
      </c>
      <c r="O20" s="50">
        <f t="shared" si="0"/>
        <v>6</v>
      </c>
      <c r="P20" s="47">
        <f t="shared" si="1"/>
        <v>101.38596491228071</v>
      </c>
      <c r="Q20" s="49">
        <f t="shared" si="2"/>
        <v>114</v>
      </c>
      <c r="R20" s="51">
        <f t="shared" si="3"/>
        <v>101.38596491228071</v>
      </c>
      <c r="S20" s="46">
        <f t="shared" si="4"/>
        <v>55762.280701754389</v>
      </c>
      <c r="T20" t="str">
        <f t="shared" si="5"/>
        <v xml:space="preserve">3 Descuentos (Despachador y usuarios desubicados) </v>
      </c>
      <c r="U20">
        <f>+RANK(H20,$H$6:$H$1048576,1)</f>
        <v>30</v>
      </c>
      <c r="Y20" t="str">
        <f>TRIM(Tabla2[[#This Row],[CONDUCTOR]])</f>
        <v>ALBERTO ARISTIZABAL RAFAEL</v>
      </c>
    </row>
    <row r="21" spans="2:25" x14ac:dyDescent="0.2">
      <c r="B21" s="136" t="s">
        <v>122</v>
      </c>
      <c r="C21" s="166">
        <v>19</v>
      </c>
      <c r="D21" s="151" t="s">
        <v>183</v>
      </c>
      <c r="E21" s="150">
        <v>11</v>
      </c>
      <c r="F21" s="150"/>
      <c r="G21" s="165">
        <v>186</v>
      </c>
      <c r="H21" s="226">
        <f>+G21/E21</f>
        <v>16.90909090909091</v>
      </c>
      <c r="I21" s="227">
        <f>+(SUM($G$7:$G$1048576)/SUM($E$7:$E$1048576))*E21</f>
        <v>196.87426900584796</v>
      </c>
      <c r="J21" s="363">
        <f>+Tabla2[[#This Row],[PROM DE USUARIOS]]-Tabla2[[#This Row],[USUARIOS]]</f>
        <v>10.874269005847964</v>
      </c>
      <c r="K21" s="151"/>
      <c r="L21" s="163">
        <f>P21*585</f>
        <v>108736.44736842105</v>
      </c>
      <c r="M21" s="162" t="str">
        <f>+VLOOKUP(C21,Lista!B:D,3,0)</f>
        <v>MICRO</v>
      </c>
      <c r="N21" s="164">
        <f>+(SUMIFS(G:G,M:M,"MICRO",E:E,"&gt;0")*100)/COUNTIF($E$7:$E$44,"&gt;0")</f>
        <v>8821.0526315789466</v>
      </c>
      <c r="O21" s="50">
        <f t="shared" si="0"/>
        <v>11</v>
      </c>
      <c r="P21" s="47">
        <f t="shared" si="1"/>
        <v>185.87426900584796</v>
      </c>
      <c r="Q21" s="49">
        <f t="shared" si="2"/>
        <v>175</v>
      </c>
      <c r="R21" s="51">
        <f t="shared" si="3"/>
        <v>185.87426900584796</v>
      </c>
      <c r="S21" s="46">
        <f t="shared" si="4"/>
        <v>102230.84795321638</v>
      </c>
      <c r="T21" t="str">
        <f t="shared" si="5"/>
        <v/>
      </c>
      <c r="U21">
        <f>+RANK(H21,$H$6:$H$1048576,1)</f>
        <v>16</v>
      </c>
      <c r="Y21" t="str">
        <f>TRIM(Tabla2[[#This Row],[CONDUCTOR]])</f>
        <v>LOPERA ALVAREZ ESTIVEN</v>
      </c>
    </row>
    <row r="22" spans="2:25" x14ac:dyDescent="0.2">
      <c r="B22" s="136" t="s">
        <v>121</v>
      </c>
      <c r="C22" s="166">
        <v>20</v>
      </c>
      <c r="D22" s="151" t="s">
        <v>167</v>
      </c>
      <c r="E22" s="150">
        <v>9</v>
      </c>
      <c r="F22" s="150"/>
      <c r="G22" s="146">
        <v>191</v>
      </c>
      <c r="H22" s="226">
        <f>+G22/E22</f>
        <v>21.222222222222221</v>
      </c>
      <c r="I22" s="364">
        <f>+(SUM($G$7:$G$1048576)/SUM($E$7:$E$1048576))*E22</f>
        <v>161.07894736842107</v>
      </c>
      <c r="J22" s="363">
        <f>+Tabla2[[#This Row],[PROM DE USUARIOS]]-Tabla2[[#This Row],[USUARIOS]]</f>
        <v>-29.921052631578931</v>
      </c>
      <c r="K22" s="151"/>
      <c r="L22" s="163">
        <f>P22*585</f>
        <v>88966.18421052632</v>
      </c>
      <c r="M22" s="162" t="str">
        <f>+VLOOKUP(C22,Lista!B:D,3,0)</f>
        <v>MICRO</v>
      </c>
      <c r="N22" s="164">
        <f>+(SUMIFS(G:G,M:M,"MICRO",E:E,"&gt;0")*100)/COUNTIF($E$7:$E$44,"&gt;0")</f>
        <v>8821.0526315789466</v>
      </c>
      <c r="O22" s="50">
        <f t="shared" si="0"/>
        <v>9</v>
      </c>
      <c r="P22" s="47">
        <f t="shared" si="1"/>
        <v>152.07894736842107</v>
      </c>
      <c r="Q22" s="49">
        <f t="shared" si="2"/>
        <v>182</v>
      </c>
      <c r="R22" s="51">
        <f t="shared" si="3"/>
        <v>152.07894736842107</v>
      </c>
      <c r="S22" s="46">
        <f t="shared" si="4"/>
        <v>83643.421052631587</v>
      </c>
      <c r="T22" t="str">
        <f t="shared" si="5"/>
        <v/>
      </c>
      <c r="U22">
        <f>+RANK(H22,$H$6:$H$1048576,1)</f>
        <v>35</v>
      </c>
      <c r="Y22" t="str">
        <f>TRIM(Tabla2[[#This Row],[CONDUCTOR]])</f>
        <v>MURILLO YOIMAR ANDRES</v>
      </c>
    </row>
    <row r="23" spans="2:25" x14ac:dyDescent="0.2">
      <c r="B23" s="136" t="s">
        <v>122</v>
      </c>
      <c r="C23" s="166">
        <v>21</v>
      </c>
      <c r="D23" s="151" t="s">
        <v>150</v>
      </c>
      <c r="E23" s="150">
        <v>8</v>
      </c>
      <c r="F23" s="150">
        <v>0</v>
      </c>
      <c r="G23" s="165">
        <v>132</v>
      </c>
      <c r="H23" s="226">
        <f>+G23/E23</f>
        <v>16.5</v>
      </c>
      <c r="I23" s="227">
        <f>+(SUM($G$7:$G$1048576)/SUM($E$7:$E$1048576))*E23</f>
        <v>143.18128654970761</v>
      </c>
      <c r="J23" s="363">
        <f>+Tabla2[[#This Row],[PROM DE USUARIOS]]-Tabla2[[#This Row],[USUARIOS]]</f>
        <v>11.181286549707607</v>
      </c>
      <c r="K23" s="151"/>
      <c r="L23" s="163">
        <f>P23*585</f>
        <v>79081.052631578947</v>
      </c>
      <c r="M23" s="162" t="str">
        <f>+VLOOKUP(C23,Lista!B:D,3,0)</f>
        <v>MICRO</v>
      </c>
      <c r="N23" s="164">
        <f>+(SUMIFS(G:G,M:M,"MICRO",E:E,"&gt;0")*100)/COUNTIF($E$7:$E$44,"&gt;0")</f>
        <v>8821.0526315789466</v>
      </c>
      <c r="O23" s="50">
        <f t="shared" si="0"/>
        <v>8</v>
      </c>
      <c r="P23" s="47">
        <f t="shared" si="1"/>
        <v>135.18128654970761</v>
      </c>
      <c r="Q23" s="49">
        <f t="shared" si="2"/>
        <v>124</v>
      </c>
      <c r="R23" s="51">
        <f t="shared" si="3"/>
        <v>135.18128654970761</v>
      </c>
      <c r="S23" s="46">
        <f t="shared" si="4"/>
        <v>74349.707602339186</v>
      </c>
      <c r="T23" t="str">
        <f t="shared" si="5"/>
        <v/>
      </c>
      <c r="U23">
        <f>+RANK(H23,$H$6:$H$1048576,1)</f>
        <v>13</v>
      </c>
      <c r="Y23" t="str">
        <f>TRIM(Tabla2[[#This Row],[CONDUCTOR]])</f>
        <v>MACIAS HERNANDEZ JULIAN DAVID</v>
      </c>
    </row>
    <row r="24" spans="2:25" x14ac:dyDescent="0.2">
      <c r="B24" s="136" t="s">
        <v>121</v>
      </c>
      <c r="C24" s="166">
        <v>22</v>
      </c>
      <c r="D24" s="151" t="s">
        <v>159</v>
      </c>
      <c r="E24" s="150">
        <v>9</v>
      </c>
      <c r="F24" s="150">
        <v>0</v>
      </c>
      <c r="G24" s="165">
        <v>143</v>
      </c>
      <c r="H24" s="226">
        <f>+G24/E24</f>
        <v>15.888888888888889</v>
      </c>
      <c r="I24" s="227">
        <f>+(SUM($G$7:$G$1048576)/SUM($E$7:$E$1048576))*E24</f>
        <v>161.07894736842107</v>
      </c>
      <c r="J24" s="363">
        <f>+Tabla2[[#This Row],[PROM DE USUARIOS]]-Tabla2[[#This Row],[USUARIOS]]</f>
        <v>18.078947368421069</v>
      </c>
      <c r="K24" s="151"/>
      <c r="L24" s="163">
        <f>P24*585</f>
        <v>88966.18421052632</v>
      </c>
      <c r="M24" s="162">
        <f>+VLOOKUP(C24,Lista!B:D,3,0)</f>
        <v>0</v>
      </c>
      <c r="N24" s="164">
        <f>+(SUMIFS(G:G,M:M,"MICRO",E:E,"&gt;0")*100)/COUNTIF($E$7:$E$44,"&gt;0")</f>
        <v>8821.0526315789466</v>
      </c>
      <c r="O24" s="50">
        <f t="shared" si="0"/>
        <v>9</v>
      </c>
      <c r="P24" s="47">
        <f t="shared" si="1"/>
        <v>152.07894736842107</v>
      </c>
      <c r="Q24" s="49">
        <f t="shared" si="2"/>
        <v>134</v>
      </c>
      <c r="R24" s="51">
        <f t="shared" si="3"/>
        <v>152.07894736842107</v>
      </c>
      <c r="S24" s="46">
        <f t="shared" si="4"/>
        <v>83643.421052631587</v>
      </c>
      <c r="T24" t="str">
        <f t="shared" si="5"/>
        <v/>
      </c>
      <c r="U24">
        <f>+RANK(H24,$H$6:$H$1048576,1)</f>
        <v>9</v>
      </c>
      <c r="Y24" t="str">
        <f>TRIM(Tabla2[[#This Row],[CONDUCTOR]])</f>
        <v>QUIRAMA CASTAÑEDA JHON JADER</v>
      </c>
    </row>
    <row r="25" spans="2:25" x14ac:dyDescent="0.2">
      <c r="B25" s="136" t="s">
        <v>122</v>
      </c>
      <c r="C25" s="166">
        <v>23</v>
      </c>
      <c r="D25" s="151" t="s">
        <v>175</v>
      </c>
      <c r="E25" s="150">
        <v>9</v>
      </c>
      <c r="F25" s="150">
        <v>0</v>
      </c>
      <c r="G25" s="165">
        <v>138</v>
      </c>
      <c r="H25" s="226">
        <f>+G25/E25</f>
        <v>15.333333333333334</v>
      </c>
      <c r="I25" s="227">
        <f>+(SUM($G$7:$G$1048576)/SUM($E$7:$E$1048576))*E25</f>
        <v>161.07894736842107</v>
      </c>
      <c r="J25" s="363">
        <f>+Tabla2[[#This Row],[PROM DE USUARIOS]]-Tabla2[[#This Row],[USUARIOS]]</f>
        <v>23.078947368421069</v>
      </c>
      <c r="K25" s="151"/>
      <c r="L25" s="163">
        <f>P25*585</f>
        <v>88966.18421052632</v>
      </c>
      <c r="M25" s="162" t="str">
        <f>+VLOOKUP(C25,Lista!B:D,3,0)</f>
        <v xml:space="preserve">MICRO </v>
      </c>
      <c r="N25" s="164">
        <f>+(SUMIFS(G:G,M:M,"MICRO",E:E,"&gt;0")*100)/COUNTIF($E$7:$E$44,"&gt;0")</f>
        <v>8821.0526315789466</v>
      </c>
      <c r="O25" s="50">
        <f t="shared" si="0"/>
        <v>9</v>
      </c>
      <c r="P25" s="47">
        <f t="shared" si="1"/>
        <v>152.07894736842107</v>
      </c>
      <c r="Q25" s="49">
        <f t="shared" si="2"/>
        <v>129</v>
      </c>
      <c r="R25" s="51">
        <f t="shared" si="3"/>
        <v>152.07894736842107</v>
      </c>
      <c r="S25" s="46">
        <f t="shared" si="4"/>
        <v>83643.421052631587</v>
      </c>
      <c r="T25" t="str">
        <f t="shared" si="5"/>
        <v/>
      </c>
      <c r="U25">
        <f>+RANK(H25,$H$6:$H$1048576,1)</f>
        <v>6</v>
      </c>
      <c r="Y25" t="str">
        <f>TRIM(Tabla2[[#This Row],[CONDUCTOR]])</f>
        <v>SALDARRIAGA PARRA LUIS ALBERTO</v>
      </c>
    </row>
    <row r="26" spans="2:25" x14ac:dyDescent="0.2">
      <c r="B26" s="136" t="s">
        <v>121</v>
      </c>
      <c r="C26" s="137">
        <v>24</v>
      </c>
      <c r="D26" s="151" t="s">
        <v>164</v>
      </c>
      <c r="E26" s="150">
        <v>9</v>
      </c>
      <c r="F26" s="150">
        <v>0</v>
      </c>
      <c r="G26" s="146">
        <v>134</v>
      </c>
      <c r="H26" s="226">
        <f>+G26/E26</f>
        <v>14.888888888888889</v>
      </c>
      <c r="I26" s="227">
        <f>+(SUM($G$7:$G$1048576)/SUM($E$7:$E$1048576))*E26</f>
        <v>161.07894736842107</v>
      </c>
      <c r="J26" s="363">
        <f>+Tabla2[[#This Row],[PROM DE USUARIOS]]-Tabla2[[#This Row],[USUARIOS]]</f>
        <v>27.078947368421069</v>
      </c>
      <c r="K26" s="151"/>
      <c r="L26" s="163">
        <f>P26*585</f>
        <v>88966.18421052632</v>
      </c>
      <c r="M26" s="162" t="str">
        <f>+VLOOKUP(C26,Lista!B:D,3,0)</f>
        <v>MICRO</v>
      </c>
      <c r="N26" s="164">
        <f>+(SUMIFS(G:G,M:M,"MICRO",E:E,"&gt;0")*100)/COUNTIF($E$7:$E$44,"&gt;0")</f>
        <v>8821.0526315789466</v>
      </c>
      <c r="O26" s="50">
        <f t="shared" si="0"/>
        <v>9</v>
      </c>
      <c r="P26" s="47">
        <f t="shared" si="1"/>
        <v>152.07894736842107</v>
      </c>
      <c r="Q26" s="49">
        <f t="shared" si="2"/>
        <v>125</v>
      </c>
      <c r="R26" s="51">
        <f t="shared" si="3"/>
        <v>152.07894736842107</v>
      </c>
      <c r="S26" s="46">
        <f t="shared" si="4"/>
        <v>83643.421052631587</v>
      </c>
      <c r="T26" t="str">
        <f t="shared" si="5"/>
        <v/>
      </c>
      <c r="U26">
        <f>+RANK(H26,$H$6:$H$1048576,1)</f>
        <v>5</v>
      </c>
      <c r="Y26" t="str">
        <f>TRIM(Tabla2[[#This Row],[CONDUCTOR]])</f>
        <v>JIMENEZ HERNANDEZ ESTEBAN CAMILO</v>
      </c>
    </row>
    <row r="27" spans="2:25" x14ac:dyDescent="0.2">
      <c r="B27" s="136" t="s">
        <v>122</v>
      </c>
      <c r="C27" s="166">
        <v>25</v>
      </c>
      <c r="D27" s="151" t="s">
        <v>155</v>
      </c>
      <c r="E27" s="150">
        <v>9</v>
      </c>
      <c r="F27" s="150">
        <v>0</v>
      </c>
      <c r="G27" s="146">
        <v>192</v>
      </c>
      <c r="H27" s="226">
        <f>+G27/E27</f>
        <v>21.333333333333332</v>
      </c>
      <c r="I27" s="364">
        <f>+(SUM($G$7:$G$1048576)/SUM($E$7:$E$1048576))*E27</f>
        <v>161.07894736842107</v>
      </c>
      <c r="J27" s="363">
        <f>+Tabla2[[#This Row],[PROM DE USUARIOS]]-Tabla2[[#This Row],[USUARIOS]]</f>
        <v>-30.921052631578931</v>
      </c>
      <c r="K27" s="151"/>
      <c r="L27" s="163">
        <f>P27*585</f>
        <v>88966.18421052632</v>
      </c>
      <c r="M27" s="162">
        <f>+VLOOKUP(C27,Lista!B:D,3,0)</f>
        <v>0</v>
      </c>
      <c r="N27" s="164">
        <f>+(SUMIFS(G:G,M:M,"MICRO",E:E,"&gt;0")*100)/COUNTIF($E$7:$E$44,"&gt;0")</f>
        <v>8821.0526315789466</v>
      </c>
      <c r="O27" s="50">
        <f t="shared" si="0"/>
        <v>9</v>
      </c>
      <c r="P27" s="47">
        <f t="shared" si="1"/>
        <v>152.07894736842107</v>
      </c>
      <c r="Q27" s="49">
        <f t="shared" si="2"/>
        <v>183</v>
      </c>
      <c r="R27" s="51">
        <f t="shared" si="3"/>
        <v>152.07894736842107</v>
      </c>
      <c r="S27" s="46">
        <f t="shared" si="4"/>
        <v>83643.421052631587</v>
      </c>
      <c r="T27" t="str">
        <f t="shared" si="5"/>
        <v/>
      </c>
      <c r="U27">
        <f>+RANK(H27,$H$6:$H$1048576,1)</f>
        <v>37</v>
      </c>
      <c r="Y27" t="str">
        <f>TRIM(Tabla2[[#This Row],[CONDUCTOR]])</f>
        <v>JIMENEZ HURTADO CARLOS ESTIVEN</v>
      </c>
    </row>
    <row r="28" spans="2:25" x14ac:dyDescent="0.2">
      <c r="B28" s="136" t="s">
        <v>121</v>
      </c>
      <c r="C28" s="137">
        <v>26</v>
      </c>
      <c r="D28" s="151" t="s">
        <v>166</v>
      </c>
      <c r="E28" s="150">
        <v>9</v>
      </c>
      <c r="F28" s="150">
        <v>0</v>
      </c>
      <c r="G28" s="146">
        <v>141</v>
      </c>
      <c r="H28" s="226">
        <f>+G28/E28</f>
        <v>15.666666666666666</v>
      </c>
      <c r="I28" s="227">
        <f>+(SUM($G$7:$G$1048576)/SUM($E$7:$E$1048576))*E28</f>
        <v>161.07894736842107</v>
      </c>
      <c r="J28" s="363">
        <f>+Tabla2[[#This Row],[PROM DE USUARIOS]]-Tabla2[[#This Row],[USUARIOS]]</f>
        <v>20.078947368421069</v>
      </c>
      <c r="K28" s="151"/>
      <c r="L28" s="366">
        <f>P28*585</f>
        <v>88966.18421052632</v>
      </c>
      <c r="M28" s="162" t="str">
        <f>+VLOOKUP(C28,Lista!B:D,3,0)</f>
        <v>MICRO</v>
      </c>
      <c r="N28" s="164">
        <f>+(SUMIFS(G:G,M:M,"MICRO",E:E,"&gt;0")*100)/COUNTIF($E$7:$E$44,"&gt;0")</f>
        <v>8821.0526315789466</v>
      </c>
      <c r="O28" s="50">
        <f t="shared" si="0"/>
        <v>9</v>
      </c>
      <c r="P28" s="47">
        <f t="shared" si="1"/>
        <v>152.07894736842107</v>
      </c>
      <c r="Q28" s="49">
        <f t="shared" si="2"/>
        <v>132</v>
      </c>
      <c r="R28" s="51">
        <f t="shared" si="3"/>
        <v>152.07894736842107</v>
      </c>
      <c r="S28" s="46">
        <f t="shared" si="4"/>
        <v>83643.421052631587</v>
      </c>
      <c r="T28" t="str">
        <f t="shared" si="5"/>
        <v/>
      </c>
      <c r="U28">
        <f>+RANK(H28,$H$6:$H$1048576,1)</f>
        <v>7</v>
      </c>
      <c r="Y28" t="str">
        <f>TRIM(Tabla2[[#This Row],[CONDUCTOR]])</f>
        <v>CIRO MARIN RODRIGO ALBERTO</v>
      </c>
    </row>
    <row r="29" spans="2:25" x14ac:dyDescent="0.2">
      <c r="B29" s="136" t="s">
        <v>122</v>
      </c>
      <c r="C29" s="166">
        <v>27</v>
      </c>
      <c r="D29" s="151" t="s">
        <v>185</v>
      </c>
      <c r="E29" s="150">
        <v>9</v>
      </c>
      <c r="F29" s="150">
        <v>0</v>
      </c>
      <c r="G29" s="165">
        <v>155</v>
      </c>
      <c r="H29" s="226">
        <f>+G29/E29</f>
        <v>17.222222222222221</v>
      </c>
      <c r="I29" s="227">
        <f>+(SUM($G$7:$G$1048576)/SUM($E$7:$E$1048576))*E29</f>
        <v>161.07894736842107</v>
      </c>
      <c r="J29" s="363">
        <f>+Tabla2[[#This Row],[PROM DE USUARIOS]]-Tabla2[[#This Row],[USUARIOS]]</f>
        <v>6.0789473684210691</v>
      </c>
      <c r="K29" s="151"/>
      <c r="L29" s="163">
        <f>P29*585</f>
        <v>88966.18421052632</v>
      </c>
      <c r="M29" s="367">
        <f>+VLOOKUP(C29,Lista!B:D,3,0)</f>
        <v>0</v>
      </c>
      <c r="N29" s="164">
        <f>+(SUMIFS(G:G,M:M,"MICRO",E:E,"&gt;0")*100)/COUNTIF($E$7:$E$44,"&gt;0")</f>
        <v>8821.0526315789466</v>
      </c>
      <c r="O29" s="50">
        <f t="shared" si="0"/>
        <v>9</v>
      </c>
      <c r="P29" s="47">
        <f t="shared" si="1"/>
        <v>152.07894736842107</v>
      </c>
      <c r="Q29" s="49">
        <f t="shared" si="2"/>
        <v>146</v>
      </c>
      <c r="R29" s="51">
        <f t="shared" si="3"/>
        <v>152.07894736842107</v>
      </c>
      <c r="S29" s="46">
        <f t="shared" si="4"/>
        <v>83643.421052631587</v>
      </c>
      <c r="T29" t="str">
        <f t="shared" si="5"/>
        <v/>
      </c>
      <c r="U29">
        <f>+RANK(H29,$H$6:$H$1048576,1)</f>
        <v>18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121</v>
      </c>
      <c r="C30" s="166">
        <v>28</v>
      </c>
      <c r="D30" s="151" t="s">
        <v>154</v>
      </c>
      <c r="E30" s="150">
        <v>10</v>
      </c>
      <c r="F30" s="150">
        <v>0</v>
      </c>
      <c r="G30" s="165">
        <v>159</v>
      </c>
      <c r="H30" s="226">
        <f>+G30/E30</f>
        <v>15.9</v>
      </c>
      <c r="I30" s="227">
        <f>+(SUM($G$7:$G$1048576)/SUM($E$7:$E$1048576))*E30</f>
        <v>178.9766081871345</v>
      </c>
      <c r="J30" s="363">
        <f>+Tabla2[[#This Row],[PROM DE USUARIOS]]-Tabla2[[#This Row],[USUARIOS]]</f>
        <v>19.976608187134502</v>
      </c>
      <c r="K30" s="151" t="s">
        <v>129</v>
      </c>
      <c r="L30" s="163">
        <f>P30*585</f>
        <v>98851.31578947368</v>
      </c>
      <c r="M30" s="367" t="str">
        <f>+VLOOKUP(C30,Lista!B:D,3,0)</f>
        <v>MICRO</v>
      </c>
      <c r="N30" s="164">
        <f>+(SUMIFS(G:G,M:M,"MICRO",E:E,"&gt;0")*100)/COUNTIF($E$7:$E$44,"&gt;0")</f>
        <v>8821.0526315789466</v>
      </c>
      <c r="O30" s="50">
        <f t="shared" si="0"/>
        <v>10</v>
      </c>
      <c r="P30" s="47">
        <f t="shared" si="1"/>
        <v>168.9766081871345</v>
      </c>
      <c r="Q30" s="49">
        <f t="shared" si="2"/>
        <v>149</v>
      </c>
      <c r="R30" s="51">
        <f t="shared" si="3"/>
        <v>168.9766081871345</v>
      </c>
      <c r="S30" s="46">
        <f t="shared" si="4"/>
        <v>92937.134502923975</v>
      </c>
      <c r="T30" t="str">
        <f t="shared" si="5"/>
        <v xml:space="preserve">1 Descuento (Conduct) </v>
      </c>
      <c r="U30">
        <f>+RANK(H30,$H$6:$H$1048576,1)</f>
        <v>11</v>
      </c>
      <c r="Y30" t="str">
        <f>TRIM(Tabla2[[#This Row],[CONDUCTOR]])</f>
        <v>TUBERQUIA MAICOL</v>
      </c>
    </row>
    <row r="31" spans="2:25" x14ac:dyDescent="0.2">
      <c r="B31" s="136" t="s">
        <v>122</v>
      </c>
      <c r="C31" s="166">
        <v>29</v>
      </c>
      <c r="D31" s="151" t="s">
        <v>181</v>
      </c>
      <c r="E31" s="150">
        <v>9</v>
      </c>
      <c r="F31" s="150">
        <v>0</v>
      </c>
      <c r="G31" s="165">
        <v>160</v>
      </c>
      <c r="H31" s="226">
        <f>+G31/E31</f>
        <v>17.777777777777779</v>
      </c>
      <c r="I31" s="227">
        <f>+(SUM($G$7:$G$1048576)/SUM($E$7:$E$1048576))*E31</f>
        <v>161.07894736842107</v>
      </c>
      <c r="J31" s="363">
        <f>+Tabla2[[#This Row],[PROM DE USUARIOS]]-Tabla2[[#This Row],[USUARIOS]]</f>
        <v>1.0789473684210691</v>
      </c>
      <c r="K31" s="151"/>
      <c r="L31" s="163">
        <f>P31*585</f>
        <v>88966.18421052632</v>
      </c>
      <c r="M31" s="367" t="str">
        <f>+VLOOKUP(C31,Lista!B:D,3,0)</f>
        <v>MICRO</v>
      </c>
      <c r="N31" s="164">
        <f>+(SUMIFS(G:G,M:M,"MICRO",E:E,"&gt;0")*100)/COUNTIF($E$7:$E$44,"&gt;0")</f>
        <v>8821.0526315789466</v>
      </c>
      <c r="O31" s="50">
        <f t="shared" si="0"/>
        <v>9</v>
      </c>
      <c r="P31" s="47">
        <f t="shared" si="1"/>
        <v>152.07894736842107</v>
      </c>
      <c r="Q31" s="49">
        <f t="shared" si="2"/>
        <v>151</v>
      </c>
      <c r="R31" s="51">
        <f t="shared" si="3"/>
        <v>152.07894736842107</v>
      </c>
      <c r="S31" s="46">
        <f t="shared" si="4"/>
        <v>83643.421052631587</v>
      </c>
      <c r="T31" t="str">
        <f t="shared" si="5"/>
        <v/>
      </c>
      <c r="U31">
        <f>+RANK(H31,$H$6:$H$1048576,1)</f>
        <v>19</v>
      </c>
      <c r="Y31" t="str">
        <f>TRIM(Tabla2[[#This Row],[CONDUCTOR]])</f>
        <v>LEON PEREZ RAUL ENRIQUE</v>
      </c>
    </row>
    <row r="32" spans="2:25" s="2" customFormat="1" ht="22.5" x14ac:dyDescent="0.2">
      <c r="B32" s="136" t="s">
        <v>121</v>
      </c>
      <c r="C32" s="166">
        <v>30</v>
      </c>
      <c r="D32" s="136" t="s">
        <v>182</v>
      </c>
      <c r="E32" s="150">
        <v>9</v>
      </c>
      <c r="F32" s="150">
        <v>0</v>
      </c>
      <c r="G32" s="376">
        <v>119</v>
      </c>
      <c r="H32" s="377">
        <f>+G32/E32</f>
        <v>13.222222222222221</v>
      </c>
      <c r="I32" s="381">
        <f>+(SUM($G$7:$G$1048576)/SUM($E$7:$E$1048576))*E32</f>
        <v>161.07894736842107</v>
      </c>
      <c r="J32" s="379">
        <f>+Tabla2[[#This Row],[PROM DE USUARIOS]]-Tabla2[[#This Row],[USUARIOS]]</f>
        <v>42.078947368421069</v>
      </c>
      <c r="K32" s="380" t="s">
        <v>192</v>
      </c>
      <c r="L32" s="163">
        <f>P32*585</f>
        <v>84023.519210526312</v>
      </c>
      <c r="M32" s="367">
        <f>+VLOOKUP(C32,Lista!B:D,3,0)</f>
        <v>0</v>
      </c>
      <c r="N32" s="164">
        <f>+(SUMIFS(G:G,M:M,"MICRO",E:E,"&gt;0")*100)/COUNTIF($E$7:$E$44,"&gt;0")</f>
        <v>8821.0526315789466</v>
      </c>
      <c r="O32" s="50">
        <f t="shared" si="0"/>
        <v>8.5</v>
      </c>
      <c r="P32" s="47">
        <f t="shared" si="1"/>
        <v>143.62994736842106</v>
      </c>
      <c r="Q32" s="49">
        <f t="shared" si="2"/>
        <v>110.5</v>
      </c>
      <c r="R32" s="51">
        <f t="shared" si="3"/>
        <v>152.07894736842107</v>
      </c>
      <c r="S32" s="46">
        <f t="shared" si="4"/>
        <v>83643.421052631587</v>
      </c>
      <c r="T32" s="2" t="str">
        <f t="shared" si="5"/>
        <v xml:space="preserve">Se descuenta 0.5 viaje de 8 57 am ya que NO espera el tiempo indicado en el paradero. </v>
      </c>
      <c r="U32" s="2">
        <f>+RANK(H32,$H$6:$H$1048576,1)</f>
        <v>1</v>
      </c>
      <c r="V32" s="2">
        <v>0.5</v>
      </c>
      <c r="W32" s="2">
        <v>8.9489999999999998</v>
      </c>
      <c r="Y32" s="2" t="str">
        <f>TRIM(Tabla2[[#This Row],[CONDUCTOR]])</f>
        <v>AGUDELO GARCIA LLORDIN ELIAS</v>
      </c>
    </row>
    <row r="33" spans="2:25" x14ac:dyDescent="0.2">
      <c r="B33" s="136" t="s">
        <v>122</v>
      </c>
      <c r="C33" s="166">
        <v>31</v>
      </c>
      <c r="D33" s="151" t="s">
        <v>174</v>
      </c>
      <c r="E33" s="150">
        <v>7</v>
      </c>
      <c r="F33" s="150">
        <v>0</v>
      </c>
      <c r="G33" s="146">
        <v>145</v>
      </c>
      <c r="H33" s="226">
        <f>+G33/E33</f>
        <v>20.714285714285715</v>
      </c>
      <c r="I33" s="364">
        <f>+(SUM($G$7:$G$1048576)/SUM($E$7:$E$1048576))*E33</f>
        <v>125.28362573099416</v>
      </c>
      <c r="J33" s="363">
        <f>+Tabla2[[#This Row],[PROM DE USUARIOS]]-Tabla2[[#This Row],[USUARIOS]]</f>
        <v>-19.71637426900584</v>
      </c>
      <c r="K33" s="151"/>
      <c r="L33" s="163">
        <f>P33*585</f>
        <v>69195.921052631587</v>
      </c>
      <c r="M33" s="367" t="str">
        <f>+VLOOKUP(C33,Lista!B:D,3,0)</f>
        <v>MICRO</v>
      </c>
      <c r="N33" s="164">
        <f>+(SUMIFS(G:G,M:M,"MICRO",E:E,"&gt;0")*100)/COUNTIF($E$7:$E$44,"&gt;0")</f>
        <v>8821.0526315789466</v>
      </c>
      <c r="O33" s="50">
        <f t="shared" si="0"/>
        <v>7</v>
      </c>
      <c r="P33" s="47">
        <f t="shared" si="1"/>
        <v>118.28362573099416</v>
      </c>
      <c r="Q33" s="49">
        <f t="shared" si="2"/>
        <v>138</v>
      </c>
      <c r="R33" s="51">
        <f t="shared" si="3"/>
        <v>118.28362573099416</v>
      </c>
      <c r="S33" s="46">
        <f t="shared" si="4"/>
        <v>65055.994152046791</v>
      </c>
      <c r="T33" t="str">
        <f t="shared" si="5"/>
        <v/>
      </c>
      <c r="U33">
        <f>+RANK(H33,$H$6:$H$1048576,1)</f>
        <v>34</v>
      </c>
      <c r="Y33" t="str">
        <f>TRIM(Tabla2[[#This Row],[CONDUCTOR]])</f>
        <v>IBARGUEN GARRIDO JUAN ESTEBAN</v>
      </c>
    </row>
    <row r="34" spans="2:25" x14ac:dyDescent="0.2">
      <c r="B34" s="136" t="s">
        <v>121</v>
      </c>
      <c r="C34" s="166">
        <v>32</v>
      </c>
      <c r="D34" s="151" t="s">
        <v>173</v>
      </c>
      <c r="E34" s="150">
        <v>7</v>
      </c>
      <c r="F34" s="150">
        <v>0</v>
      </c>
      <c r="G34" s="146">
        <v>137</v>
      </c>
      <c r="H34" s="226">
        <f>+G34/E34</f>
        <v>19.571428571428573</v>
      </c>
      <c r="I34" s="364">
        <f>+(SUM($G$7:$G$1048576)/SUM($E$7:$E$1048576))*E34</f>
        <v>125.28362573099416</v>
      </c>
      <c r="J34" s="363">
        <f>+Tabla2[[#This Row],[PROM DE USUARIOS]]-Tabla2[[#This Row],[USUARIOS]]</f>
        <v>-11.71637426900584</v>
      </c>
      <c r="K34" s="151" t="s">
        <v>189</v>
      </c>
      <c r="L34" s="163">
        <f>P34*585</f>
        <v>69195.921052631587</v>
      </c>
      <c r="M34" s="367" t="str">
        <f>+VLOOKUP(C34,Lista!B:D,3,0)</f>
        <v>MICRO</v>
      </c>
      <c r="N34" s="164">
        <f>+(SUMIFS(G:G,M:M,"MICRO",E:E,"&gt;0")*100)/COUNTIF($E$7:$E$44,"&gt;0")</f>
        <v>8821.0526315789466</v>
      </c>
      <c r="O34" s="50">
        <f t="shared" si="0"/>
        <v>7</v>
      </c>
      <c r="P34" s="47">
        <f t="shared" si="1"/>
        <v>118.28362573099416</v>
      </c>
      <c r="Q34" s="49">
        <f t="shared" si="2"/>
        <v>130</v>
      </c>
      <c r="R34" s="51">
        <f t="shared" si="3"/>
        <v>118.28362573099416</v>
      </c>
      <c r="S34" s="46">
        <f t="shared" si="4"/>
        <v>65055.994152046791</v>
      </c>
      <c r="T34" t="str">
        <f t="shared" si="5"/>
        <v xml:space="preserve">1 Descuento (Usuario desubicado) </v>
      </c>
      <c r="U34">
        <f>+RANK(H34,$H$6:$H$1048576,1)</f>
        <v>29</v>
      </c>
      <c r="Y34" t="str">
        <f>TRIM(Tabla2[[#This Row],[CONDUCTOR]])</f>
        <v>LAYOS JIMENEZ JOHAN CAMILO</v>
      </c>
    </row>
    <row r="35" spans="2:25" s="2" customFormat="1" ht="22.5" x14ac:dyDescent="0.2">
      <c r="B35" s="136" t="s">
        <v>122</v>
      </c>
      <c r="C35" s="166">
        <v>35</v>
      </c>
      <c r="D35" s="136" t="s">
        <v>152</v>
      </c>
      <c r="E35" s="150">
        <v>9</v>
      </c>
      <c r="F35" s="150">
        <v>0.5</v>
      </c>
      <c r="G35" s="376">
        <v>131</v>
      </c>
      <c r="H35" s="377">
        <f>+G35/E35</f>
        <v>14.555555555555555</v>
      </c>
      <c r="I35" s="378">
        <f>+(SUM($G$7:$G$1048576)/SUM($E$7:$E$1048576))*E35</f>
        <v>161.07894736842107</v>
      </c>
      <c r="J35" s="379">
        <f>+Tabla2[[#This Row],[PROM DE USUARIOS]]-Tabla2[[#This Row],[USUARIOS]]</f>
        <v>30.078947368421069</v>
      </c>
      <c r="K35" s="380" t="s">
        <v>191</v>
      </c>
      <c r="L35" s="163">
        <f>P35*585</f>
        <v>84023.519210526312</v>
      </c>
      <c r="M35" s="367">
        <f>+VLOOKUP(C35,Lista!B:D,3,0)</f>
        <v>0</v>
      </c>
      <c r="N35" s="164">
        <f>+(SUMIFS(G:G,M:M,"MICRO",E:E,"&gt;0")*100)/COUNTIF($E$7:$E$44,"&gt;0")</f>
        <v>8821.0526315789466</v>
      </c>
      <c r="O35" s="50">
        <f t="shared" si="0"/>
        <v>8.5</v>
      </c>
      <c r="P35" s="47">
        <f t="shared" si="1"/>
        <v>143.62994736842106</v>
      </c>
      <c r="Q35" s="49">
        <f t="shared" si="2"/>
        <v>122.5</v>
      </c>
      <c r="R35" s="51">
        <f t="shared" si="3"/>
        <v>152.07894736842107</v>
      </c>
      <c r="S35" s="46">
        <f t="shared" si="4"/>
        <v>83643.421052631587</v>
      </c>
      <c r="T35" s="2" t="str">
        <f t="shared" si="5"/>
        <v xml:space="preserve">Se descuenta 0.5 viaje de 4 06 pm ya que abandona ruta sin autorización. 1 Descuento (Despachador) </v>
      </c>
      <c r="U35" s="2">
        <f>+RANK(H35,$H$6:$H$1048576,1)</f>
        <v>4</v>
      </c>
      <c r="V35" s="2">
        <v>0.5</v>
      </c>
      <c r="W35" s="2">
        <v>8.9489999999999998</v>
      </c>
      <c r="Y35" s="2" t="str">
        <f>TRIM(Tabla2[[#This Row],[CONDUCTOR]])</f>
        <v>ARAQUE ARROYAVE JOSE ALBEIRO</v>
      </c>
    </row>
    <row r="36" spans="2:25" x14ac:dyDescent="0.2">
      <c r="B36" s="136" t="s">
        <v>121</v>
      </c>
      <c r="C36" s="166">
        <v>36</v>
      </c>
      <c r="D36" s="151" t="s">
        <v>168</v>
      </c>
      <c r="E36" s="150">
        <v>10</v>
      </c>
      <c r="F36" s="150">
        <v>0</v>
      </c>
      <c r="G36" s="146">
        <v>207</v>
      </c>
      <c r="H36" s="226">
        <f>+G36/E36</f>
        <v>20.7</v>
      </c>
      <c r="I36" s="364">
        <f>+(SUM($G$7:$G$1048576)/SUM($E$7:$E$1048576))*E36</f>
        <v>178.9766081871345</v>
      </c>
      <c r="J36" s="363">
        <f>+Tabla2[[#This Row],[PROM DE USUARIOS]]-Tabla2[[#This Row],[USUARIOS]]</f>
        <v>-28.023391812865498</v>
      </c>
      <c r="K36" s="151"/>
      <c r="L36" s="163">
        <f>P36*585</f>
        <v>98851.31578947368</v>
      </c>
      <c r="M36" s="367" t="str">
        <f>+VLOOKUP(C36,Lista!B:D,3,0)</f>
        <v>MICRO</v>
      </c>
      <c r="N36" s="164">
        <f>+(SUMIFS(G:G,M:M,"MICRO",E:E,"&gt;0")*100)/COUNTIF($E$7:$E$44,"&gt;0")</f>
        <v>8821.0526315789466</v>
      </c>
      <c r="O36" s="50">
        <f t="shared" si="0"/>
        <v>10</v>
      </c>
      <c r="P36" s="47">
        <f t="shared" si="1"/>
        <v>168.9766081871345</v>
      </c>
      <c r="Q36" s="49">
        <f t="shared" si="2"/>
        <v>197</v>
      </c>
      <c r="R36" s="51">
        <f t="shared" si="3"/>
        <v>168.9766081871345</v>
      </c>
      <c r="S36" s="46">
        <f t="shared" si="4"/>
        <v>92937.134502923975</v>
      </c>
      <c r="T36" t="str">
        <f t="shared" si="5"/>
        <v/>
      </c>
      <c r="U36">
        <f>+RANK(H36,$H$6:$H$1048576,1)</f>
        <v>33</v>
      </c>
      <c r="Y36" t="str">
        <f>TRIM(Tabla2[[#This Row],[CONDUCTOR]])</f>
        <v>MARTINEZ CHAVERRA LUIS NORBERTO</v>
      </c>
    </row>
    <row r="37" spans="2:25" x14ac:dyDescent="0.2">
      <c r="B37" s="136" t="s">
        <v>122</v>
      </c>
      <c r="C37" s="166">
        <v>37</v>
      </c>
      <c r="D37" s="151" t="s">
        <v>176</v>
      </c>
      <c r="E37" s="150">
        <v>8</v>
      </c>
      <c r="F37" s="150">
        <v>0</v>
      </c>
      <c r="G37" s="165">
        <v>151</v>
      </c>
      <c r="H37" s="226">
        <f>+G37/E37</f>
        <v>18.875</v>
      </c>
      <c r="I37" s="227">
        <f>+(SUM($G$7:$G$1048576)/SUM($E$7:$E$1048576))*E37</f>
        <v>143.18128654970761</v>
      </c>
      <c r="J37" s="363">
        <f>+Tabla2[[#This Row],[PROM DE USUARIOS]]-Tabla2[[#This Row],[USUARIOS]]</f>
        <v>-7.8187134502923925</v>
      </c>
      <c r="K37" s="151"/>
      <c r="L37" s="163">
        <f>P37*585</f>
        <v>79081.052631578947</v>
      </c>
      <c r="M37" s="367">
        <f>+VLOOKUP(C37,Lista!B:D,3,0)</f>
        <v>0</v>
      </c>
      <c r="N37" s="164">
        <f>+(SUMIFS(G:G,M:M,"MICRO",E:E,"&gt;0")*100)/COUNTIF($E$7:$E$44,"&gt;0")</f>
        <v>8821.0526315789466</v>
      </c>
      <c r="O37" s="50">
        <f t="shared" si="0"/>
        <v>8</v>
      </c>
      <c r="P37" s="47">
        <f t="shared" si="1"/>
        <v>135.18128654970761</v>
      </c>
      <c r="Q37" s="49">
        <f t="shared" si="2"/>
        <v>143</v>
      </c>
      <c r="R37" s="51">
        <f t="shared" si="3"/>
        <v>135.18128654970761</v>
      </c>
      <c r="S37" s="46">
        <f t="shared" si="4"/>
        <v>74349.707602339186</v>
      </c>
      <c r="T37" t="str">
        <f t="shared" si="5"/>
        <v/>
      </c>
      <c r="U37">
        <f>+RANK(H37,$H$6:$H$1048576,1)</f>
        <v>23</v>
      </c>
      <c r="Y37" t="str">
        <f>TRIM(Tabla2[[#This Row],[CONDUCTOR]])</f>
        <v>TABORDA ROJAS DIEGO ALEJANDRO</v>
      </c>
    </row>
    <row r="38" spans="2:25" x14ac:dyDescent="0.2">
      <c r="B38" s="136" t="s">
        <v>121</v>
      </c>
      <c r="C38" s="166">
        <v>38</v>
      </c>
      <c r="D38" s="151" t="s">
        <v>177</v>
      </c>
      <c r="E38" s="150">
        <v>7</v>
      </c>
      <c r="F38" s="150">
        <v>0</v>
      </c>
      <c r="G38" s="165">
        <v>99</v>
      </c>
      <c r="H38" s="226">
        <f>+G38/E38</f>
        <v>14.142857142857142</v>
      </c>
      <c r="I38" s="227">
        <f>+(SUM($G$7:$G$1048576)/SUM($E$7:$E$1048576))*E38</f>
        <v>125.28362573099416</v>
      </c>
      <c r="J38" s="363">
        <f>+Tabla2[[#This Row],[PROM DE USUARIOS]]-Tabla2[[#This Row],[USUARIOS]]</f>
        <v>26.28362573099416</v>
      </c>
      <c r="K38" s="151"/>
      <c r="L38" s="163">
        <f>P38*585</f>
        <v>69195.921052631587</v>
      </c>
      <c r="M38" s="367" t="str">
        <f>+VLOOKUP(C38,Lista!B:D,3,0)</f>
        <v>MICRO</v>
      </c>
      <c r="N38" s="164">
        <f>+(SUMIFS(G:G,M:M,"MICRO",E:E,"&gt;0")*100)/COUNTIF($E$7:$E$44,"&gt;0")</f>
        <v>8821.0526315789466</v>
      </c>
      <c r="O38" s="50">
        <f t="shared" si="0"/>
        <v>7</v>
      </c>
      <c r="P38" s="47">
        <f t="shared" si="1"/>
        <v>118.28362573099416</v>
      </c>
      <c r="Q38" s="49">
        <f t="shared" si="2"/>
        <v>92</v>
      </c>
      <c r="R38" s="51">
        <f t="shared" si="3"/>
        <v>118.28362573099416</v>
      </c>
      <c r="S38" s="46">
        <f t="shared" si="4"/>
        <v>65055.994152046791</v>
      </c>
      <c r="T38" t="str">
        <f t="shared" si="5"/>
        <v/>
      </c>
      <c r="U38">
        <f>+RANK(H38,$H$6:$H$1048576,1)</f>
        <v>3</v>
      </c>
      <c r="Y38" t="str">
        <f>TRIM(Tabla2[[#This Row],[CONDUCTOR]])</f>
        <v>GONZALEZ IPUANA RENE</v>
      </c>
    </row>
    <row r="39" spans="2:25" x14ac:dyDescent="0.2">
      <c r="B39" s="136" t="s">
        <v>122</v>
      </c>
      <c r="C39" s="166">
        <v>39</v>
      </c>
      <c r="D39" s="151" t="s">
        <v>184</v>
      </c>
      <c r="E39" s="150">
        <v>10</v>
      </c>
      <c r="F39" s="150"/>
      <c r="G39" s="146">
        <v>186</v>
      </c>
      <c r="H39" s="226">
        <f>+G39/E39</f>
        <v>18.600000000000001</v>
      </c>
      <c r="I39" s="364">
        <f>+(SUM($G$7:$G$1048576)/SUM($E$7:$E$1048576))*E39</f>
        <v>178.9766081871345</v>
      </c>
      <c r="J39" s="363">
        <f>+Tabla2[[#This Row],[PROM DE USUARIOS]]-Tabla2[[#This Row],[USUARIOS]]</f>
        <v>-7.0233918128654977</v>
      </c>
      <c r="K39" s="151" t="s">
        <v>187</v>
      </c>
      <c r="L39" s="163">
        <f>P39*585</f>
        <v>98851.31578947368</v>
      </c>
      <c r="M39" s="367" t="str">
        <f>+VLOOKUP(C39,Lista!B:D,3,0)</f>
        <v>MICRO</v>
      </c>
      <c r="N39" s="164">
        <f>+(SUMIFS(G:G,M:M,"MICRO",E:E,"&gt;0")*100)/COUNTIF($E$7:$E$44,"&gt;0")</f>
        <v>8821.0526315789466</v>
      </c>
      <c r="O39" s="50">
        <f t="shared" si="0"/>
        <v>10</v>
      </c>
      <c r="P39" s="47">
        <f t="shared" si="1"/>
        <v>168.9766081871345</v>
      </c>
      <c r="Q39" s="49">
        <f t="shared" si="2"/>
        <v>176</v>
      </c>
      <c r="R39" s="51">
        <f t="shared" si="3"/>
        <v>168.9766081871345</v>
      </c>
      <c r="S39" s="46">
        <f t="shared" si="4"/>
        <v>92937.134502923975</v>
      </c>
      <c r="T39" t="str">
        <f t="shared" si="5"/>
        <v xml:space="preserve">1 Descuento (Despachador) </v>
      </c>
      <c r="U39">
        <f>+RANK(H39,$H$6:$H$1048576,1)</f>
        <v>22</v>
      </c>
      <c r="Y39" t="str">
        <f>TRIM(Tabla2[[#This Row],[CONDUCTOR]])</f>
        <v>PALMAR PANA EDIXON JOSUE</v>
      </c>
    </row>
    <row r="40" spans="2:25" x14ac:dyDescent="0.2">
      <c r="B40" s="136" t="s">
        <v>121</v>
      </c>
      <c r="C40" s="166">
        <v>40</v>
      </c>
      <c r="D40" s="151" t="s">
        <v>178</v>
      </c>
      <c r="E40" s="150">
        <v>9</v>
      </c>
      <c r="F40" s="150">
        <v>0</v>
      </c>
      <c r="G40" s="146">
        <v>174</v>
      </c>
      <c r="H40" s="226">
        <f>+G40/E40</f>
        <v>19.333333333333332</v>
      </c>
      <c r="I40" s="364">
        <f>+(SUM($G$7:$G$1048576)/SUM($E$7:$E$1048576))*E40</f>
        <v>161.07894736842107</v>
      </c>
      <c r="J40" s="363">
        <f>+Tabla2[[#This Row],[PROM DE USUARIOS]]-Tabla2[[#This Row],[USUARIOS]]</f>
        <v>-12.921052631578931</v>
      </c>
      <c r="K40" s="151"/>
      <c r="L40" s="163">
        <f>P40*585</f>
        <v>88966.18421052632</v>
      </c>
      <c r="M40" s="367" t="str">
        <f>+VLOOKUP(C40,Lista!B:D,3,0)</f>
        <v>MICRO</v>
      </c>
      <c r="N40" s="164">
        <f>+(SUMIFS(G:G,M:M,"MICRO",E:E,"&gt;0")*100)/COUNTIF($E$7:$E$44,"&gt;0")</f>
        <v>8821.0526315789466</v>
      </c>
      <c r="O40" s="50">
        <f t="shared" si="0"/>
        <v>9</v>
      </c>
      <c r="P40" s="47">
        <f t="shared" si="1"/>
        <v>152.07894736842107</v>
      </c>
      <c r="Q40" s="49">
        <f t="shared" si="2"/>
        <v>165</v>
      </c>
      <c r="R40" s="51">
        <f t="shared" si="3"/>
        <v>152.07894736842107</v>
      </c>
      <c r="S40" s="46">
        <f t="shared" si="4"/>
        <v>83643.421052631587</v>
      </c>
      <c r="T40" t="str">
        <f t="shared" si="5"/>
        <v/>
      </c>
      <c r="U40">
        <f>+RANK(H40,$H$6:$H$1048576,1)</f>
        <v>26</v>
      </c>
      <c r="Y40" t="str">
        <f>TRIM(Tabla2[[#This Row],[CONDUCTOR]])</f>
        <v>SUAREZ ESCUDERO JONATAN</v>
      </c>
    </row>
    <row r="41" spans="2:25" x14ac:dyDescent="0.2">
      <c r="B41" s="136" t="s">
        <v>122</v>
      </c>
      <c r="C41" s="166">
        <v>41</v>
      </c>
      <c r="D41" s="151" t="s">
        <v>179</v>
      </c>
      <c r="E41" s="150">
        <v>8</v>
      </c>
      <c r="F41" s="150">
        <v>0</v>
      </c>
      <c r="G41" s="146">
        <v>189</v>
      </c>
      <c r="H41" s="226">
        <f>+G41/E41</f>
        <v>23.625</v>
      </c>
      <c r="I41" s="227">
        <f>+(SUM($G$7:$G$1048576)/SUM($E$7:$E$1048576))*E41</f>
        <v>143.18128654970761</v>
      </c>
      <c r="J41" s="363">
        <f>+Tabla2[[#This Row],[PROM DE USUARIOS]]-Tabla2[[#This Row],[USUARIOS]]</f>
        <v>-45.818713450292393</v>
      </c>
      <c r="K41" s="151" t="s">
        <v>187</v>
      </c>
      <c r="L41" s="163">
        <f>P41*585</f>
        <v>79081.052631578947</v>
      </c>
      <c r="M41" s="367">
        <f>+VLOOKUP(C41,Lista!B:D,3,0)</f>
        <v>0</v>
      </c>
      <c r="N41" s="164">
        <f>+(SUMIFS(G:G,M:M,"MICRO",E:E,"&gt;0")*100)/COUNTIF($E$7:$E$44,"&gt;0")</f>
        <v>8821.0526315789466</v>
      </c>
      <c r="O41" s="50">
        <f t="shared" si="0"/>
        <v>8</v>
      </c>
      <c r="P41" s="47">
        <f t="shared" si="1"/>
        <v>135.18128654970761</v>
      </c>
      <c r="Q41" s="49">
        <f t="shared" si="2"/>
        <v>181</v>
      </c>
      <c r="R41" s="51">
        <f t="shared" si="3"/>
        <v>135.18128654970761</v>
      </c>
      <c r="S41" s="46">
        <f t="shared" si="4"/>
        <v>74349.707602339186</v>
      </c>
      <c r="T41" t="str">
        <f t="shared" si="5"/>
        <v xml:space="preserve">1 Descuento (Despachador) </v>
      </c>
      <c r="U41">
        <f>+RANK(H41,$H$6:$H$1048576,1)</f>
        <v>39</v>
      </c>
      <c r="Y41" t="str">
        <f>TRIM(Tabla2[[#This Row],[CONDUCTOR]])</f>
        <v>RUA CHAVARRIA YEFERSON ANDREY</v>
      </c>
    </row>
    <row r="42" spans="2:25" x14ac:dyDescent="0.2">
      <c r="B42" s="136" t="s">
        <v>121</v>
      </c>
      <c r="C42" s="137">
        <v>42</v>
      </c>
      <c r="D42" s="151" t="s">
        <v>180</v>
      </c>
      <c r="E42" s="150">
        <v>9</v>
      </c>
      <c r="F42" s="150">
        <v>0</v>
      </c>
      <c r="G42" s="146">
        <v>143</v>
      </c>
      <c r="H42" s="226">
        <f>+G42/E42</f>
        <v>15.888888888888889</v>
      </c>
      <c r="I42" s="227">
        <f>+(SUM($G$7:$G$1048576)/SUM($E$7:$E$1048576))*E42</f>
        <v>161.07894736842107</v>
      </c>
      <c r="J42" s="363">
        <f>+Tabla2[[#This Row],[PROM DE USUARIOS]]-Tabla2[[#This Row],[USUARIOS]]</f>
        <v>18.078947368421069</v>
      </c>
      <c r="K42" s="151"/>
      <c r="L42" s="163">
        <f>P42*585</f>
        <v>88966.18421052632</v>
      </c>
      <c r="M42" s="367">
        <f>+VLOOKUP(C42,Lista!B:D,3,0)</f>
        <v>0</v>
      </c>
      <c r="N42" s="164">
        <f>+(SUMIFS(G:G,M:M,"MICRO",E:E,"&gt;0")*100)/COUNTIF($E$7:$E$44,"&gt;0")</f>
        <v>8821.0526315789466</v>
      </c>
      <c r="O42" s="50">
        <f t="shared" si="0"/>
        <v>9</v>
      </c>
      <c r="P42" s="47">
        <f t="shared" si="1"/>
        <v>152.07894736842107</v>
      </c>
      <c r="Q42" s="49">
        <f t="shared" si="2"/>
        <v>134</v>
      </c>
      <c r="R42" s="51">
        <f t="shared" si="3"/>
        <v>152.07894736842107</v>
      </c>
      <c r="S42" s="46">
        <f t="shared" si="4"/>
        <v>83643.421052631587</v>
      </c>
      <c r="T42" t="str">
        <f t="shared" si="5"/>
        <v/>
      </c>
      <c r="U42">
        <f>+RANK(H42,$H$6:$H$1048576,1)</f>
        <v>9</v>
      </c>
      <c r="Y42" t="str">
        <f>TRIM(Tabla2[[#This Row],[CONDUCTOR]])</f>
        <v>MONTOYA OSPINA GILBERTO ANTONIO</v>
      </c>
    </row>
    <row r="43" spans="2:25" x14ac:dyDescent="0.2">
      <c r="B43" s="136" t="s">
        <v>122</v>
      </c>
      <c r="C43" s="166">
        <v>43</v>
      </c>
      <c r="D43" s="151" t="s">
        <v>170</v>
      </c>
      <c r="E43" s="150">
        <v>9</v>
      </c>
      <c r="F43" s="150">
        <v>0</v>
      </c>
      <c r="G43" s="165">
        <v>153</v>
      </c>
      <c r="H43" s="226">
        <f>+G43/E43</f>
        <v>17</v>
      </c>
      <c r="I43" s="227">
        <f>+(SUM($G$7:$G$1048576)/SUM($E$7:$E$1048576))*E43</f>
        <v>161.07894736842107</v>
      </c>
      <c r="J43" s="363">
        <f>+Tabla2[[#This Row],[PROM DE USUARIOS]]-Tabla2[[#This Row],[USUARIOS]]</f>
        <v>8.0789473684210691</v>
      </c>
      <c r="K43" s="151"/>
      <c r="L43" s="163">
        <f>P43*585</f>
        <v>88966.18421052632</v>
      </c>
      <c r="M43" s="367">
        <f>+VLOOKUP(C43,Lista!B:D,3,0)</f>
        <v>0</v>
      </c>
      <c r="N43" s="164">
        <f>+(SUMIFS(G:G,M:M,"MICRO",E:E,"&gt;0")*100)/COUNTIF($E$7:$E$44,"&gt;0")</f>
        <v>8821.0526315789466</v>
      </c>
      <c r="O43" s="50">
        <f t="shared" si="0"/>
        <v>9</v>
      </c>
      <c r="P43" s="47">
        <f t="shared" si="1"/>
        <v>152.07894736842107</v>
      </c>
      <c r="Q43" s="49">
        <f t="shared" si="2"/>
        <v>144</v>
      </c>
      <c r="R43" s="51">
        <f t="shared" si="3"/>
        <v>152.07894736842107</v>
      </c>
      <c r="S43" s="46">
        <f t="shared" si="4"/>
        <v>83643.421052631587</v>
      </c>
      <c r="T43" t="str">
        <f t="shared" si="5"/>
        <v/>
      </c>
      <c r="U43">
        <f>+RANK(H43,$H$6:$H$1048576,1)</f>
        <v>17</v>
      </c>
      <c r="Y43" t="str">
        <f>TRIM(Tabla2[[#This Row],[CONDUCTOR]])</f>
        <v>JARAMILLO JARAMILLO FRANCISCO WBEIMAR</v>
      </c>
    </row>
    <row r="44" spans="2:25" x14ac:dyDescent="0.2">
      <c r="B44" s="136" t="s">
        <v>122</v>
      </c>
      <c r="C44" s="166">
        <v>44</v>
      </c>
      <c r="D44" s="151" t="s">
        <v>158</v>
      </c>
      <c r="E44" s="150">
        <v>9</v>
      </c>
      <c r="F44" s="150"/>
      <c r="G44" s="146">
        <v>146</v>
      </c>
      <c r="H44" s="226">
        <f>+G44/E44</f>
        <v>16.222222222222221</v>
      </c>
      <c r="I44" s="364">
        <f>+(SUM($G$7:$G$1048576)/SUM($E$7:$E$1048576))*E44</f>
        <v>161.07894736842107</v>
      </c>
      <c r="J44" s="363">
        <f>+Tabla2[[#This Row],[PROM DE USUARIOS]]-Tabla2[[#This Row],[USUARIOS]]</f>
        <v>15.078947368421069</v>
      </c>
      <c r="K44" s="151"/>
      <c r="L44" s="163">
        <f>P44*585</f>
        <v>88966.18421052632</v>
      </c>
      <c r="M44" s="367">
        <f>+VLOOKUP(C44,Lista!B:D,3,0)</f>
        <v>0</v>
      </c>
      <c r="N44" s="164">
        <f>+(SUMIFS(G:G,M:M,"MICRO",E:E,"&gt;0")*100)/COUNTIF($E$7:$E$44,"&gt;0")</f>
        <v>8821.0526315789466</v>
      </c>
      <c r="O44" s="50">
        <f t="shared" si="0"/>
        <v>9</v>
      </c>
      <c r="P44" s="47">
        <f t="shared" si="1"/>
        <v>152.07894736842107</v>
      </c>
      <c r="Q44" s="49">
        <f t="shared" si="2"/>
        <v>137</v>
      </c>
      <c r="R44" s="51">
        <f t="shared" si="3"/>
        <v>152.07894736842107</v>
      </c>
      <c r="S44" s="46">
        <f t="shared" si="4"/>
        <v>83643.421052631587</v>
      </c>
      <c r="T44" t="str">
        <f t="shared" si="5"/>
        <v/>
      </c>
      <c r="U44">
        <f>+RANK(H44,$H$6:$H$1048576,1)</f>
        <v>12</v>
      </c>
      <c r="Y44" t="str">
        <f>TRIM(Tabla2[[#This Row],[CONDUCTOR]])</f>
        <v>VALENCIA MENDOZA JHON</v>
      </c>
    </row>
    <row r="45" spans="2:25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342</v>
      </c>
      <c r="F45" s="234">
        <f>SUBTOTAL(109,Tabla2[VIAJES PERD.])</f>
        <v>0.5</v>
      </c>
      <c r="G45" s="240">
        <f>SUBTOTAL(109,Tabla2[USUARIOS])</f>
        <v>6121</v>
      </c>
      <c r="H45" s="375">
        <f>+Tabla2[[#Totals],[USUARIOS]]/Tabla2[[#Totals],[VIAJES]]</f>
        <v>17.897660818713451</v>
      </c>
      <c r="I45" s="240">
        <f>SUBTOTAL(109,Tabla2[PROM DE USUARIOS])</f>
        <v>6121.0000000000018</v>
      </c>
      <c r="J45" s="374">
        <f>SUBTOTAL(109,Tabla2[RECIBE / ENTREGA])</f>
        <v>3.5527136788005009E-13</v>
      </c>
      <c r="K45" s="235" t="s">
        <v>190</v>
      </c>
      <c r="L45" s="236"/>
      <c r="M45" s="237"/>
      <c r="N45" s="238">
        <f>SUBTOTAL(109,Tabla2[DIFER. MICRO - BUS ])</f>
        <v>335199.99999999965</v>
      </c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6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7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8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9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11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11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11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11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11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11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2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2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2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2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12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12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12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12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12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4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6:E1175 E7:E44">
    <cfRule type="cellIs" dxfId="30" priority="170" operator="greaterThan">
      <formula>7</formula>
    </cfRule>
  </conditionalFormatting>
  <conditionalFormatting sqref="E1485:E4763">
    <cfRule type="cellIs" dxfId="29" priority="137" operator="greaterThan">
      <formula>7</formula>
    </cfRule>
  </conditionalFormatting>
  <conditionalFormatting sqref="I46:I1247 G46:G48 I7:I44">
    <cfRule type="cellIs" dxfId="28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27" priority="297748" operator="greaterThan">
      <formula>$H$45</formula>
    </cfRule>
  </conditionalFormatting>
  <conditionalFormatting sqref="L7:L1247">
    <cfRule type="top10" dxfId="26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2026-01-08T07:39:23Z</cp:lastPrinted>
  <dcterms:created xsi:type="dcterms:W3CDTF">2021-05-05T13:25:05Z</dcterms:created>
  <dcterms:modified xsi:type="dcterms:W3CDTF">2026-01-08T07:40:36Z</dcterms:modified>
</cp:coreProperties>
</file>