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966D6E22-6A74-4F69-B29A-B1E2C5D5628B}" xr6:coauthVersionLast="47" xr6:coauthVersionMax="47" xr10:uidLastSave="{00000000-0000-0000-0000-000000000000}"/>
  <bookViews>
    <workbookView xWindow="30" yWindow="30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Import!$B$6:$N$1849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Import!$B$1:$O$31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7" i="1"/>
  <c r="F10" i="3"/>
  <c r="C29" i="1"/>
  <c r="G29" i="1"/>
  <c r="I8" i="1" s="1"/>
  <c r="F29" i="1"/>
  <c r="E29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M7" i="1"/>
  <c r="M8" i="1"/>
  <c r="M9" i="1"/>
  <c r="M10" i="1"/>
  <c r="M28" i="1"/>
  <c r="M12" i="1"/>
  <c r="M13" i="1"/>
  <c r="M14" i="1"/>
  <c r="M11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I11" i="1"/>
  <c r="H26" i="1"/>
  <c r="H11" i="1"/>
  <c r="H27" i="1"/>
  <c r="H7" i="1"/>
  <c r="H8" i="1"/>
  <c r="H9" i="1"/>
  <c r="H10" i="1"/>
  <c r="H28" i="1"/>
  <c r="H20" i="1"/>
  <c r="H17" i="1"/>
  <c r="H18" i="1"/>
  <c r="H19" i="1"/>
  <c r="H21" i="1"/>
  <c r="H22" i="1"/>
  <c r="H23" i="1"/>
  <c r="H24" i="1"/>
  <c r="H25" i="1"/>
  <c r="H12" i="1"/>
  <c r="H13" i="1"/>
  <c r="H14" i="1"/>
  <c r="H15" i="1"/>
  <c r="H16" i="1"/>
  <c r="U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P29" i="1"/>
  <c r="R29" i="1" s="1"/>
  <c r="Q30" i="1"/>
  <c r="Q31" i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T45" i="1"/>
  <c r="O45" i="1"/>
  <c r="Q45" i="1" s="1"/>
  <c r="T46" i="1"/>
  <c r="O46" i="1"/>
  <c r="Q46" i="1" s="1"/>
  <c r="T47" i="1"/>
  <c r="O47" i="1"/>
  <c r="Q47" i="1" s="1"/>
  <c r="M9" i="6"/>
  <c r="T48" i="1"/>
  <c r="O48" i="1"/>
  <c r="Q48" i="1" s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D13" i="3"/>
  <c r="E12" i="3"/>
  <c r="I26" i="1" l="1"/>
  <c r="I12" i="1"/>
  <c r="I25" i="1"/>
  <c r="Q25" i="1" s="1"/>
  <c r="I17" i="1"/>
  <c r="Q17" i="1" s="1"/>
  <c r="I20" i="1"/>
  <c r="Q20" i="1" s="1"/>
  <c r="I16" i="1"/>
  <c r="Q16" i="1" s="1"/>
  <c r="I22" i="1"/>
  <c r="Q22" i="1" s="1"/>
  <c r="I9" i="1"/>
  <c r="J9" i="1" s="1"/>
  <c r="I15" i="1"/>
  <c r="J15" i="1" s="1"/>
  <c r="I21" i="1"/>
  <c r="Q21" i="1" s="1"/>
  <c r="I27" i="1"/>
  <c r="Q27" i="1" s="1"/>
  <c r="J26" i="1"/>
  <c r="I14" i="1"/>
  <c r="Q14" i="1" s="1"/>
  <c r="L14" i="1" s="1"/>
  <c r="I24" i="1"/>
  <c r="I19" i="1"/>
  <c r="I28" i="1"/>
  <c r="J28" i="1" s="1"/>
  <c r="I7" i="1"/>
  <c r="J7" i="1" s="1"/>
  <c r="I13" i="1"/>
  <c r="J13" i="1" s="1"/>
  <c r="I23" i="1"/>
  <c r="I18" i="1"/>
  <c r="I10" i="1"/>
  <c r="J10" i="1" s="1"/>
  <c r="J24" i="1"/>
  <c r="J27" i="1"/>
  <c r="H29" i="1"/>
  <c r="V12" i="1" s="1"/>
  <c r="J11" i="1"/>
  <c r="N7" i="1"/>
  <c r="N25" i="1"/>
  <c r="N21" i="1"/>
  <c r="N17" i="1"/>
  <c r="N14" i="1"/>
  <c r="N10" i="1"/>
  <c r="J16" i="1"/>
  <c r="N24" i="1"/>
  <c r="N20" i="1"/>
  <c r="N16" i="1"/>
  <c r="N13" i="1"/>
  <c r="N9" i="1"/>
  <c r="J12" i="1"/>
  <c r="J8" i="1"/>
  <c r="N27" i="1"/>
  <c r="N23" i="1"/>
  <c r="N19" i="1"/>
  <c r="N15" i="1"/>
  <c r="N12" i="1"/>
  <c r="N8" i="1"/>
  <c r="N26" i="1"/>
  <c r="N22" i="1"/>
  <c r="N18" i="1"/>
  <c r="N11" i="1"/>
  <c r="N28" i="1"/>
  <c r="Q13" i="1"/>
  <c r="L13" i="1" s="1"/>
  <c r="Q12" i="1"/>
  <c r="L12" i="1" s="1"/>
  <c r="Q8" i="1"/>
  <c r="L8" i="1" s="1"/>
  <c r="Q26" i="1"/>
  <c r="P45" i="1"/>
  <c r="U32" i="1"/>
  <c r="U36" i="1"/>
  <c r="U40" i="1"/>
  <c r="V29" i="1"/>
  <c r="U33" i="1"/>
  <c r="U41" i="1"/>
  <c r="U30" i="1"/>
  <c r="U38" i="1"/>
  <c r="U42" i="1"/>
  <c r="U31" i="1"/>
  <c r="U35" i="1"/>
  <c r="U39" i="1"/>
  <c r="P41" i="1"/>
  <c r="P37" i="1"/>
  <c r="P33" i="1"/>
  <c r="Q29" i="1"/>
  <c r="P44" i="1"/>
  <c r="P40" i="1"/>
  <c r="P36" i="1"/>
  <c r="P32" i="1"/>
  <c r="P43" i="1"/>
  <c r="P39" i="1"/>
  <c r="P35" i="1"/>
  <c r="P31" i="1"/>
  <c r="P42" i="1"/>
  <c r="P38" i="1"/>
  <c r="P34" i="1"/>
  <c r="P30" i="1"/>
  <c r="U46" i="1"/>
  <c r="P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23" i="1" l="1"/>
  <c r="V24" i="1"/>
  <c r="Q9" i="1"/>
  <c r="L9" i="1" s="1"/>
  <c r="V18" i="1"/>
  <c r="V14" i="1"/>
  <c r="V27" i="1"/>
  <c r="V28" i="1"/>
  <c r="J25" i="1"/>
  <c r="V11" i="1"/>
  <c r="V21" i="1"/>
  <c r="V7" i="1"/>
  <c r="V17" i="1"/>
  <c r="Q7" i="1"/>
  <c r="L7" i="1" s="1"/>
  <c r="V19" i="1"/>
  <c r="V26" i="1"/>
  <c r="V10" i="1"/>
  <c r="V13" i="1"/>
  <c r="V20" i="1"/>
  <c r="J14" i="1"/>
  <c r="J20" i="1"/>
  <c r="J17" i="1"/>
  <c r="L21" i="1"/>
  <c r="Q10" i="1"/>
  <c r="L10" i="1" s="1"/>
  <c r="Q15" i="1"/>
  <c r="L15" i="1" s="1"/>
  <c r="V15" i="1"/>
  <c r="V22" i="1"/>
  <c r="V25" i="1"/>
  <c r="V9" i="1"/>
  <c r="V8" i="1"/>
  <c r="J22" i="1"/>
  <c r="Q23" i="1"/>
  <c r="L23" i="1" s="1"/>
  <c r="J21" i="1"/>
  <c r="Q24" i="1"/>
  <c r="L24" i="1" s="1"/>
  <c r="L25" i="1"/>
  <c r="V16" i="1"/>
  <c r="J19" i="1"/>
  <c r="I29" i="1"/>
  <c r="J23" i="1"/>
  <c r="Q19" i="1"/>
  <c r="L19" i="1" s="1"/>
  <c r="L16" i="1"/>
  <c r="Q18" i="1"/>
  <c r="L17" i="1" s="1"/>
  <c r="Q28" i="1"/>
  <c r="L27" i="1" s="1"/>
  <c r="L20" i="1"/>
  <c r="L26" i="1"/>
  <c r="L22" i="1"/>
  <c r="J18" i="1"/>
  <c r="Q11" i="1"/>
  <c r="N29" i="1"/>
  <c r="M11" i="6"/>
  <c r="U45" i="1"/>
  <c r="U43" i="1"/>
  <c r="U34" i="1"/>
  <c r="U37" i="1"/>
  <c r="U44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9" i="1" l="1"/>
  <c r="L28" i="1"/>
  <c r="L11" i="1"/>
  <c r="L18" i="1"/>
  <c r="S10" i="1"/>
  <c r="T10" i="1" s="1"/>
  <c r="S14" i="1"/>
  <c r="T14" i="1" s="1"/>
  <c r="S18" i="1"/>
  <c r="T18" i="1" s="1"/>
  <c r="S22" i="1"/>
  <c r="T22" i="1" s="1"/>
  <c r="S26" i="1"/>
  <c r="T26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9" i="1"/>
  <c r="T9" i="1" s="1"/>
  <c r="S13" i="1"/>
  <c r="T13" i="1" s="1"/>
  <c r="S17" i="1"/>
  <c r="T17" i="1" s="1"/>
  <c r="S21" i="1"/>
  <c r="T21" i="1" s="1"/>
  <c r="S25" i="1"/>
  <c r="T25" i="1" s="1"/>
  <c r="R30" i="1"/>
  <c r="S30" i="1" s="1"/>
  <c r="R34" i="1"/>
  <c r="S34" i="1" s="1"/>
  <c r="R38" i="1"/>
  <c r="S38" i="1" s="1"/>
  <c r="R42" i="1"/>
  <c r="S42" i="1" s="1"/>
  <c r="R31" i="1"/>
  <c r="S31" i="1" s="1"/>
  <c r="R35" i="1"/>
  <c r="S35" i="1" s="1"/>
  <c r="R39" i="1"/>
  <c r="S39" i="1" s="1"/>
  <c r="R43" i="1"/>
  <c r="S43" i="1" s="1"/>
  <c r="R32" i="1"/>
  <c r="S32" i="1" s="1"/>
  <c r="R36" i="1"/>
  <c r="S36" i="1" s="1"/>
  <c r="R40" i="1"/>
  <c r="S40" i="1" s="1"/>
  <c r="R44" i="1"/>
  <c r="S44" i="1" s="1"/>
  <c r="S29" i="1"/>
  <c r="T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<sst xmlns="http://schemas.openxmlformats.org/spreadsheetml/2006/main" count="268" uniqueCount="177">
  <si>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</si>
  <si>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</si>
  <si>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</si>
  <si>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</si>
  <si>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</si>
  <si>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</si>
  <si>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</si>
  <si>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</si>
  <si>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</si>
  <si>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</si>
  <si>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</si>
  <si>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</si>
  <si>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</si>
  <si>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</si>
  <si>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</si>
  <si>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</si>
  <si>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</si>
  <si>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</si>
  <si>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</si>
  <si>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</si>
  <si>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</si>
  <si>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</si>
  <si>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</si>
  <si>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</si>
  <si>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</si>
  <si>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</si>
  <si>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</si>
  <si>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</si>
  <si>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</si>
  <si>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</si>
  <si>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</si>
  <si>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</si>
  <si>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</si>
  <si>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</si>
  <si>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</si>
  <si>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</si>
  <si>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</si>
  <si>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</si>
  <si>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</si>
  <si>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</si>
  <si>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</si>
  <si>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</si>
  <si>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</si>
  <si>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</si>
  <si>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</si>
  <si>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</si>
  <si>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</si>
  <si>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</si>
  <si>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</si>
  <si>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</si>
  <si>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</si>
  <si>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</si>
  <si>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</si>
  <si>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</si>
  <si>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</si>
  <si>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</si>
  <si>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</si>
  <si>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</si>
  <si>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</si>
  <si>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</si>
  <si>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</si>
  <si>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</si>
  <si>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</si>
  <si>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</si>
  <si>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</si>
  <si>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</si>
  <si>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</si>
  <si>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</si>
  <si>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</si>
  <si>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</si>
  <si>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</si>
  <si>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</si>
  <si>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</si>
  <si>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</si>
  <si>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</si>
  <si>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</si>
  <si>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</si>
  <si>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</si>
  <si>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</si>
  <si>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</si>
  <si>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</si>
  <si>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</si>
  <si>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</si>
  <si>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</si>
  <si>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</si>
  <si>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</si>
  <si>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</si>
  <si>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</si>
  <si>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</si>
  <si>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</si>
  <si>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</si>
  <si>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</si>
  <si>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</si>
  <si>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</si>
  <si>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</si>
  <si>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</si>
  <si>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</si>
  <si>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</si>
  <si>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</si>
  <si>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</si>
  <si>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</si>
  <si>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</si>
  <si>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</si>
  <si>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</si>
  <si>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</si>
  <si>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</si>
  <si>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</si>
  <si>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</si>
  <si>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</si>
  <si>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</si>
  <si>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</si>
  <si>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</si>
  <si>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</si>
  <si>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</si>
  <si>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</si>
  <si>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</si>
  <si>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</si>
  <si>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</si>
  <si>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</si>
  <si>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</si>
  <si>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</si>
  <si>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</si>
  <si>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</si>
  <si>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</si>
  <si>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</si>
  <si>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</si>
  <si>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</si>
  <si>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</si>
  <si>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</si>
  <si>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</si>
  <si>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</si>
  <si>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</si>
  <si>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</si>
  <si>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</si>
  <si>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</si>
  <si>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</si>
  <si>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</si>
  <si>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</si>
  <si>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</si>
  <si>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</si>
  <si>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</si>
  <si>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</si>
  <si>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</si>
  <si>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</si>
  <si>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</si>
  <si>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</si>
  <si>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</si>
  <si>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</si>
  <si>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88XM</t>
  </si>
  <si>
    <t>IBARGUEN GARRIDO JUAN ESTEBAN</t>
  </si>
  <si>
    <t>SERNA  GIOVANNY</t>
  </si>
  <si>
    <t>GONZALEZ IPUANA RENE</t>
  </si>
  <si>
    <t>VERENZUELA MARTINEZ ALEXANDER</t>
  </si>
  <si>
    <t>SANCHEZ BETANCOURT FRANSCISCO</t>
  </si>
  <si>
    <t>SUAREZ ESCUDERO JONATAN</t>
  </si>
  <si>
    <t>ALBERTO ARISTIZABAL RAFAEL</t>
  </si>
  <si>
    <t>PEREZ GARCIA JUAN ESTEBAN</t>
  </si>
  <si>
    <t>PALMAR PANA EDIXON JOSUE</t>
  </si>
  <si>
    <t>MARIN GARCIA JUAN DANIEL</t>
  </si>
  <si>
    <t>CALLE  RICARDO</t>
  </si>
  <si>
    <t>GONZALEZ PEREZ RAFAEL JOSE</t>
  </si>
  <si>
    <t>PARRA VILLA YUBER ALONSO</t>
  </si>
  <si>
    <t>VALENCIA MENDOZA JHON</t>
  </si>
  <si>
    <t>LOPERA ALVAREZ ESTIVEN</t>
  </si>
  <si>
    <t>MARIN ALZATE KEVIN ANDRES</t>
  </si>
  <si>
    <t>DAVID  HENRY GIOVANNY</t>
  </si>
  <si>
    <t>AGUDELO GARCIA DENIN ANGELO</t>
  </si>
  <si>
    <t>ESPINOZA CHAVARRIA GUILLERMO LEON</t>
  </si>
  <si>
    <t>MURILLO  YOIMAR ANDRES</t>
  </si>
  <si>
    <t>TABORDA ROJAS DIEGO ALEJANDRO</t>
  </si>
  <si>
    <t xml:space="preserve">1 Descuento (Despachador) </t>
  </si>
  <si>
    <t xml:space="preserve">3 Descuentos (Transbordo) </t>
  </si>
  <si>
    <t xml:space="preserve">2 Descuentos (Conducts) </t>
  </si>
  <si>
    <t xml:space="preserve">2 Descuentos (Despachador) </t>
  </si>
  <si>
    <t xml:space="preserve">2 Descuentos (Despachador y conduct) </t>
  </si>
  <si>
    <t>FONDO (SIT)</t>
  </si>
  <si>
    <r>
      <t xml:space="preserve">PROMEDIO X VIAJE </t>
    </r>
    <r>
      <rPr>
        <b/>
        <sz val="11"/>
        <color theme="8" tint="-0.249977111117893"/>
        <rFont val="Verdana"/>
        <family val="2"/>
      </rPr>
      <t>20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</si>
</sst>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Gothic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Gothic"/>
      <family val="2"/>
      <scheme val="minor"/>
    </font>
    <font>
      <b/>
      <sz val="14"/>
      <color theme="1"/>
      <name val="Century Gothic"/>
      <family val="2"/>
      <scheme val="minor"/>
    </font>
    <font>
      <sz val="8"/>
      <name val="Century Gothic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6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0" fontId="0" fillId="0" borderId="0" xfId="0" applyNumberFormat="1"/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Import!$C$7:$C$29</c:f>
              <c:numCache>
                <c:formatCode>0</c:formatCode>
                <c:ptCount val="2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29</c:v>
                </c:pt>
                <c:pt idx="15" formatCode="General">
                  <c:v>36</c:v>
                </c:pt>
                <c:pt idx="16" formatCode="General">
                  <c:v>37</c:v>
                </c:pt>
                <c:pt idx="17">
                  <c:v>38</c:v>
                </c:pt>
                <c:pt idx="18">
                  <c:v>39</c:v>
                </c:pt>
                <c:pt idx="19">
                  <c:v>40</c:v>
                </c:pt>
                <c:pt idx="20" formatCode="General">
                  <c:v>42</c:v>
                </c:pt>
                <c:pt idx="21">
                  <c:v>44</c:v>
                </c:pt>
              </c:numCache>
            </c:numRef>
          </c:cat>
          <c:val>
            <c:numRef>
              <c:f>Import!$H$7:$H$29</c:f>
              <c:numCache>
                <c:formatCode>_-* #,##0.0_-;\-* #,##0.0_-;_-* "-"??_-;_-@_-</c:formatCode>
                <c:ptCount val="22"/>
                <c:pt idx="0">
                  <c:v>20</c:v>
                </c:pt>
                <c:pt idx="1">
                  <c:v>23.9</c:v>
                </c:pt>
                <c:pt idx="2">
                  <c:v>22.6</c:v>
                </c:pt>
                <c:pt idx="3">
                  <c:v>16.8</c:v>
                </c:pt>
                <c:pt idx="4">
                  <c:v>19.100000000000001</c:v>
                </c:pt>
                <c:pt idx="5">
                  <c:v>20.777777777777779</c:v>
                </c:pt>
                <c:pt idx="6">
                  <c:v>35</c:v>
                </c:pt>
                <c:pt idx="7">
                  <c:v>20.444444444444443</c:v>
                </c:pt>
                <c:pt idx="8">
                  <c:v>18.545454545454547</c:v>
                </c:pt>
                <c:pt idx="9">
                  <c:v>17.777777777777779</c:v>
                </c:pt>
                <c:pt idx="10">
                  <c:v>18.899999999999999</c:v>
                </c:pt>
                <c:pt idx="11">
                  <c:v>18.7</c:v>
                </c:pt>
                <c:pt idx="12">
                  <c:v>19.2</c:v>
                </c:pt>
                <c:pt idx="13">
                  <c:v>19</c:v>
                </c:pt>
                <c:pt idx="14">
                  <c:v>20</c:v>
                </c:pt>
                <c:pt idx="15">
                  <c:v>23.333333333333332</c:v>
                </c:pt>
                <c:pt idx="16">
                  <c:v>18.444444444444443</c:v>
                </c:pt>
                <c:pt idx="17">
                  <c:v>21</c:v>
                </c:pt>
                <c:pt idx="18">
                  <c:v>20.6</c:v>
                </c:pt>
                <c:pt idx="19">
                  <c:v>21.2</c:v>
                </c:pt>
                <c:pt idx="20">
                  <c:v>23.8</c:v>
                </c:pt>
                <c:pt idx="21">
                  <c:v>12.166666666666666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3</xdr:row>
      <xdr:rowOff>739942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10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4">
    <i>
      <x v="1"/>
    </i>
    <i>
      <x v="10"/>
    </i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Between" evalOrder="-1" id="34" name="Fecha">
      <autoFilter ref="A1">
        <filterColumn colId="0">
          <customFilters and="1">
            <customFilter operator="greaterThanOrEqual" val="45689"/>
            <customFilter operator="lessThanOrEqual" val="457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29" totalsRowCount="1" headerRowDxfId="64" dataDxfId="63" totalsRowDxfId="62">
  <sortState xmlns:xlrd2="http://schemas.microsoft.com/office/spreadsheetml/2017/richdata2" ref="B7:N28">
    <sortCondition ref="C16:C28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20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49" totalsRowDxfId="1" dataCellStyle="Millares">
      <calculatedColumnFormula>+(SUMIFS(G:G,M:M,"MICRO",E:E,"&gt;0")*100)/COUNTIF($E$7:$E$28,"&gt;0")</calculatedColumnFormula>
    </tableColumn>
    <tableColumn id="14" xr3:uid="{9A2661DD-4DFD-4396-9AF3-54AC3860AE43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8" dataDxfId="47" totalsRowDxfId="46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5" totalsRowDxfId="44"/>
    <tableColumn id="2" xr3:uid="{7E9A4909-E53D-4F94-80A1-A675A394CC57}" name="VEH" totalsRowLabel="4" dataDxfId="43" totalsRowDxfId="42"/>
    <tableColumn id="3" xr3:uid="{32EB6A87-92EF-4CA2-B1E8-104D5D2326F5}" name="CONDUCTOR" totalsRowLabel="Vehs " dataDxfId="41" totalsRowDxfId="40"/>
    <tableColumn id="4" xr3:uid="{72FB169E-4910-4353-AF10-07DA297F0CD5}" name="VIAJES" totalsRowFunction="sum" dataDxfId="39" totalsRowDxfId="38"/>
    <tableColumn id="5" xr3:uid="{F323DE89-3087-4D39-B0ED-15680CB2FE01}" name="VIAJES PERD." totalsRowFunction="sum" dataDxfId="37" totalsRowDxfId="36"/>
    <tableColumn id="6" xr3:uid="{FF87B711-9A02-4FB5-B21F-73198A4385A8}" name="USUARIOS" totalsRowFunction="sum" dataDxfId="35" totalsRowDxfId="34" dataCellStyle="Millares"/>
    <tableColumn id="12" xr3:uid="{60E0DB3A-B7E4-44B6-BB26-D54278C24006}" name="PROM X VIAJE" totalsRowFunction="average" dataDxfId="33" totalsRowDxfId="32" dataCellStyle="Millares"/>
    <tableColumn id="7" xr3:uid="{12134CBA-AEEC-4025-BB5C-89B13D8F91D4}" name="PROM DE USUARIOS" totalsRowFunction="sum" dataDxfId="31" totalsRowDxfId="30" dataCellStyle="Millares"/>
    <tableColumn id="8" xr3:uid="{F35B2CED-DE3E-48D9-8E47-198F9B4F56C9}" name="NOVEDADES" dataDxfId="29" totalsRowDxfId="28"/>
    <tableColumn id="9" xr3:uid="{4BD57B08-79CF-4422-A880-91A289697DC2}" name="VALOR OPERACIÓN" dataDxfId="27" totalsRowDxfId="26" dataCellStyle="Millares"/>
    <tableColumn id="10" xr3:uid="{E8B6C5A5-759D-4901-BD5D-0ADA9540975C}" name="CLASIFIC." dataDxfId="25" totalsRowDxfId="24"/>
    <tableColumn id="11" xr3:uid="{CFA53866-4E21-473F-9C2D-8FB2962BACB5}" name="DIFER. MICRO - BUS " totalsRowFunction="sum" dataDxfId="23" totalsRowDxfId="22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Sector">
  <a:themeElements>
    <a:clrScheme name="Verde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Between">
    <selection startDate="2025-02-01T00:00:00" endDate="2025-02-28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2" selectionLevel="2" scrollPosition="2024-07-23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9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6.5" x14ac:dyDescent="0.3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5" customWidth="1"/>
    <col min="8" max="8" width="10.625" style="336" customWidth="1"/>
    <col min="9" max="9" width="10.375" style="149" customWidth="1"/>
    <col min="10" max="10" width="9.375" style="362" hidden="1" customWidth="1"/>
    <col min="11" max="11" width="37.5" customWidth="1"/>
    <col min="12" max="12" width="10.5" style="337" customWidth="1"/>
    <col min="13" max="13" width="9.625" customWidth="1"/>
    <col min="14" max="14" width="11.375" customWidth="1"/>
    <col min="15" max="15" width="11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9.25" thickBot="1" x14ac:dyDescent="0.3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+SUM(G6:G1840)/2</f>
        <v>3720</v>
      </c>
      <c r="R3" s="55">
        <f>+SUM(E6:E1840)/2</f>
        <v>185.5</v>
      </c>
      <c r="S3" s="55">
        <f>+Q3-R3</f>
        <v>3534.5</v>
      </c>
      <c r="T3" s="56">
        <f>+S3/R3</f>
        <v>19.053908355795148</v>
      </c>
      <c r="V3" s="15"/>
      <c r="X3" s="15"/>
      <c r="Z3" s="15"/>
      <c r="AB3" s="15"/>
      <c r="AD3" s="15"/>
      <c r="AF3" s="15"/>
    </row>
    <row r="4" spans="1:32" x14ac:dyDescent="0.3">
      <c r="B4" s="369"/>
      <c r="C4" s="369"/>
      <c r="D4" s="369"/>
      <c r="E4" s="369"/>
      <c r="F4" s="369"/>
      <c r="G4" s="194">
        <v>46054</v>
      </c>
      <c r="H4" s="243"/>
      <c r="I4" s="19"/>
      <c r="J4" s="338"/>
      <c r="K4" s="195"/>
      <c r="L4" s="197"/>
    </row>
    <row r="5" spans="1:32" ht="17.25" thickBot="1" x14ac:dyDescent="0.35">
      <c r="G5" s="242"/>
      <c r="H5" s="243"/>
      <c r="I5" s="20"/>
      <c r="J5" s="339"/>
      <c r="L5" s="197"/>
    </row>
    <row r="6" spans="1:32" ht="67.5" x14ac:dyDescent="0.3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175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3">
      <c r="B7" s="136" t="s">
        <v>148</v>
      </c>
      <c r="C7" s="166">
        <v>2</v>
      </c>
      <c r="D7" s="151" t="s">
        <v>166</v>
      </c>
      <c r="E7" s="150">
        <v>10</v>
      </c>
      <c r="F7" s="150">
        <v>0</v>
      </c>
      <c r="G7" s="165">
        <v>200</v>
      </c>
      <c r="H7" s="226">
        <f>+G7/E7</f>
        <v>20</v>
      </c>
      <c r="I7" s="227">
        <f>+(SUM($G$7:$G$1048576)/SUM($E$7:$E$1048576))*E7</f>
        <v>200.53908355795147</v>
      </c>
      <c r="J7" s="363">
        <f>+Tabla2[[#This Row],[PROM DE USUARIOS]]-Tabla2[[#This Row],[USUARIOS]]</f>
        <v>0.53908355795147145</v>
      </c>
      <c r="K7" s="151"/>
      <c r="L7" s="163">
        <f>Q7*635</f>
        <v>120992.31805929918</v>
      </c>
      <c r="M7" s="162">
        <f>+VLOOKUP(C7,Lista!B:D,3,0)</f>
        <v>0</v>
      </c>
      <c r="N7" s="164">
        <f>+(SUMIFS(G:G,M:M,"MICRO",E:E,"&gt;0")*100)/COUNTIF($E$7:$E$28,"&gt;0")</f>
        <v>11040.90909090909</v>
      </c>
      <c r="O7" s="164">
        <f>Tabla2[[#This Row],[USUARIOS]]*150</f>
        <v>30000</v>
      </c>
      <c r="P7" s="50">
        <f>+(E7*1)-W7</f>
        <v>10</v>
      </c>
      <c r="Q7" s="47">
        <f>+I7-P7-X7</f>
        <v>190.53908355795147</v>
      </c>
      <c r="R7" s="49">
        <f>+G7-P7</f>
        <v>190</v>
      </c>
      <c r="S7" s="51">
        <f>+E7*$T$3</f>
        <v>190.53908355795147</v>
      </c>
      <c r="T7" s="46">
        <f t="shared" ref="T7:T28" si="0">+S7*550</f>
        <v>104796.4959568733</v>
      </c>
      <c r="U7" t="str">
        <f>+IF(K7&lt;&gt;"",K7,"")</f>
        <v/>
      </c>
      <c r="V7">
        <f>+RANK(H7,$H$6:$H$1048576,1)</f>
        <v>11</v>
      </c>
      <c r="W7"/>
      <c r="X7"/>
      <c r="Z7" t="str">
        <f>TRIM(Tabla2[[#This Row],[CONDUCTOR]])</f>
        <v>AGUDELO GARCIA DENIN ANGELO</v>
      </c>
    </row>
    <row r="8" spans="1:32" x14ac:dyDescent="0.3">
      <c r="B8" s="136" t="s">
        <v>148</v>
      </c>
      <c r="C8" s="166">
        <v>4</v>
      </c>
      <c r="D8" s="151" t="s">
        <v>153</v>
      </c>
      <c r="E8" s="150">
        <v>10</v>
      </c>
      <c r="F8" s="150">
        <v>0</v>
      </c>
      <c r="G8" s="146">
        <v>239</v>
      </c>
      <c r="H8" s="226">
        <f>+G8/E8</f>
        <v>23.9</v>
      </c>
      <c r="I8" s="364">
        <f>+(SUM($G$7:$G$1048576)/SUM($E$7:$E$1048576))*E8</f>
        <v>200.53908355795147</v>
      </c>
      <c r="J8" s="363">
        <f>+Tabla2[[#This Row],[PROM DE USUARIOS]]-Tabla2[[#This Row],[USUARIOS]]</f>
        <v>-38.460916442048529</v>
      </c>
      <c r="K8" s="151"/>
      <c r="L8" s="163">
        <f>Q8*635</f>
        <v>120992.31805929918</v>
      </c>
      <c r="M8" s="162" t="str">
        <f>+VLOOKUP(C8,Lista!B:D,3,0)</f>
        <v>MICRO</v>
      </c>
      <c r="N8" s="164">
        <f>+(SUMIFS(G:G,M:M,"MICRO",E:E,"&gt;0")*100)/COUNTIF($E$7:$E$28,"&gt;0")</f>
        <v>11040.90909090909</v>
      </c>
      <c r="O8" s="164">
        <f>Tabla2[[#This Row],[USUARIOS]]*150</f>
        <v>35850</v>
      </c>
      <c r="P8" s="50">
        <f>+(E8*1)-W8</f>
        <v>10</v>
      </c>
      <c r="Q8" s="47">
        <f>+I8-P8-X8</f>
        <v>190.53908355795147</v>
      </c>
      <c r="R8" s="49">
        <f>+G8-P8</f>
        <v>229</v>
      </c>
      <c r="S8" s="51">
        <f>+E8*$T$3</f>
        <v>190.53908355795147</v>
      </c>
      <c r="T8" s="46">
        <f t="shared" si="0"/>
        <v>104796.4959568733</v>
      </c>
      <c r="U8" t="str">
        <f>+IF(K8&lt;&gt;"",K8,"")</f>
        <v/>
      </c>
      <c r="V8">
        <f>+RANK(H8,$H$6:$H$1048576,1)</f>
        <v>22</v>
      </c>
      <c r="Z8" t="str">
        <f>TRIM(Tabla2[[#This Row],[CONDUCTOR]])</f>
        <v>SANCHEZ BETANCOURT FRANSCISCO</v>
      </c>
    </row>
    <row r="9" spans="1:32" x14ac:dyDescent="0.3">
      <c r="B9" s="136" t="s">
        <v>148</v>
      </c>
      <c r="C9" s="166">
        <v>6</v>
      </c>
      <c r="D9" s="151" t="s">
        <v>150</v>
      </c>
      <c r="E9" s="150">
        <v>10</v>
      </c>
      <c r="F9" s="150">
        <v>0</v>
      </c>
      <c r="G9" s="146">
        <v>226</v>
      </c>
      <c r="H9" s="226">
        <f>+G9/E9</f>
        <v>22.6</v>
      </c>
      <c r="I9" s="364">
        <f>+(SUM($G$7:$G$1048576)/SUM($E$7:$E$1048576))*E9</f>
        <v>200.53908355795147</v>
      </c>
      <c r="J9" s="363">
        <f>+Tabla2[[#This Row],[PROM DE USUARIOS]]-Tabla2[[#This Row],[USUARIOS]]</f>
        <v>-25.460916442048529</v>
      </c>
      <c r="K9" s="151" t="s">
        <v>170</v>
      </c>
      <c r="L9" s="163">
        <f>Q9*635</f>
        <v>120992.31805929918</v>
      </c>
      <c r="M9" s="162" t="str">
        <f>+VLOOKUP(C9,Lista!B:D,3,0)</f>
        <v>MICRO</v>
      </c>
      <c r="N9" s="164">
        <f>+(SUMIFS(G:G,M:M,"MICRO",E:E,"&gt;0")*100)/COUNTIF($E$7:$E$28,"&gt;0")</f>
        <v>11040.90909090909</v>
      </c>
      <c r="O9" s="164">
        <f>Tabla2[[#This Row],[USUARIOS]]*150</f>
        <v>33900</v>
      </c>
      <c r="P9" s="50">
        <f>+(E9*1)-W9</f>
        <v>10</v>
      </c>
      <c r="Q9" s="47">
        <f>+I9-P9-X9</f>
        <v>190.53908355795147</v>
      </c>
      <c r="R9" s="49">
        <f>+G9-P9</f>
        <v>216</v>
      </c>
      <c r="S9" s="51">
        <f>+E9*$T$3</f>
        <v>190.53908355795147</v>
      </c>
      <c r="T9" s="46">
        <f t="shared" si="0"/>
        <v>104796.4959568733</v>
      </c>
      <c r="U9" t="str">
        <f>+IF(K9&lt;&gt;"",K9,"")</f>
        <v xml:space="preserve">1 Descuento (Despachador) </v>
      </c>
      <c r="V9">
        <f>+RANK(H9,$H$6:$H$1048576,1)</f>
        <v>19</v>
      </c>
      <c r="Z9" t="str">
        <f>TRIM(Tabla2[[#This Row],[CONDUCTOR]])</f>
        <v>SERNA GIOVANNY</v>
      </c>
    </row>
    <row r="10" spans="1:32" x14ac:dyDescent="0.3">
      <c r="B10" s="136" t="s">
        <v>148</v>
      </c>
      <c r="C10" s="166">
        <v>8</v>
      </c>
      <c r="D10" s="151" t="s">
        <v>160</v>
      </c>
      <c r="E10" s="150">
        <v>10</v>
      </c>
      <c r="F10" s="150">
        <v>0</v>
      </c>
      <c r="G10" s="146">
        <v>168</v>
      </c>
      <c r="H10" s="226">
        <f>+G10/E10</f>
        <v>16.8</v>
      </c>
      <c r="I10" s="364">
        <f>+(SUM($G$7:$G$1048576)/SUM($E$7:$E$1048576))*E10</f>
        <v>200.53908355795147</v>
      </c>
      <c r="J10" s="363">
        <f>+Tabla2[[#This Row],[PROM DE USUARIOS]]-Tabla2[[#This Row],[USUARIOS]]</f>
        <v>32.539083557951471</v>
      </c>
      <c r="K10" s="151" t="s">
        <v>171</v>
      </c>
      <c r="L10" s="163">
        <f>Q10*635</f>
        <v>120992.31805929918</v>
      </c>
      <c r="M10" s="162">
        <f>+VLOOKUP(C10,Lista!B:D,3,0)</f>
        <v>0</v>
      </c>
      <c r="N10" s="164">
        <f>+(SUMIFS(G:G,M:M,"MICRO",E:E,"&gt;0")*100)/COUNTIF($E$7:$E$28,"&gt;0")</f>
        <v>11040.90909090909</v>
      </c>
      <c r="O10" s="164">
        <f>Tabla2[[#This Row],[USUARIOS]]*150</f>
        <v>25200</v>
      </c>
      <c r="P10" s="50">
        <f>+(E10*1)-W10</f>
        <v>10</v>
      </c>
      <c r="Q10" s="47">
        <f>+I10-P10-X10</f>
        <v>190.53908355795147</v>
      </c>
      <c r="R10" s="49">
        <f>+G10-P10</f>
        <v>158</v>
      </c>
      <c r="S10" s="51">
        <f>+E10*$T$3</f>
        <v>190.53908355795147</v>
      </c>
      <c r="T10" s="46">
        <f t="shared" si="0"/>
        <v>104796.4959568733</v>
      </c>
      <c r="U10" t="str">
        <f>+IF(K10&lt;&gt;"",K10,"")</f>
        <v xml:space="preserve">3 Descuentos (Transbordo) </v>
      </c>
      <c r="V10">
        <f>+RANK(H10,$H$6:$H$1048576,1)</f>
        <v>2</v>
      </c>
      <c r="Z10" t="str">
        <f>TRIM(Tabla2[[#This Row],[CONDUCTOR]])</f>
        <v>GONZALEZ PEREZ RAFAEL JOSE</v>
      </c>
    </row>
    <row r="11" spans="1:32" x14ac:dyDescent="0.3">
      <c r="B11" s="136" t="s">
        <v>148</v>
      </c>
      <c r="C11" s="166">
        <v>10</v>
      </c>
      <c r="D11" s="151" t="s">
        <v>161</v>
      </c>
      <c r="E11" s="150">
        <v>10</v>
      </c>
      <c r="F11" s="150">
        <v>0</v>
      </c>
      <c r="G11" s="165">
        <v>191</v>
      </c>
      <c r="H11" s="226">
        <f>+G11/E11</f>
        <v>19.100000000000001</v>
      </c>
      <c r="I11" s="227">
        <f>+(SUM($G$7:$G$1048576)/SUM($E$7:$E$1048576))*E11</f>
        <v>200.53908355795147</v>
      </c>
      <c r="J11" s="363">
        <f>+Tabla2[[#This Row],[PROM DE USUARIOS]]-Tabla2[[#This Row],[USUARIOS]]</f>
        <v>9.5390835579514714</v>
      </c>
      <c r="K11" s="151"/>
      <c r="L11" s="163">
        <f>Q11*635</f>
        <v>120992.31805929918</v>
      </c>
      <c r="M11" s="162" t="str">
        <f>+VLOOKUP(C11,Lista!B:D,3,0)</f>
        <v>MICRO</v>
      </c>
      <c r="N11" s="164">
        <f>+(SUMIFS(G:G,M:M,"MICRO",E:E,"&gt;0")*100)/COUNTIF($E$7:$E$28,"&gt;0")</f>
        <v>11040.90909090909</v>
      </c>
      <c r="O11" s="164">
        <f>Tabla2[[#This Row],[USUARIOS]]*150</f>
        <v>28650</v>
      </c>
      <c r="P11" s="50">
        <f>+(E11*1)-W11</f>
        <v>10</v>
      </c>
      <c r="Q11" s="47">
        <f>+I11-P11-X11</f>
        <v>190.53908355795147</v>
      </c>
      <c r="R11" s="49">
        <f>+G11-P11</f>
        <v>181</v>
      </c>
      <c r="S11" s="51">
        <f>+E11*$T$3</f>
        <v>190.53908355795147</v>
      </c>
      <c r="T11" s="46">
        <f t="shared" si="0"/>
        <v>104796.4959568733</v>
      </c>
      <c r="U11" t="str">
        <f>+IF(K11&lt;&gt;"",K11,"")</f>
        <v/>
      </c>
      <c r="V11">
        <f>+RANK(H11,$H$6:$H$1048576,1)</f>
        <v>9</v>
      </c>
      <c r="Z11" t="str">
        <f>TRIM(Tabla2[[#This Row],[CONDUCTOR]])</f>
        <v>PARRA VILLA YUBER ALONSO</v>
      </c>
    </row>
    <row r="12" spans="1:32" x14ac:dyDescent="0.3">
      <c r="B12" s="136" t="s">
        <v>148</v>
      </c>
      <c r="C12" s="166">
        <v>12</v>
      </c>
      <c r="D12" s="151" t="s">
        <v>165</v>
      </c>
      <c r="E12" s="150">
        <v>9</v>
      </c>
      <c r="F12" s="150">
        <v>0</v>
      </c>
      <c r="G12" s="165">
        <v>187</v>
      </c>
      <c r="H12" s="226">
        <f>+G12/E12</f>
        <v>20.777777777777779</v>
      </c>
      <c r="I12" s="227">
        <f>+(SUM($G$7:$G$1048576)/SUM($E$7:$E$1048576))*E12</f>
        <v>180.48517520215634</v>
      </c>
      <c r="J12" s="363">
        <f>+Tabla2[[#This Row],[PROM DE USUARIOS]]-Tabla2[[#This Row],[USUARIOS]]</f>
        <v>-6.5148247978436586</v>
      </c>
      <c r="K12" s="151"/>
      <c r="L12" s="163">
        <f>Q12*635</f>
        <v>108893.08625336927</v>
      </c>
      <c r="M12" s="162">
        <f>+VLOOKUP(C12,Lista!B:D,3,0)</f>
        <v>0</v>
      </c>
      <c r="N12" s="164">
        <f>+(SUMIFS(G:G,M:M,"MICRO",E:E,"&gt;0")*100)/COUNTIF($E$7:$E$28,"&gt;0")</f>
        <v>11040.90909090909</v>
      </c>
      <c r="O12" s="164">
        <f>Tabla2[[#This Row],[USUARIOS]]*150</f>
        <v>28050</v>
      </c>
      <c r="P12" s="50">
        <f>+(E12*1)-W12</f>
        <v>9</v>
      </c>
      <c r="Q12" s="47">
        <f>+I12-P12-X12</f>
        <v>171.48517520215634</v>
      </c>
      <c r="R12" s="49">
        <f>+G12-P12</f>
        <v>178</v>
      </c>
      <c r="S12" s="51">
        <f>+E12*$T$3</f>
        <v>171.48517520215634</v>
      </c>
      <c r="T12" s="46">
        <f t="shared" si="0"/>
        <v>94316.846361185992</v>
      </c>
      <c r="U12" t="str">
        <f>+IF(K12&lt;&gt;"",K12,"")</f>
        <v/>
      </c>
      <c r="V12">
        <f>+RANK(H12,$H$6:$H$1048576,1)</f>
        <v>16</v>
      </c>
      <c r="Z12" t="str">
        <f>TRIM(Tabla2[[#This Row],[CONDUCTOR]])</f>
        <v>DAVID HENRY GIOVANNY</v>
      </c>
    </row>
    <row r="13" spans="1:32" x14ac:dyDescent="0.3">
      <c r="B13" s="136" t="s">
        <v>148</v>
      </c>
      <c r="C13" s="166">
        <v>14</v>
      </c>
      <c r="D13" s="151" t="s">
        <v>152</v>
      </c>
      <c r="E13" s="150">
        <v>2</v>
      </c>
      <c r="F13" s="150">
        <v>0</v>
      </c>
      <c r="G13" s="146">
        <v>70</v>
      </c>
      <c r="H13" s="226">
        <f>+G13/E13</f>
        <v>35</v>
      </c>
      <c r="I13" s="364">
        <f>+(SUM($G$7:$G$1048576)/SUM($E$7:$E$1048576))*E13</f>
        <v>40.107816711590296</v>
      </c>
      <c r="J13" s="363">
        <f>+Tabla2[[#This Row],[PROM DE USUARIOS]]-Tabla2[[#This Row],[USUARIOS]]</f>
        <v>-29.892183288409704</v>
      </c>
      <c r="K13" s="151"/>
      <c r="L13" s="163">
        <f>Q13*635</f>
        <v>24198.463611859839</v>
      </c>
      <c r="M13" s="162">
        <f>+VLOOKUP(C13,Lista!B:D,3,0)</f>
        <v>0</v>
      </c>
      <c r="N13" s="164">
        <f>+(SUMIFS(G:G,M:M,"MICRO",E:E,"&gt;0")*100)/COUNTIF($E$7:$E$28,"&gt;0")</f>
        <v>11040.90909090909</v>
      </c>
      <c r="O13" s="164">
        <f>Tabla2[[#This Row],[USUARIOS]]*150</f>
        <v>10500</v>
      </c>
      <c r="P13" s="50">
        <f>+(E13*1)-W13</f>
        <v>2</v>
      </c>
      <c r="Q13" s="47">
        <f>+I13-P13-X13</f>
        <v>38.107816711590296</v>
      </c>
      <c r="R13" s="49">
        <f>+G13-P13</f>
        <v>68</v>
      </c>
      <c r="S13" s="51">
        <f>+E13*$T$3</f>
        <v>38.107816711590296</v>
      </c>
      <c r="T13" s="46">
        <f t="shared" si="0"/>
        <v>20959.299191374663</v>
      </c>
      <c r="U13" t="str">
        <f>+IF(K13&lt;&gt;"",K13,"")</f>
        <v/>
      </c>
      <c r="V13">
        <f>+RANK(H13,$H$6:$H$1048576,1)</f>
        <v>23</v>
      </c>
      <c r="Z13" t="str">
        <f>TRIM(Tabla2[[#This Row],[CONDUCTOR]])</f>
        <v>VERENZUELA MARTINEZ ALEXANDER</v>
      </c>
    </row>
    <row r="14" spans="1:32" x14ac:dyDescent="0.3">
      <c r="B14" s="136" t="s">
        <v>148</v>
      </c>
      <c r="C14" s="166">
        <v>16</v>
      </c>
      <c r="D14" s="151" t="s">
        <v>156</v>
      </c>
      <c r="E14" s="150">
        <v>9</v>
      </c>
      <c r="F14" s="150">
        <v>0</v>
      </c>
      <c r="G14" s="165">
        <v>184</v>
      </c>
      <c r="H14" s="226">
        <f>+G14/E14</f>
        <v>20.444444444444443</v>
      </c>
      <c r="I14" s="227">
        <f>+(SUM($G$7:$G$1048576)/SUM($E$7:$E$1048576))*E14</f>
        <v>180.48517520215634</v>
      </c>
      <c r="J14" s="363">
        <f>+Tabla2[[#This Row],[PROM DE USUARIOS]]-Tabla2[[#This Row],[USUARIOS]]</f>
        <v>-3.5148247978436586</v>
      </c>
      <c r="K14" s="151" t="s">
        <v>129</v>
      </c>
      <c r="L14" s="163">
        <f>Q14*635</f>
        <v>108893.08625336927</v>
      </c>
      <c r="M14" s="162" t="str">
        <f>+VLOOKUP(C14,Lista!B:D,3,0)</f>
        <v>MICRO</v>
      </c>
      <c r="N14" s="164">
        <f>+(SUMIFS(G:G,M:M,"MICRO",E:E,"&gt;0")*100)/COUNTIF($E$7:$E$28,"&gt;0")</f>
        <v>11040.90909090909</v>
      </c>
      <c r="O14" s="164">
        <f>Tabla2[[#This Row],[USUARIOS]]*150</f>
        <v>27600</v>
      </c>
      <c r="P14" s="50">
        <f>+(E14*1)-W14</f>
        <v>9</v>
      </c>
      <c r="Q14" s="47">
        <f>+I14-P14-X14</f>
        <v>171.48517520215634</v>
      </c>
      <c r="R14" s="49">
        <f>+G14-P14</f>
        <v>175</v>
      </c>
      <c r="S14" s="51">
        <f>+E14*$T$3</f>
        <v>171.48517520215634</v>
      </c>
      <c r="T14" s="46">
        <f t="shared" si="0"/>
        <v>94316.846361185992</v>
      </c>
      <c r="U14" t="str">
        <f>+IF(K14&lt;&gt;"",K14,"")</f>
        <v xml:space="preserve">1 Descuento (Conduct) </v>
      </c>
      <c r="V14">
        <f>+RANK(H14,$H$6:$H$1048576,1)</f>
        <v>14</v>
      </c>
      <c r="Z14" t="str">
        <f>TRIM(Tabla2[[#This Row],[CONDUCTOR]])</f>
        <v>PEREZ GARCIA JUAN ESTEBAN</v>
      </c>
    </row>
    <row r="15" spans="1:32" x14ac:dyDescent="0.3">
      <c r="B15" s="136" t="s">
        <v>148</v>
      </c>
      <c r="C15" s="166">
        <v>18</v>
      </c>
      <c r="D15" s="151" t="s">
        <v>155</v>
      </c>
      <c r="E15" s="150">
        <v>11</v>
      </c>
      <c r="F15" s="150">
        <v>0</v>
      </c>
      <c r="G15" s="165">
        <v>204</v>
      </c>
      <c r="H15" s="226">
        <f>+G15/E15</f>
        <v>18.545454545454547</v>
      </c>
      <c r="I15" s="227">
        <f>+(SUM($G$7:$G$1048576)/SUM($E$7:$E$1048576))*E15</f>
        <v>220.59299191374663</v>
      </c>
      <c r="J15" s="363">
        <f>+Tabla2[[#This Row],[PROM DE USUARIOS]]-Tabla2[[#This Row],[USUARIOS]]</f>
        <v>16.59299191374663</v>
      </c>
      <c r="K15" s="151" t="s">
        <v>172</v>
      </c>
      <c r="L15" s="163">
        <f>Q15*635</f>
        <v>133091.54986522911</v>
      </c>
      <c r="M15" s="162" t="str">
        <f>+VLOOKUP(C15,Lista!B:D,3,0)</f>
        <v>MICRO</v>
      </c>
      <c r="N15" s="164">
        <f>+(SUMIFS(G:G,M:M,"MICRO",E:E,"&gt;0")*100)/COUNTIF($E$7:$E$28,"&gt;0")</f>
        <v>11040.90909090909</v>
      </c>
      <c r="O15" s="164">
        <f>Tabla2[[#This Row],[USUARIOS]]*150</f>
        <v>30600</v>
      </c>
      <c r="P15" s="50">
        <f>+(E15*1)-W15</f>
        <v>11</v>
      </c>
      <c r="Q15" s="47">
        <f>+I15-P15-X15</f>
        <v>209.59299191374663</v>
      </c>
      <c r="R15" s="49">
        <f>+G15-P15</f>
        <v>193</v>
      </c>
      <c r="S15" s="51">
        <f>+E15*$T$3</f>
        <v>209.59299191374663</v>
      </c>
      <c r="T15" s="46">
        <f t="shared" si="0"/>
        <v>115276.14555256064</v>
      </c>
      <c r="U15" t="str">
        <f>+IF(K15&lt;&gt;"",K15,"")</f>
        <v xml:space="preserve">2 Descuentos (Conducts) </v>
      </c>
      <c r="V15">
        <f>+RANK(H15,$H$6:$H$1048576,1)</f>
        <v>5</v>
      </c>
      <c r="Z15" t="str">
        <f>TRIM(Tabla2[[#This Row],[CONDUCTOR]])</f>
        <v>ALBERTO ARISTIZABAL RAFAEL</v>
      </c>
    </row>
    <row r="16" spans="1:32" x14ac:dyDescent="0.3">
      <c r="B16" s="136" t="s">
        <v>148</v>
      </c>
      <c r="C16" s="166">
        <v>20</v>
      </c>
      <c r="D16" s="151" t="s">
        <v>162</v>
      </c>
      <c r="E16" s="150">
        <v>9</v>
      </c>
      <c r="F16" s="150">
        <v>0</v>
      </c>
      <c r="G16" s="146">
        <v>160</v>
      </c>
      <c r="H16" s="226">
        <f>+G16/E16</f>
        <v>17.777777777777779</v>
      </c>
      <c r="I16" s="364">
        <f>+(SUM($G$7:$G$1048576)/SUM($E$7:$E$1048576))*E16</f>
        <v>180.48517520215634</v>
      </c>
      <c r="J16" s="363">
        <f>+Tabla2[[#This Row],[PROM DE USUARIOS]]-Tabla2[[#This Row],[USUARIOS]]</f>
        <v>20.485175202156341</v>
      </c>
      <c r="K16" s="151"/>
      <c r="L16" s="163">
        <f>Q16*635</f>
        <v>108893.08625336927</v>
      </c>
      <c r="M16" s="162" t="str">
        <f>+VLOOKUP(C16,Lista!B:D,3,0)</f>
        <v>MICRO</v>
      </c>
      <c r="N16" s="164">
        <f>+(SUMIFS(G:G,M:M,"MICRO",E:E,"&gt;0")*100)/COUNTIF($E$7:$E$28,"&gt;0")</f>
        <v>11040.90909090909</v>
      </c>
      <c r="O16" s="164">
        <f>Tabla2[[#This Row],[USUARIOS]]*150</f>
        <v>24000</v>
      </c>
      <c r="P16" s="50">
        <f>+(E16*1)-W16</f>
        <v>9</v>
      </c>
      <c r="Q16" s="47">
        <f>+I16-P16-X16</f>
        <v>171.48517520215634</v>
      </c>
      <c r="R16" s="49">
        <f>+G16-P16</f>
        <v>151</v>
      </c>
      <c r="S16" s="51">
        <f>+E16*$T$3</f>
        <v>171.48517520215634</v>
      </c>
      <c r="T16" s="46">
        <f t="shared" si="0"/>
        <v>94316.846361185992</v>
      </c>
      <c r="U16" t="str">
        <f>+IF(K16&lt;&gt;"",K16,"")</f>
        <v/>
      </c>
      <c r="V16">
        <f>+RANK(H16,$H$6:$H$1048576,1)</f>
        <v>3</v>
      </c>
      <c r="Z16" t="str">
        <f>TRIM(Tabla2[[#This Row],[CONDUCTOR]])</f>
        <v>VALENCIA MENDOZA JHON</v>
      </c>
    </row>
    <row r="17" spans="2:26" x14ac:dyDescent="0.3">
      <c r="B17" s="136" t="s">
        <v>148</v>
      </c>
      <c r="C17" s="166">
        <v>22</v>
      </c>
      <c r="D17" s="151" t="s">
        <v>158</v>
      </c>
      <c r="E17" s="150">
        <v>10</v>
      </c>
      <c r="F17" s="150">
        <v>0</v>
      </c>
      <c r="G17" s="165">
        <v>189</v>
      </c>
      <c r="H17" s="226">
        <f>+G17/E17</f>
        <v>18.899999999999999</v>
      </c>
      <c r="I17" s="227">
        <f>+(SUM($G$7:$G$1048576)/SUM($E$7:$E$1048576))*E17</f>
        <v>200.53908355795147</v>
      </c>
      <c r="J17" s="363">
        <f>+Tabla2[[#This Row],[PROM DE USUARIOS]]-Tabla2[[#This Row],[USUARIOS]]</f>
        <v>11.539083557951471</v>
      </c>
      <c r="K17" s="151"/>
      <c r="L17" s="163">
        <f>Q17*635</f>
        <v>120992.31805929918</v>
      </c>
      <c r="M17" s="162">
        <f>+VLOOKUP(C17,Lista!B:D,3,0)</f>
        <v>0</v>
      </c>
      <c r="N17" s="164">
        <f>+(SUMIFS(G:G,M:M,"MICRO",E:E,"&gt;0")*100)/COUNTIF($E$7:$E$28,"&gt;0")</f>
        <v>11040.90909090909</v>
      </c>
      <c r="O17" s="164">
        <f>Tabla2[[#This Row],[USUARIOS]]*150</f>
        <v>28350</v>
      </c>
      <c r="P17" s="50">
        <f>+(E17*1)-W17</f>
        <v>10</v>
      </c>
      <c r="Q17" s="47">
        <f>+I17-P17-X17</f>
        <v>190.53908355795147</v>
      </c>
      <c r="R17" s="49">
        <f>+G17-P17</f>
        <v>179</v>
      </c>
      <c r="S17" s="51">
        <f>+E17*$T$3</f>
        <v>190.53908355795147</v>
      </c>
      <c r="T17" s="46">
        <f t="shared" si="0"/>
        <v>104796.4959568733</v>
      </c>
      <c r="U17" t="str">
        <f>+IF(K17&lt;&gt;"",K17,"")</f>
        <v/>
      </c>
      <c r="V17">
        <f>+RANK(H17,$H$6:$H$1048576,1)</f>
        <v>7</v>
      </c>
      <c r="Z17" t="str">
        <f>TRIM(Tabla2[[#This Row],[CONDUCTOR]])</f>
        <v>MARIN GARCIA JUAN DANIEL</v>
      </c>
    </row>
    <row r="18" spans="2:26" x14ac:dyDescent="0.3">
      <c r="B18" s="136" t="s">
        <v>148</v>
      </c>
      <c r="C18" s="166">
        <v>24</v>
      </c>
      <c r="D18" s="151" t="s">
        <v>159</v>
      </c>
      <c r="E18" s="150">
        <v>10</v>
      </c>
      <c r="F18" s="150">
        <v>0</v>
      </c>
      <c r="G18" s="165">
        <v>187</v>
      </c>
      <c r="H18" s="226">
        <f>+G18/E18</f>
        <v>18.7</v>
      </c>
      <c r="I18" s="227">
        <f>+(SUM($G$7:$G$1048576)/SUM($E$7:$E$1048576))*E18</f>
        <v>200.53908355795147</v>
      </c>
      <c r="J18" s="363">
        <f>+Tabla2[[#This Row],[PROM DE USUARIOS]]-Tabla2[[#This Row],[USUARIOS]]</f>
        <v>13.539083557951471</v>
      </c>
      <c r="K18" s="151"/>
      <c r="L18" s="163">
        <f>Q18*635</f>
        <v>120992.31805929918</v>
      </c>
      <c r="M18" s="162" t="str">
        <f>+VLOOKUP(C18,Lista!B:D,3,0)</f>
        <v>MICRO</v>
      </c>
      <c r="N18" s="164">
        <f>+(SUMIFS(G:G,M:M,"MICRO",E:E,"&gt;0")*100)/COUNTIF($E$7:$E$28,"&gt;0")</f>
        <v>11040.90909090909</v>
      </c>
      <c r="O18" s="164">
        <f>Tabla2[[#This Row],[USUARIOS]]*150</f>
        <v>28050</v>
      </c>
      <c r="P18" s="50">
        <f>+(E18*1)-W18</f>
        <v>10</v>
      </c>
      <c r="Q18" s="47">
        <f>+I18-P18-X18</f>
        <v>190.53908355795147</v>
      </c>
      <c r="R18" s="49">
        <f>+G18-P18</f>
        <v>177</v>
      </c>
      <c r="S18" s="51">
        <f>+E18*$T$3</f>
        <v>190.53908355795147</v>
      </c>
      <c r="T18" s="46">
        <f t="shared" si="0"/>
        <v>104796.4959568733</v>
      </c>
      <c r="U18" t="str">
        <f>+IF(K18&lt;&gt;"",K18,"")</f>
        <v/>
      </c>
      <c r="V18">
        <f>+RANK(H18,$H$6:$H$1048576,1)</f>
        <v>6</v>
      </c>
      <c r="Z18" t="str">
        <f>TRIM(Tabla2[[#This Row],[CONDUCTOR]])</f>
        <v>CALLE RICARDO</v>
      </c>
    </row>
    <row r="19" spans="2:26" x14ac:dyDescent="0.3">
      <c r="B19" s="136" t="s">
        <v>148</v>
      </c>
      <c r="C19" s="166">
        <v>26</v>
      </c>
      <c r="D19" s="151" t="s">
        <v>167</v>
      </c>
      <c r="E19" s="150">
        <v>10</v>
      </c>
      <c r="F19" s="150">
        <v>0</v>
      </c>
      <c r="G19" s="146">
        <v>192</v>
      </c>
      <c r="H19" s="226">
        <f>+G19/E19</f>
        <v>19.2</v>
      </c>
      <c r="I19" s="364">
        <f>+(SUM($G$7:$G$1048576)/SUM($E$7:$E$1048576))*E19</f>
        <v>200.53908355795147</v>
      </c>
      <c r="J19" s="363">
        <f>+Tabla2[[#This Row],[PROM DE USUARIOS]]-Tabla2[[#This Row],[USUARIOS]]</f>
        <v>8.5390835579514714</v>
      </c>
      <c r="K19" s="151"/>
      <c r="L19" s="163">
        <f>Q19*635</f>
        <v>120992.31805929918</v>
      </c>
      <c r="M19" s="162" t="str">
        <f>+VLOOKUP(C19,Lista!B:D,3,0)</f>
        <v>MICRO</v>
      </c>
      <c r="N19" s="164">
        <f>+(SUMIFS(G:G,M:M,"MICRO",E:E,"&gt;0")*100)/COUNTIF($E$7:$E$28,"&gt;0")</f>
        <v>11040.90909090909</v>
      </c>
      <c r="O19" s="164">
        <f>Tabla2[[#This Row],[USUARIOS]]*150</f>
        <v>28800</v>
      </c>
      <c r="P19" s="50">
        <f>+(E19*1)-W19</f>
        <v>10</v>
      </c>
      <c r="Q19" s="47">
        <f>+I19-P19-X19</f>
        <v>190.53908355795147</v>
      </c>
      <c r="R19" s="49">
        <f>+G19-P19</f>
        <v>182</v>
      </c>
      <c r="S19" s="51">
        <f>+E19*$T$3</f>
        <v>190.53908355795147</v>
      </c>
      <c r="T19" s="46">
        <f t="shared" si="0"/>
        <v>104796.4959568733</v>
      </c>
      <c r="U19" t="str">
        <f>+IF(K19&lt;&gt;"",K19,"")</f>
        <v/>
      </c>
      <c r="V19">
        <f>+RANK(H19,$H$6:$H$1048576,1)</f>
        <v>10</v>
      </c>
      <c r="Z19" t="str">
        <f>TRIM(Tabla2[[#This Row],[CONDUCTOR]])</f>
        <v>ESPINOZA CHAVARRIA GUILLERMO LEON</v>
      </c>
    </row>
    <row r="20" spans="2:26" x14ac:dyDescent="0.3">
      <c r="B20" s="136" t="s">
        <v>148</v>
      </c>
      <c r="C20" s="166">
        <v>28</v>
      </c>
      <c r="D20" s="151" t="s">
        <v>154</v>
      </c>
      <c r="E20" s="150">
        <v>9</v>
      </c>
      <c r="F20" s="150">
        <v>0</v>
      </c>
      <c r="G20" s="165">
        <v>171</v>
      </c>
      <c r="H20" s="226">
        <f>+G20/E20</f>
        <v>19</v>
      </c>
      <c r="I20" s="227">
        <f>+(SUM($G$7:$G$1048576)/SUM($E$7:$E$1048576))*E20</f>
        <v>180.48517520215634</v>
      </c>
      <c r="J20" s="363">
        <f>+Tabla2[[#This Row],[PROM DE USUARIOS]]-Tabla2[[#This Row],[USUARIOS]]</f>
        <v>9.4851752021563414</v>
      </c>
      <c r="K20" s="151"/>
      <c r="L20" s="163">
        <f>Q20*635</f>
        <v>108893.08625336927</v>
      </c>
      <c r="M20" s="162" t="str">
        <f>+VLOOKUP(C20,Lista!B:D,3,0)</f>
        <v>MICRO</v>
      </c>
      <c r="N20" s="164">
        <f>+(SUMIFS(G:G,M:M,"MICRO",E:E,"&gt;0")*100)/COUNTIF($E$7:$E$28,"&gt;0")</f>
        <v>11040.90909090909</v>
      </c>
      <c r="O20" s="164">
        <f>Tabla2[[#This Row],[USUARIOS]]*150</f>
        <v>25650</v>
      </c>
      <c r="P20" s="50">
        <f>+(E20*1)-W20</f>
        <v>9</v>
      </c>
      <c r="Q20" s="47">
        <f>+I20-P20-X20</f>
        <v>171.48517520215634</v>
      </c>
      <c r="R20" s="49">
        <f>+G20-P20</f>
        <v>162</v>
      </c>
      <c r="S20" s="51">
        <f>+E20*$T$3</f>
        <v>171.48517520215634</v>
      </c>
      <c r="T20" s="46">
        <f t="shared" si="0"/>
        <v>94316.846361185992</v>
      </c>
      <c r="U20" t="str">
        <f>+IF(K20&lt;&gt;"",K20,"")</f>
        <v/>
      </c>
      <c r="V20">
        <f>+RANK(H20,$H$6:$H$1048576,1)</f>
        <v>8</v>
      </c>
      <c r="Z20" t="str">
        <f>TRIM(Tabla2[[#This Row],[CONDUCTOR]])</f>
        <v>SUAREZ ESCUDERO JONATAN</v>
      </c>
    </row>
    <row r="21" spans="2:26" x14ac:dyDescent="0.3">
      <c r="B21" s="136" t="s">
        <v>148</v>
      </c>
      <c r="C21" s="166">
        <v>29</v>
      </c>
      <c r="D21" s="151" t="s">
        <v>168</v>
      </c>
      <c r="E21" s="150">
        <v>0.5</v>
      </c>
      <c r="F21" s="150">
        <v>0.5</v>
      </c>
      <c r="G21" s="165">
        <v>10</v>
      </c>
      <c r="H21" s="226">
        <f>+G21/E21</f>
        <v>20</v>
      </c>
      <c r="I21" s="227">
        <f>+(SUM($G$7:$G$1048576)/SUM($E$7:$E$1048576))*E21</f>
        <v>10.026954177897574</v>
      </c>
      <c r="J21" s="363">
        <f>+Tabla2[[#This Row],[PROM DE USUARIOS]]-Tabla2[[#This Row],[USUARIOS]]</f>
        <v>2.6954177897573928E-2</v>
      </c>
      <c r="K21" s="151"/>
      <c r="L21" s="163">
        <f>Q21*635</f>
        <v>6049.6159029649598</v>
      </c>
      <c r="M21" s="162" t="str">
        <f>+VLOOKUP(C21,Lista!B:D,3,0)</f>
        <v>MICRO</v>
      </c>
      <c r="N21" s="164">
        <f>+(SUMIFS(G:G,M:M,"MICRO",E:E,"&gt;0")*100)/COUNTIF($E$7:$E$28,"&gt;0")</f>
        <v>11040.90909090909</v>
      </c>
      <c r="O21" s="164">
        <f>Tabla2[[#This Row],[USUARIOS]]*150</f>
        <v>1500</v>
      </c>
      <c r="P21" s="50">
        <f>+(E21*1)-W21</f>
        <v>0.5</v>
      </c>
      <c r="Q21" s="47">
        <f>+I21-P21-X21</f>
        <v>9.5269541778975739</v>
      </c>
      <c r="R21" s="49">
        <f>+G21-P21</f>
        <v>9.5</v>
      </c>
      <c r="S21" s="51">
        <f>+E21*$T$3</f>
        <v>9.5269541778975739</v>
      </c>
      <c r="T21" s="46">
        <f t="shared" si="0"/>
        <v>5239.8247978436657</v>
      </c>
      <c r="U21" t="str">
        <f>+IF(K21&lt;&gt;"",K21,"")</f>
        <v/>
      </c>
      <c r="V21">
        <f>+RANK(H21,$H$6:$H$1048576,1)</f>
        <v>11</v>
      </c>
      <c r="Z21" t="str">
        <f>TRIM(Tabla2[[#This Row],[CONDUCTOR]])</f>
        <v>MURILLO YOIMAR ANDRES</v>
      </c>
    </row>
    <row r="22" spans="2:26" x14ac:dyDescent="0.3">
      <c r="B22" s="136" t="s">
        <v>148</v>
      </c>
      <c r="C22" s="137">
        <v>36</v>
      </c>
      <c r="D22" s="151" t="s">
        <v>168</v>
      </c>
      <c r="E22" s="150">
        <v>6</v>
      </c>
      <c r="F22" s="150">
        <v>0</v>
      </c>
      <c r="G22" s="146">
        <v>140</v>
      </c>
      <c r="H22" s="226">
        <f>+G22/E22</f>
        <v>23.333333333333332</v>
      </c>
      <c r="I22" s="227">
        <f>+(SUM($G$7:$G$1048576)/SUM($E$7:$E$1048576))*E22</f>
        <v>120.32345013477089</v>
      </c>
      <c r="J22" s="363">
        <f>+Tabla2[[#This Row],[PROM DE USUARIOS]]-Tabla2[[#This Row],[USUARIOS]]</f>
        <v>-19.676549865229106</v>
      </c>
      <c r="K22" s="151"/>
      <c r="L22" s="163">
        <f>Q22*635</f>
        <v>72595.390835579514</v>
      </c>
      <c r="M22" s="162" t="str">
        <f>+VLOOKUP(C22,Lista!B:D,3,0)</f>
        <v>MICRO</v>
      </c>
      <c r="N22" s="164">
        <f>+(SUMIFS(G:G,M:M,"MICRO",E:E,"&gt;0")*100)/COUNTIF($E$7:$E$28,"&gt;0")</f>
        <v>11040.90909090909</v>
      </c>
      <c r="O22" s="164">
        <f>Tabla2[[#This Row],[USUARIOS]]*150</f>
        <v>21000</v>
      </c>
      <c r="P22" s="50">
        <f>+(E22*1)-W22</f>
        <v>6</v>
      </c>
      <c r="Q22" s="47">
        <f>+I22-P22-X22</f>
        <v>114.32345013477089</v>
      </c>
      <c r="R22" s="49">
        <f>+G22-P22</f>
        <v>134</v>
      </c>
      <c r="S22" s="51">
        <f>+E22*$T$3</f>
        <v>114.32345013477089</v>
      </c>
      <c r="T22" s="46">
        <f t="shared" si="0"/>
        <v>62877.897574123992</v>
      </c>
      <c r="U22" t="str">
        <f>+IF(K22&lt;&gt;"",K22,"")</f>
        <v/>
      </c>
      <c r="V22">
        <f>+RANK(H22,$H$6:$H$1048576,1)</f>
        <v>20</v>
      </c>
      <c r="Z22" t="str">
        <f>TRIM(Tabla2[[#This Row],[CONDUCTOR]])</f>
        <v>MURILLO YOIMAR ANDRES</v>
      </c>
    </row>
    <row r="23" spans="2:26" x14ac:dyDescent="0.3">
      <c r="B23" s="136" t="s">
        <v>148</v>
      </c>
      <c r="C23" s="137">
        <v>37</v>
      </c>
      <c r="D23" s="151" t="s">
        <v>169</v>
      </c>
      <c r="E23" s="150">
        <v>9</v>
      </c>
      <c r="F23" s="150">
        <v>0</v>
      </c>
      <c r="G23" s="146">
        <v>166</v>
      </c>
      <c r="H23" s="226">
        <f>+G23/E23</f>
        <v>18.444444444444443</v>
      </c>
      <c r="I23" s="227">
        <f>+(SUM($G$7:$G$1048576)/SUM($E$7:$E$1048576))*E23</f>
        <v>180.48517520215634</v>
      </c>
      <c r="J23" s="363">
        <f>+Tabla2[[#This Row],[PROM DE USUARIOS]]-Tabla2[[#This Row],[USUARIOS]]</f>
        <v>14.485175202156341</v>
      </c>
      <c r="K23" s="151"/>
      <c r="L23" s="163">
        <f>Q23*635</f>
        <v>108893.08625336927</v>
      </c>
      <c r="M23" s="162">
        <f>+VLOOKUP(C23,Lista!B:D,3,0)</f>
        <v>0</v>
      </c>
      <c r="N23" s="164">
        <f>+(SUMIFS(G:G,M:M,"MICRO",E:E,"&gt;0")*100)/COUNTIF($E$7:$E$28,"&gt;0")</f>
        <v>11040.90909090909</v>
      </c>
      <c r="O23" s="164">
        <f>Tabla2[[#This Row],[USUARIOS]]*150</f>
        <v>24900</v>
      </c>
      <c r="P23" s="50">
        <f>+(E23*1)-W23</f>
        <v>9</v>
      </c>
      <c r="Q23" s="47">
        <f>+I23-P23-X23</f>
        <v>171.48517520215634</v>
      </c>
      <c r="R23" s="49">
        <f>+G23-P23</f>
        <v>157</v>
      </c>
      <c r="S23" s="51">
        <f>+E23*$T$3</f>
        <v>171.48517520215634</v>
      </c>
      <c r="T23" s="46">
        <f t="shared" si="0"/>
        <v>94316.846361185992</v>
      </c>
      <c r="U23" t="str">
        <f>+IF(K23&lt;&gt;"",K23,"")</f>
        <v/>
      </c>
      <c r="V23">
        <f>+RANK(H23,$H$6:$H$1048576,1)</f>
        <v>4</v>
      </c>
      <c r="Z23" t="str">
        <f>TRIM(Tabla2[[#This Row],[CONDUCTOR]])</f>
        <v>TABORDA ROJAS DIEGO ALEJANDRO</v>
      </c>
    </row>
    <row r="24" spans="2:26" x14ac:dyDescent="0.3">
      <c r="B24" s="136" t="s">
        <v>148</v>
      </c>
      <c r="C24" s="166">
        <v>38</v>
      </c>
      <c r="D24" s="151" t="s">
        <v>151</v>
      </c>
      <c r="E24" s="150">
        <v>10</v>
      </c>
      <c r="F24" s="150">
        <v>0</v>
      </c>
      <c r="G24" s="165">
        <v>210</v>
      </c>
      <c r="H24" s="226">
        <f>+G24/E24</f>
        <v>21</v>
      </c>
      <c r="I24" s="227">
        <f>+(SUM($G$7:$G$1048576)/SUM($E$7:$E$1048576))*E24</f>
        <v>200.53908355795147</v>
      </c>
      <c r="J24" s="363">
        <f>+Tabla2[[#This Row],[PROM DE USUARIOS]]-Tabla2[[#This Row],[USUARIOS]]</f>
        <v>-9.4609164420485286</v>
      </c>
      <c r="K24" s="151"/>
      <c r="L24" s="163">
        <f>Q24*635</f>
        <v>120992.31805929918</v>
      </c>
      <c r="M24" s="162" t="str">
        <f>+VLOOKUP(C24,Lista!B:D,3,0)</f>
        <v>MICRO</v>
      </c>
      <c r="N24" s="164">
        <f>+(SUMIFS(G:G,M:M,"MICRO",E:E,"&gt;0")*100)/COUNTIF($E$7:$E$28,"&gt;0")</f>
        <v>11040.90909090909</v>
      </c>
      <c r="O24" s="164">
        <f>Tabla2[[#This Row],[USUARIOS]]*150</f>
        <v>31500</v>
      </c>
      <c r="P24" s="50">
        <f>+(E24*1)-W24</f>
        <v>10</v>
      </c>
      <c r="Q24" s="47">
        <f>+I24-P24-X24</f>
        <v>190.53908355795147</v>
      </c>
      <c r="R24" s="49">
        <f>+G24-P24</f>
        <v>200</v>
      </c>
      <c r="S24" s="51">
        <f>+E24*$T$3</f>
        <v>190.53908355795147</v>
      </c>
      <c r="T24" s="46">
        <f t="shared" si="0"/>
        <v>104796.4959568733</v>
      </c>
      <c r="U24" t="str">
        <f>+IF(K24&lt;&gt;"",K24,"")</f>
        <v/>
      </c>
      <c r="V24">
        <f>+RANK(H24,$H$6:$H$1048576,1)</f>
        <v>17</v>
      </c>
      <c r="Z24" t="str">
        <f>TRIM(Tabla2[[#This Row],[CONDUCTOR]])</f>
        <v>GONZALEZ IPUANA RENE</v>
      </c>
    </row>
    <row r="25" spans="2:26" x14ac:dyDescent="0.3">
      <c r="B25" s="136" t="s">
        <v>148</v>
      </c>
      <c r="C25" s="166">
        <v>39</v>
      </c>
      <c r="D25" s="151" t="s">
        <v>157</v>
      </c>
      <c r="E25" s="150">
        <v>5</v>
      </c>
      <c r="F25" s="150">
        <v>0</v>
      </c>
      <c r="G25" s="165">
        <v>103</v>
      </c>
      <c r="H25" s="226">
        <f>+G25/E25</f>
        <v>20.6</v>
      </c>
      <c r="I25" s="227">
        <f>+(SUM($G$7:$G$1048576)/SUM($E$7:$E$1048576))*E25</f>
        <v>100.26954177897574</v>
      </c>
      <c r="J25" s="363">
        <f>+Tabla2[[#This Row],[PROM DE USUARIOS]]-Tabla2[[#This Row],[USUARIOS]]</f>
        <v>-2.7304582210242643</v>
      </c>
      <c r="K25" s="151"/>
      <c r="L25" s="163">
        <f>Q25*635</f>
        <v>60496.159029649592</v>
      </c>
      <c r="M25" s="162" t="str">
        <f>+VLOOKUP(C25,Lista!B:D,3,0)</f>
        <v>MICRO</v>
      </c>
      <c r="N25" s="164">
        <f>+(SUMIFS(G:G,M:M,"MICRO",E:E,"&gt;0")*100)/COUNTIF($E$7:$E$28,"&gt;0")</f>
        <v>11040.90909090909</v>
      </c>
      <c r="O25" s="164">
        <f>Tabla2[[#This Row],[USUARIOS]]*150</f>
        <v>15450</v>
      </c>
      <c r="P25" s="50">
        <f>+(E25*1)-W25</f>
        <v>5</v>
      </c>
      <c r="Q25" s="47">
        <f>+I25-P25-X25</f>
        <v>95.269541778975736</v>
      </c>
      <c r="R25" s="49">
        <f>+G25-P25</f>
        <v>98</v>
      </c>
      <c r="S25" s="51">
        <f>+E25*$T$3</f>
        <v>95.269541778975736</v>
      </c>
      <c r="T25" s="46">
        <f t="shared" si="0"/>
        <v>52398.247978436651</v>
      </c>
      <c r="U25" t="str">
        <f>+IF(K25&lt;&gt;"",K25,"")</f>
        <v/>
      </c>
      <c r="V25">
        <f>+RANK(H25,$H$6:$H$1048576,1)</f>
        <v>15</v>
      </c>
      <c r="Z25" t="str">
        <f>TRIM(Tabla2[[#This Row],[CONDUCTOR]])</f>
        <v>PALMAR PANA EDIXON JOSUE</v>
      </c>
    </row>
    <row r="26" spans="2:26" x14ac:dyDescent="0.3">
      <c r="B26" s="136" t="s">
        <v>148</v>
      </c>
      <c r="C26" s="166">
        <v>40</v>
      </c>
      <c r="D26" s="151" t="s">
        <v>149</v>
      </c>
      <c r="E26" s="150">
        <v>10</v>
      </c>
      <c r="F26" s="150">
        <v>0</v>
      </c>
      <c r="G26" s="146">
        <v>212</v>
      </c>
      <c r="H26" s="226">
        <f>+G26/E26</f>
        <v>21.2</v>
      </c>
      <c r="I26" s="364">
        <f>+(SUM($G$7:$G$1048576)/SUM($E$7:$E$1048576))*E26</f>
        <v>200.53908355795147</v>
      </c>
      <c r="J26" s="363">
        <f>+Tabla2[[#This Row],[PROM DE USUARIOS]]-Tabla2[[#This Row],[USUARIOS]]</f>
        <v>-11.460916442048529</v>
      </c>
      <c r="K26" s="151" t="s">
        <v>173</v>
      </c>
      <c r="L26" s="163">
        <f>Q26*635</f>
        <v>120992.31805929918</v>
      </c>
      <c r="M26" s="162" t="str">
        <f>+VLOOKUP(C26,Lista!B:D,3,0)</f>
        <v>MICRO</v>
      </c>
      <c r="N26" s="164">
        <f>+(SUMIFS(G:G,M:M,"MICRO",E:E,"&gt;0")*100)/COUNTIF($E$7:$E$28,"&gt;0")</f>
        <v>11040.90909090909</v>
      </c>
      <c r="O26" s="164">
        <f>Tabla2[[#This Row],[USUARIOS]]*150</f>
        <v>31800</v>
      </c>
      <c r="P26" s="50">
        <f>+(E26*1)-W26</f>
        <v>10</v>
      </c>
      <c r="Q26" s="47">
        <f>+I26-P26-X26</f>
        <v>190.53908355795147</v>
      </c>
      <c r="R26" s="49">
        <f>+G26-P26</f>
        <v>202</v>
      </c>
      <c r="S26" s="51">
        <f>+E26*$T$3</f>
        <v>190.53908355795147</v>
      </c>
      <c r="T26" s="46">
        <f t="shared" si="0"/>
        <v>104796.4959568733</v>
      </c>
      <c r="U26" t="str">
        <f>+IF(K26&lt;&gt;"",K26,"")</f>
        <v xml:space="preserve">2 Descuentos (Despachador) </v>
      </c>
      <c r="V26">
        <f>+RANK(H26,$H$6:$H$1048576,1)</f>
        <v>18</v>
      </c>
      <c r="Z26" t="str">
        <f>TRIM(Tabla2[[#This Row],[CONDUCTOR]])</f>
        <v>IBARGUEN GARRIDO JUAN ESTEBAN</v>
      </c>
    </row>
    <row r="27" spans="2:26" x14ac:dyDescent="0.3">
      <c r="B27" s="136" t="s">
        <v>148</v>
      </c>
      <c r="C27" s="137">
        <v>42</v>
      </c>
      <c r="D27" s="151" t="s">
        <v>163</v>
      </c>
      <c r="E27" s="150">
        <v>10</v>
      </c>
      <c r="F27" s="150">
        <v>0</v>
      </c>
      <c r="G27" s="165">
        <v>238</v>
      </c>
      <c r="H27" s="226">
        <f>+G27/E27</f>
        <v>23.8</v>
      </c>
      <c r="I27" s="227">
        <f>+(SUM($G$7:$G$1048576)/SUM($E$7:$E$1048576))*E27</f>
        <v>200.53908355795147</v>
      </c>
      <c r="J27" s="363">
        <f>+Tabla2[[#This Row],[PROM DE USUARIOS]]-Tabla2[[#This Row],[USUARIOS]]</f>
        <v>-37.460916442048529</v>
      </c>
      <c r="K27" s="151" t="s">
        <v>174</v>
      </c>
      <c r="L27" s="366">
        <f>Q27*635</f>
        <v>120992.31805929918</v>
      </c>
      <c r="M27" s="162">
        <f>+VLOOKUP(C27,Lista!B:D,3,0)</f>
        <v>0</v>
      </c>
      <c r="N27" s="164">
        <f>+(SUMIFS(G:G,M:M,"MICRO",E:E,"&gt;0")*100)/COUNTIF($E$7:$E$28,"&gt;0")</f>
        <v>11040.90909090909</v>
      </c>
      <c r="O27" s="164">
        <f>Tabla2[[#This Row],[USUARIOS]]*150</f>
        <v>35700</v>
      </c>
      <c r="P27" s="50">
        <f>+(E27*1)-W27</f>
        <v>10</v>
      </c>
      <c r="Q27" s="47">
        <f>+I27-P27-X27</f>
        <v>190.53908355795147</v>
      </c>
      <c r="R27" s="49">
        <f>+G27-P27</f>
        <v>228</v>
      </c>
      <c r="S27" s="51">
        <f>+E27*$T$3</f>
        <v>190.53908355795147</v>
      </c>
      <c r="T27" s="46">
        <f t="shared" si="0"/>
        <v>104796.4959568733</v>
      </c>
      <c r="U27" t="str">
        <f>+IF(K27&lt;&gt;"",K27,"")</f>
        <v xml:space="preserve">2 Descuentos (Despachador y conduct) </v>
      </c>
      <c r="V27">
        <f>+RANK(H27,$H$6:$H$1048576,1)</f>
        <v>21</v>
      </c>
      <c r="Z27" t="str">
        <f>TRIM(Tabla2[[#This Row],[CONDUCTOR]])</f>
        <v>LOPERA ALVAREZ ESTIVEN</v>
      </c>
    </row>
    <row r="28" spans="2:26" x14ac:dyDescent="0.3">
      <c r="B28" s="136" t="s">
        <v>148</v>
      </c>
      <c r="C28" s="166">
        <v>44</v>
      </c>
      <c r="D28" s="151" t="s">
        <v>164</v>
      </c>
      <c r="E28" s="150">
        <v>6</v>
      </c>
      <c r="F28" s="150">
        <v>0</v>
      </c>
      <c r="G28" s="146">
        <v>73</v>
      </c>
      <c r="H28" s="226">
        <f>+G28/E28</f>
        <v>12.166666666666666</v>
      </c>
      <c r="I28" s="364">
        <f>+(SUM($G$7:$G$1048576)/SUM($E$7:$E$1048576))*E28</f>
        <v>120.32345013477089</v>
      </c>
      <c r="J28" s="363">
        <f>+Tabla2[[#This Row],[PROM DE USUARIOS]]-Tabla2[[#This Row],[USUARIOS]]</f>
        <v>47.323450134770894</v>
      </c>
      <c r="K28" s="151"/>
      <c r="L28" s="163">
        <f>Q28*635</f>
        <v>72595.390835579514</v>
      </c>
      <c r="M28" s="162">
        <f>+VLOOKUP(C28,Lista!B:D,3,0)</f>
        <v>0</v>
      </c>
      <c r="N28" s="164">
        <f>+(SUMIFS(G:G,M:M,"MICRO",E:E,"&gt;0")*100)/COUNTIF($E$7:$E$28,"&gt;0")</f>
        <v>11040.90909090909</v>
      </c>
      <c r="O28" s="164">
        <f>Tabla2[[#This Row],[USUARIOS]]*150</f>
        <v>10950</v>
      </c>
      <c r="P28" s="50">
        <f>+(E28*1)-W28</f>
        <v>6</v>
      </c>
      <c r="Q28" s="47">
        <f>+I28-P28-X28</f>
        <v>114.32345013477089</v>
      </c>
      <c r="R28" s="49">
        <f>+G28-P28</f>
        <v>67</v>
      </c>
      <c r="S28" s="51">
        <f>+E28*$T$3</f>
        <v>114.32345013477089</v>
      </c>
      <c r="T28" s="46">
        <f t="shared" si="0"/>
        <v>62877.897574123992</v>
      </c>
      <c r="U28" t="str">
        <f>+IF(K28&lt;&gt;"",K28,"")</f>
        <v/>
      </c>
      <c r="V28">
        <f>+RANK(H28,$H$6:$H$1048576,1)</f>
        <v>1</v>
      </c>
      <c r="Z28" t="str">
        <f>TRIM(Tabla2[[#This Row],[CONDUCTOR]])</f>
        <v>MARIN ALZATE KEVIN ANDRES</v>
      </c>
    </row>
    <row r="29" spans="2:26" x14ac:dyDescent="0.3">
      <c r="B29" s="232"/>
      <c r="C29" s="239">
        <f>SUBTOTAL(102,Tabla2[VEH])</f>
        <v>22</v>
      </c>
      <c r="D29" s="233" t="s">
        <v>127</v>
      </c>
      <c r="E29" s="234">
        <f>SUBTOTAL(109,Tabla2[VIAJES])</f>
        <v>185.5</v>
      </c>
      <c r="F29" s="234">
        <f>SUBTOTAL(109,Tabla2[VIAJES PERD.])</f>
        <v>0.5</v>
      </c>
      <c r="G29" s="240">
        <f>SUBTOTAL(109,Tabla2[USUARIOS])</f>
        <v>3720</v>
      </c>
      <c r="H29" s="374">
        <f>+Tabla2[[#Totals],[USUARIOS]]/Tabla2[[#Totals],[VIAJES]]</f>
        <v>20.053908355795148</v>
      </c>
      <c r="I29" s="240">
        <f>SUBTOTAL(109,Tabla2[PROM DE USUARIOS])</f>
        <v>3720.0000000000005</v>
      </c>
      <c r="J29" s="373">
        <f>SUBTOTAL(109,Tabla2[RECIBE / ENTREGA])</f>
        <v>-8.5265128291212022E-14</v>
      </c>
      <c r="K29" s="235" t="s">
        <v>176</v>
      </c>
      <c r="L29" s="236"/>
      <c r="M29" s="237"/>
      <c r="N29" s="238">
        <f>SUBTOTAL(109,Tabla2[DIFER. MICRO - BUS ])</f>
        <v>242899.99999999997</v>
      </c>
      <c r="O29" s="238">
        <f>SUBTOTAL(109,Tabla2[FONDO (SIT)])</f>
        <v>558000</v>
      </c>
      <c r="P29" s="50" t="e">
        <f>+(#REF!*1)-W29</f>
        <v>#REF!</v>
      </c>
      <c r="Q29" s="47" t="e">
        <f>+#REF!-P29-X29</f>
        <v>#REF!</v>
      </c>
      <c r="R29" s="49" t="e">
        <f>+#REF!-P29</f>
        <v>#REF!</v>
      </c>
      <c r="S29" s="51" t="e">
        <f>+#REF!*$T$3</f>
        <v>#REF!</v>
      </c>
      <c r="T29" s="46" t="e">
        <f t="shared" ref="S29:T44" si="1">+S29*550</f>
        <v>#REF!</v>
      </c>
      <c r="U29" t="e">
        <f>+IF(#REF!&lt;&gt;"",#REF!,"")</f>
        <v>#REF!</v>
      </c>
      <c r="V29" t="e">
        <f>+RANK(#REF!,$H$6:$H$1048576,1)</f>
        <v>#REF!</v>
      </c>
      <c r="Z29" t="e">
        <f>TRIM(Tabla2[[#This Row],[CONDUCTOR]])</f>
        <v>#VALUE!</v>
      </c>
    </row>
    <row r="30" spans="2:26" s="2" customFormat="1" x14ac:dyDescent="0.3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/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1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6" x14ac:dyDescent="0.3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/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6" x14ac:dyDescent="0.3">
      <c r="B32" s="245"/>
      <c r="C32" s="246"/>
      <c r="D32" s="247"/>
      <c r="E32" s="248"/>
      <c r="F32" s="248"/>
      <c r="G32" s="249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3">
      <c r="B33" s="245"/>
      <c r="C33" s="246"/>
      <c r="D33" s="247"/>
      <c r="E33" s="248"/>
      <c r="F33" s="248"/>
      <c r="G33" s="254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3">
      <c r="B34" s="245"/>
      <c r="C34" s="246"/>
      <c r="D34" s="247"/>
      <c r="E34" s="248"/>
      <c r="F34" s="248"/>
      <c r="G34" s="254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3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3">
      <c r="B36" s="245"/>
      <c r="C36" s="255"/>
      <c r="D36" s="247"/>
      <c r="E36" s="248"/>
      <c r="F36" s="248"/>
      <c r="G36" s="199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3">
      <c r="B37" s="245"/>
      <c r="C37" s="246"/>
      <c r="D37" s="247"/>
      <c r="E37" s="248"/>
      <c r="F37" s="248"/>
      <c r="G37" s="254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3">
      <c r="B38" s="245"/>
      <c r="C38" s="255"/>
      <c r="D38" s="247"/>
      <c r="E38" s="248"/>
      <c r="F38" s="248"/>
      <c r="G38" s="199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3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3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3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3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3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3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3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2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3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3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3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3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3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3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+(E92*1)-V50</f>
        <v>0</v>
      </c>
      <c r="P50" s="134">
        <f>+I92-O50-W50</f>
        <v>0</v>
      </c>
      <c r="Q50" s="11">
        <f>+G92-O50</f>
        <v>0</v>
      </c>
      <c r="R50">
        <f>+E92*$T$3</f>
        <v>0</v>
      </c>
      <c r="S50">
        <f t="shared" ref="S50:S55" si="7">+R50*550</f>
        <v>0</v>
      </c>
      <c r="T50" t="str">
        <f>+IF(K92&lt;&gt;"",K92,"")</f>
        <v/>
      </c>
      <c r="U50" t="e">
        <f>+RANK(H92,$H$6:$H$1048576,1)</f>
        <v>#N/A</v>
      </c>
    </row>
    <row r="51" spans="2:21" x14ac:dyDescent="0.3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+(E93*1)-V51</f>
        <v>0</v>
      </c>
      <c r="P51" s="134">
        <f>+I93-O51-W51</f>
        <v>0</v>
      </c>
      <c r="Q51" s="11">
        <f>+G93-O51</f>
        <v>0</v>
      </c>
      <c r="R51">
        <f>+E93*$T$3</f>
        <v>0</v>
      </c>
      <c r="S51">
        <f t="shared" si="7"/>
        <v>0</v>
      </c>
      <c r="T51" t="str">
        <f>+IF(K93&lt;&gt;"",K93,"")</f>
        <v/>
      </c>
      <c r="U51" t="e">
        <f>+RANK(H93,$H$6:$H$1048576,1)</f>
        <v>#N/A</v>
      </c>
    </row>
    <row r="52" spans="2:21" x14ac:dyDescent="0.3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+(E94*1)-V52</f>
        <v>0</v>
      </c>
      <c r="P52" s="134">
        <f>+I94-O52-W52</f>
        <v>0</v>
      </c>
      <c r="Q52" s="11">
        <f>+G94-O52</f>
        <v>0</v>
      </c>
      <c r="R52">
        <f>+E94*$T$3</f>
        <v>0</v>
      </c>
      <c r="S52">
        <f t="shared" si="7"/>
        <v>0</v>
      </c>
      <c r="T52" t="str">
        <f>+IF(K94&lt;&gt;"",K94,"")</f>
        <v/>
      </c>
      <c r="U52" t="e">
        <f>+RANK(H94,$H$6:$H$1048576,1)</f>
        <v>#N/A</v>
      </c>
    </row>
    <row r="53" spans="2:21" x14ac:dyDescent="0.3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+(E95*1)-V53</f>
        <v>0</v>
      </c>
      <c r="P53" s="134">
        <f>+I95-O53-W53</f>
        <v>0</v>
      </c>
      <c r="Q53" s="11">
        <f>+G95-O53</f>
        <v>0</v>
      </c>
      <c r="R53">
        <f>+E95*$T$3</f>
        <v>0</v>
      </c>
      <c r="S53">
        <f t="shared" si="7"/>
        <v>0</v>
      </c>
      <c r="T53" t="str">
        <f>+IF(K95&lt;&gt;"",K95,"")</f>
        <v/>
      </c>
      <c r="U53" t="e">
        <f>+RANK(H95,$H$6:$H$1048576,1)</f>
        <v>#N/A</v>
      </c>
    </row>
    <row r="54" spans="2:21" x14ac:dyDescent="0.3">
      <c r="B54" s="245"/>
      <c r="C54" s="255"/>
      <c r="D54" s="247"/>
      <c r="E54" s="248"/>
      <c r="F54" s="248"/>
      <c r="G54" s="256"/>
      <c r="H54" s="250"/>
      <c r="I54" s="221"/>
      <c r="J54" s="342"/>
      <c r="K54" s="247"/>
      <c r="L54" s="252"/>
      <c r="M54" s="253"/>
      <c r="N54" s="203"/>
      <c r="O54">
        <f>+(E96*1)-V54</f>
        <v>0</v>
      </c>
      <c r="P54" s="134">
        <f>+I96-O54-W54</f>
        <v>0</v>
      </c>
      <c r="Q54" s="11">
        <f>+G96-O54</f>
        <v>0</v>
      </c>
      <c r="R54">
        <f>+E96*$T$3</f>
        <v>0</v>
      </c>
      <c r="S54">
        <f t="shared" si="7"/>
        <v>0</v>
      </c>
      <c r="T54" t="str">
        <f>+IF(K96&lt;&gt;"",K96,"")</f>
        <v/>
      </c>
      <c r="U54" t="e">
        <f>+RANK(H96,$H$6:$H$1048576,1)</f>
        <v>#N/A</v>
      </c>
    </row>
    <row r="55" spans="2:21" x14ac:dyDescent="0.3">
      <c r="B55" s="245"/>
      <c r="C55" s="246"/>
      <c r="D55" s="247"/>
      <c r="E55" s="248"/>
      <c r="F55" s="248"/>
      <c r="G55" s="256"/>
      <c r="H55" s="250"/>
      <c r="I55" s="221"/>
      <c r="J55" s="342"/>
      <c r="K55" s="247"/>
      <c r="L55" s="252"/>
      <c r="M55" s="253"/>
      <c r="N55" s="203"/>
      <c r="O55">
        <f>+(E97*1)-V55</f>
        <v>0</v>
      </c>
      <c r="P55" s="134">
        <f>+I97-O55-W55</f>
        <v>0</v>
      </c>
      <c r="Q55" s="11">
        <f>+G97-O55</f>
        <v>0</v>
      </c>
      <c r="R55">
        <f>+E97*$T$3</f>
        <v>0</v>
      </c>
      <c r="S55">
        <f t="shared" si="7"/>
        <v>0</v>
      </c>
      <c r="T55" t="str">
        <f>+IF(K97&lt;&gt;"",K97,"")</f>
        <v/>
      </c>
      <c r="U55" t="e">
        <f>+RANK(H97,$H$6:$H$1048576,1)</f>
        <v>#N/A</v>
      </c>
    </row>
    <row r="56" spans="2:21" x14ac:dyDescent="0.3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3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3">
      <c r="B58" s="245"/>
      <c r="C58" s="246"/>
      <c r="D58" s="247"/>
      <c r="E58" s="248"/>
      <c r="F58" s="248"/>
      <c r="G58" s="254"/>
      <c r="H58" s="250"/>
      <c r="I58" s="221"/>
      <c r="J58" s="342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3">
      <c r="B59" s="245"/>
      <c r="C59" s="255"/>
      <c r="D59" s="247"/>
      <c r="E59" s="248"/>
      <c r="F59" s="248"/>
      <c r="G59" s="199"/>
      <c r="H59" s="257"/>
      <c r="I59" s="222"/>
      <c r="J59" s="343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3">
      <c r="B60" s="245"/>
      <c r="C60" s="246"/>
      <c r="D60" s="247"/>
      <c r="E60" s="248"/>
      <c r="F60" s="248"/>
      <c r="G60" s="254"/>
      <c r="H60" s="250"/>
      <c r="I60" s="221"/>
      <c r="J60" s="342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3">
      <c r="B61" s="245"/>
      <c r="C61" s="255"/>
      <c r="D61" s="247"/>
      <c r="E61" s="248"/>
      <c r="F61" s="248"/>
      <c r="G61" s="199"/>
      <c r="H61" s="257"/>
      <c r="I61" s="222"/>
      <c r="J61" s="343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3">
      <c r="B62" s="245"/>
      <c r="C62" s="255"/>
      <c r="D62" s="247"/>
      <c r="E62" s="248"/>
      <c r="F62" s="248"/>
      <c r="G62" s="254"/>
      <c r="H62" s="257"/>
      <c r="I62" s="222"/>
      <c r="J62" s="343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3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3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3">
      <c r="B65" s="245"/>
      <c r="C65" s="246"/>
      <c r="D65" s="247"/>
      <c r="E65" s="248"/>
      <c r="F65" s="248"/>
      <c r="G65" s="254"/>
      <c r="H65" s="250"/>
      <c r="I65" s="221"/>
      <c r="J65" s="342"/>
      <c r="K65" s="247"/>
      <c r="L65" s="252"/>
      <c r="M65" s="253"/>
      <c r="N65" s="258"/>
      <c r="O65">
        <f>+(E61*1)-V65</f>
        <v>0</v>
      </c>
      <c r="P65" s="134">
        <f>+I61-O65-W65</f>
        <v>0</v>
      </c>
      <c r="Q65" s="11">
        <f>+G61-O65</f>
        <v>0</v>
      </c>
      <c r="R65">
        <f>+E61*$T$3</f>
        <v>0</v>
      </c>
      <c r="S65">
        <f t="shared" si="8"/>
        <v>0</v>
      </c>
      <c r="T65" t="str">
        <f>+IF(K61&lt;&gt;"",K61,"")</f>
        <v/>
      </c>
      <c r="U65" t="e">
        <f>+RANK(H61,$H$6:$H$1048576,1)</f>
        <v>#N/A</v>
      </c>
    </row>
    <row r="66" spans="2:21" x14ac:dyDescent="0.3">
      <c r="B66" s="245"/>
      <c r="C66" s="255"/>
      <c r="D66" s="247"/>
      <c r="E66" s="248"/>
      <c r="F66" s="248"/>
      <c r="G66" s="199"/>
      <c r="H66" s="257"/>
      <c r="I66" s="222"/>
      <c r="J66" s="343"/>
      <c r="K66" s="247"/>
      <c r="L66" s="203"/>
      <c r="M66" s="253"/>
      <c r="N66" s="258"/>
      <c r="O66">
        <f>+(E62*1)-V66</f>
        <v>0</v>
      </c>
      <c r="P66" s="134">
        <f>+I62-O66-W66</f>
        <v>0</v>
      </c>
      <c r="Q66" s="11">
        <f>+G62-O66</f>
        <v>0</v>
      </c>
      <c r="R66">
        <f>+E62*$T$3</f>
        <v>0</v>
      </c>
      <c r="S66">
        <f t="shared" si="8"/>
        <v>0</v>
      </c>
      <c r="T66" t="str">
        <f>+IF(K62&lt;&gt;"",K62,"")</f>
        <v/>
      </c>
      <c r="U66" t="e">
        <f>+RANK(H62,$H$6:$H$1048576,1)</f>
        <v>#N/A</v>
      </c>
    </row>
    <row r="67" spans="2:21" x14ac:dyDescent="0.3">
      <c r="B67" s="245"/>
      <c r="C67" s="246"/>
      <c r="D67" s="247"/>
      <c r="E67" s="248"/>
      <c r="F67" s="248"/>
      <c r="G67" s="254"/>
      <c r="H67" s="250"/>
      <c r="I67" s="221"/>
      <c r="J67" s="342"/>
      <c r="K67" s="247"/>
      <c r="L67" s="252"/>
      <c r="M67" s="253"/>
      <c r="N67" s="258"/>
      <c r="O67">
        <f>+(E63*1)-V67</f>
        <v>0</v>
      </c>
      <c r="P67" s="134">
        <f>+I63-O67-W67</f>
        <v>0</v>
      </c>
      <c r="Q67" s="11">
        <f>+G63-O67</f>
        <v>0</v>
      </c>
      <c r="R67">
        <f>+E63*$T$3</f>
        <v>0</v>
      </c>
      <c r="S67">
        <f t="shared" si="8"/>
        <v>0</v>
      </c>
      <c r="T67" t="str">
        <f>+IF(K63&lt;&gt;"",K63,"")</f>
        <v/>
      </c>
      <c r="U67" t="e">
        <f>+RANK(H63,$H$6:$H$1048576,1)</f>
        <v>#N/A</v>
      </c>
    </row>
    <row r="68" spans="2:21" x14ac:dyDescent="0.3">
      <c r="B68" s="245"/>
      <c r="C68" s="246"/>
      <c r="D68" s="247"/>
      <c r="E68" s="248"/>
      <c r="F68" s="248"/>
      <c r="G68" s="256"/>
      <c r="H68" s="250"/>
      <c r="I68" s="221"/>
      <c r="J68" s="342"/>
      <c r="K68" s="247"/>
      <c r="L68" s="252"/>
      <c r="M68" s="253"/>
      <c r="N68" s="258"/>
      <c r="O68">
        <f>+(E64*1)-V68</f>
        <v>0</v>
      </c>
      <c r="P68" s="134">
        <f>+I64-O68-W68</f>
        <v>0</v>
      </c>
      <c r="Q68" s="11">
        <f>+G64-O68</f>
        <v>0</v>
      </c>
      <c r="R68">
        <f>+E64*$T$3</f>
        <v>0</v>
      </c>
      <c r="S68">
        <f t="shared" si="8"/>
        <v>0</v>
      </c>
      <c r="T68" t="str">
        <f>+IF(K64&lt;&gt;"",K64,"")</f>
        <v/>
      </c>
      <c r="U68" t="e">
        <f>+RANK(H64,$H$6:$H$1048576,1)</f>
        <v>#N/A</v>
      </c>
    </row>
    <row r="69" spans="2:21" x14ac:dyDescent="0.3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+(E65*1)-V69</f>
        <v>0</v>
      </c>
      <c r="P69" s="134">
        <f>+I65-O69-W69</f>
        <v>0</v>
      </c>
      <c r="Q69" s="11">
        <f>+G65-O69</f>
        <v>0</v>
      </c>
      <c r="R69">
        <f>+E65*$T$3</f>
        <v>0</v>
      </c>
      <c r="S69">
        <f t="shared" si="8"/>
        <v>0</v>
      </c>
      <c r="T69" t="str">
        <f>+IF(K65&lt;&gt;"",K65,"")</f>
        <v/>
      </c>
      <c r="U69" t="e">
        <f>+RANK(H65,$H$6:$H$1048576,1)</f>
        <v>#N/A</v>
      </c>
    </row>
    <row r="70" spans="2:21" x14ac:dyDescent="0.3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3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58"/>
    </row>
    <row r="72" spans="2:21" x14ac:dyDescent="0.3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58"/>
    </row>
    <row r="73" spans="2:21" x14ac:dyDescent="0.3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58"/>
    </row>
    <row r="74" spans="2:21" x14ac:dyDescent="0.3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03"/>
      <c r="M74" s="253"/>
      <c r="N74" s="258"/>
    </row>
    <row r="75" spans="2:21" x14ac:dyDescent="0.3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03"/>
      <c r="M75" s="253"/>
      <c r="N75" s="258"/>
    </row>
    <row r="76" spans="2:21" x14ac:dyDescent="0.3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58"/>
    </row>
    <row r="77" spans="2:21" x14ac:dyDescent="0.3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58"/>
    </row>
    <row r="78" spans="2:21" x14ac:dyDescent="0.3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3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03"/>
      <c r="M79" s="253"/>
      <c r="N79" s="258"/>
    </row>
    <row r="80" spans="2:21" x14ac:dyDescent="0.3">
      <c r="B80" s="245"/>
      <c r="C80" s="255"/>
      <c r="D80" s="247"/>
      <c r="E80" s="248"/>
      <c r="F80" s="248"/>
      <c r="G80" s="254"/>
      <c r="H80" s="259"/>
      <c r="I80" s="260"/>
      <c r="J80" s="344"/>
      <c r="K80" s="247"/>
      <c r="L80" s="203"/>
      <c r="M80" s="253"/>
      <c r="N80" s="258"/>
    </row>
    <row r="81" spans="2:14" x14ac:dyDescent="0.3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03"/>
      <c r="M81" s="253"/>
      <c r="N81" s="258"/>
    </row>
    <row r="82" spans="2:14" x14ac:dyDescent="0.3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3">
      <c r="B83" s="245"/>
      <c r="C83" s="246"/>
      <c r="D83" s="247"/>
      <c r="E83" s="248"/>
      <c r="F83" s="248"/>
      <c r="G83" s="256"/>
      <c r="H83" s="250"/>
      <c r="I83" s="221"/>
      <c r="J83" s="342"/>
      <c r="K83" s="247"/>
      <c r="L83" s="252"/>
      <c r="M83" s="253"/>
      <c r="N83" s="258"/>
    </row>
    <row r="84" spans="2:14" x14ac:dyDescent="0.3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3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52"/>
      <c r="M85" s="253"/>
      <c r="N85" s="258"/>
    </row>
    <row r="86" spans="2:14" x14ac:dyDescent="0.3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3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3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3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3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3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3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3">
      <c r="B93" s="245"/>
      <c r="C93" s="246"/>
      <c r="D93" s="247"/>
      <c r="E93" s="248"/>
      <c r="F93" s="248"/>
      <c r="G93" s="256"/>
      <c r="H93" s="250"/>
      <c r="I93" s="221"/>
      <c r="J93" s="342"/>
      <c r="K93" s="247"/>
      <c r="L93" s="252"/>
      <c r="M93" s="253"/>
      <c r="N93" s="258"/>
    </row>
    <row r="94" spans="2:14" x14ac:dyDescent="0.3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3">
      <c r="B95" s="245"/>
      <c r="C95" s="246"/>
      <c r="D95" s="247"/>
      <c r="E95" s="248"/>
      <c r="F95" s="248"/>
      <c r="G95" s="256"/>
      <c r="H95" s="250"/>
      <c r="I95" s="221"/>
      <c r="J95" s="342"/>
      <c r="K95" s="247"/>
      <c r="L95" s="252"/>
      <c r="M95" s="253"/>
      <c r="N95" s="258"/>
    </row>
    <row r="96" spans="2:14" x14ac:dyDescent="0.3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3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3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3">
      <c r="B99" s="245"/>
      <c r="C99" s="255"/>
      <c r="D99" s="247"/>
      <c r="E99" s="248"/>
      <c r="F99" s="248"/>
      <c r="G99" s="199"/>
      <c r="H99" s="257"/>
      <c r="I99" s="222"/>
      <c r="J99" s="343"/>
      <c r="K99" s="247"/>
      <c r="L99" s="252"/>
      <c r="M99" s="253"/>
      <c r="N99" s="258"/>
    </row>
    <row r="100" spans="2:14" x14ac:dyDescent="0.3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3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3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03"/>
      <c r="M102" s="253"/>
      <c r="N102" s="258"/>
    </row>
    <row r="103" spans="2:14" x14ac:dyDescent="0.3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3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03"/>
    </row>
    <row r="105" spans="2:14" x14ac:dyDescent="0.3">
      <c r="B105" s="245"/>
      <c r="C105" s="246"/>
      <c r="D105" s="245"/>
      <c r="E105" s="248"/>
      <c r="F105" s="248"/>
      <c r="G105" s="261"/>
      <c r="H105" s="250"/>
      <c r="I105" s="221"/>
      <c r="J105" s="342"/>
      <c r="K105" s="247"/>
      <c r="L105" s="252"/>
      <c r="M105" s="253"/>
      <c r="N105" s="203"/>
    </row>
    <row r="106" spans="2:14" x14ac:dyDescent="0.3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3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3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3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03"/>
    </row>
    <row r="110" spans="2:14" x14ac:dyDescent="0.3">
      <c r="B110" s="245"/>
      <c r="C110" s="255"/>
      <c r="D110" s="247"/>
      <c r="E110" s="248"/>
      <c r="F110" s="248"/>
      <c r="G110" s="199"/>
      <c r="H110" s="257"/>
      <c r="I110" s="222"/>
      <c r="J110" s="343"/>
      <c r="K110" s="262"/>
      <c r="L110" s="252"/>
      <c r="M110" s="253"/>
      <c r="N110" s="203"/>
    </row>
    <row r="111" spans="2:14" x14ac:dyDescent="0.3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03"/>
    </row>
    <row r="112" spans="2:14" x14ac:dyDescent="0.3">
      <c r="B112" s="245"/>
      <c r="C112" s="255"/>
      <c r="D112" s="247"/>
      <c r="E112" s="248"/>
      <c r="F112" s="248"/>
      <c r="G112" s="199"/>
      <c r="H112" s="250"/>
      <c r="I112" s="221"/>
      <c r="J112" s="342"/>
      <c r="K112" s="247"/>
      <c r="L112" s="252"/>
      <c r="M112" s="253"/>
      <c r="N112" s="203"/>
    </row>
    <row r="113" spans="2:14" x14ac:dyDescent="0.3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03"/>
    </row>
    <row r="114" spans="2:14" x14ac:dyDescent="0.3">
      <c r="B114" s="245"/>
      <c r="C114" s="246"/>
      <c r="D114" s="247"/>
      <c r="E114" s="248"/>
      <c r="F114" s="248"/>
      <c r="G114" s="254"/>
      <c r="H114" s="200"/>
      <c r="I114" s="221"/>
      <c r="J114" s="342"/>
      <c r="K114" s="247"/>
      <c r="L114" s="252"/>
      <c r="M114" s="253"/>
      <c r="N114" s="203"/>
    </row>
    <row r="115" spans="2:14" x14ac:dyDescent="0.3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3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03"/>
    </row>
    <row r="117" spans="2:14" x14ac:dyDescent="0.3">
      <c r="B117" s="245"/>
      <c r="C117" s="246"/>
      <c r="D117" s="247"/>
      <c r="E117" s="248"/>
      <c r="F117" s="248"/>
      <c r="G117" s="254"/>
      <c r="H117" s="200"/>
      <c r="I117" s="221"/>
      <c r="J117" s="342"/>
      <c r="K117" s="247"/>
      <c r="L117" s="252"/>
      <c r="M117" s="253"/>
      <c r="N117" s="203"/>
    </row>
    <row r="118" spans="2:14" x14ac:dyDescent="0.3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03"/>
    </row>
    <row r="119" spans="2:14" x14ac:dyDescent="0.3">
      <c r="B119" s="245"/>
      <c r="C119" s="255"/>
      <c r="D119" s="247"/>
      <c r="E119" s="248"/>
      <c r="F119" s="248"/>
      <c r="G119" s="199"/>
      <c r="H119" s="200"/>
      <c r="I119" s="221"/>
      <c r="J119" s="342"/>
      <c r="K119" s="247"/>
      <c r="L119" s="203"/>
      <c r="M119" s="253"/>
      <c r="N119" s="258"/>
    </row>
    <row r="120" spans="2:14" x14ac:dyDescent="0.3">
      <c r="B120" s="245"/>
      <c r="C120" s="246"/>
      <c r="D120" s="247"/>
      <c r="E120" s="248"/>
      <c r="F120" s="248"/>
      <c r="G120" s="254"/>
      <c r="H120" s="200"/>
      <c r="I120" s="221"/>
      <c r="J120" s="342"/>
      <c r="K120" s="247"/>
      <c r="L120" s="252"/>
      <c r="M120" s="253"/>
      <c r="N120" s="258"/>
    </row>
    <row r="121" spans="2:14" x14ac:dyDescent="0.3">
      <c r="B121" s="245"/>
      <c r="C121" s="255"/>
      <c r="D121" s="247"/>
      <c r="E121" s="248"/>
      <c r="F121" s="248"/>
      <c r="G121" s="199"/>
      <c r="H121" s="200"/>
      <c r="I121" s="221"/>
      <c r="J121" s="342"/>
      <c r="K121" s="247"/>
      <c r="L121" s="203"/>
      <c r="M121" s="253"/>
      <c r="N121" s="258"/>
    </row>
    <row r="122" spans="2:14" x14ac:dyDescent="0.3">
      <c r="B122" s="245"/>
      <c r="C122" s="246"/>
      <c r="D122" s="247"/>
      <c r="E122" s="248"/>
      <c r="F122" s="248"/>
      <c r="G122" s="254"/>
      <c r="H122" s="200"/>
      <c r="I122" s="221"/>
      <c r="J122" s="342"/>
      <c r="K122" s="247"/>
      <c r="L122" s="252"/>
      <c r="M122" s="253"/>
      <c r="N122" s="203"/>
    </row>
    <row r="123" spans="2:14" x14ac:dyDescent="0.3">
      <c r="B123" s="245"/>
      <c r="C123" s="255"/>
      <c r="D123" s="247"/>
      <c r="E123" s="248"/>
      <c r="F123" s="248"/>
      <c r="G123" s="199"/>
      <c r="H123" s="250"/>
      <c r="I123" s="221"/>
      <c r="J123" s="342"/>
      <c r="K123" s="247"/>
      <c r="L123" s="252"/>
      <c r="M123" s="253"/>
      <c r="N123" s="203"/>
    </row>
    <row r="124" spans="2:14" x14ac:dyDescent="0.3">
      <c r="B124" s="245"/>
      <c r="C124" s="255"/>
      <c r="D124" s="247"/>
      <c r="E124" s="248"/>
      <c r="F124" s="248"/>
      <c r="G124" s="199"/>
      <c r="H124" s="200"/>
      <c r="I124" s="221"/>
      <c r="J124" s="342"/>
      <c r="K124" s="247"/>
      <c r="L124" s="252"/>
      <c r="M124" s="253"/>
      <c r="N124" s="203"/>
    </row>
    <row r="125" spans="2:14" x14ac:dyDescent="0.3">
      <c r="B125" s="245"/>
      <c r="C125" s="255"/>
      <c r="D125" s="245"/>
      <c r="E125" s="248"/>
      <c r="F125" s="248"/>
      <c r="G125" s="201"/>
      <c r="H125" s="200"/>
      <c r="I125" s="221"/>
      <c r="J125" s="342"/>
      <c r="K125" s="247"/>
      <c r="L125" s="252"/>
      <c r="M125" s="253"/>
      <c r="N125" s="203"/>
    </row>
    <row r="126" spans="2:14" x14ac:dyDescent="0.3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3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3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3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3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3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3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3">
      <c r="B133" s="245"/>
      <c r="C133" s="255"/>
      <c r="D133" s="247"/>
      <c r="E133" s="248"/>
      <c r="F133" s="248"/>
      <c r="G133" s="199"/>
      <c r="H133" s="250"/>
      <c r="I133" s="221"/>
      <c r="J133" s="342"/>
      <c r="K133" s="247"/>
      <c r="L133" s="252"/>
      <c r="M133" s="253"/>
      <c r="N133" s="203"/>
    </row>
    <row r="134" spans="2:14" x14ac:dyDescent="0.3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3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52"/>
      <c r="M135" s="253"/>
      <c r="N135" s="203"/>
    </row>
    <row r="136" spans="2:14" x14ac:dyDescent="0.3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3">
      <c r="B137" s="245"/>
      <c r="C137" s="255"/>
      <c r="D137" s="247"/>
      <c r="E137" s="248"/>
      <c r="F137" s="248"/>
      <c r="G137" s="199"/>
      <c r="H137" s="250"/>
      <c r="I137" s="221"/>
      <c r="J137" s="342"/>
      <c r="K137" s="247"/>
      <c r="L137" s="252"/>
      <c r="M137" s="253"/>
      <c r="N137" s="203"/>
    </row>
    <row r="138" spans="2:14" x14ac:dyDescent="0.3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3">
      <c r="B139" s="245"/>
      <c r="C139" s="255"/>
      <c r="D139" s="247"/>
      <c r="E139" s="248"/>
      <c r="F139" s="248"/>
      <c r="G139" s="199"/>
      <c r="H139" s="250"/>
      <c r="I139" s="251"/>
      <c r="J139" s="341"/>
      <c r="K139" s="247"/>
      <c r="L139" s="252"/>
      <c r="M139" s="253"/>
      <c r="N139" s="203"/>
    </row>
    <row r="140" spans="2:14" x14ac:dyDescent="0.3">
      <c r="B140" s="245"/>
      <c r="C140" s="246"/>
      <c r="D140" s="247"/>
      <c r="E140" s="248"/>
      <c r="F140" s="248"/>
      <c r="G140" s="254"/>
      <c r="H140" s="250"/>
      <c r="I140" s="221"/>
      <c r="J140" s="342"/>
      <c r="K140" s="247"/>
      <c r="L140" s="252"/>
      <c r="M140" s="253"/>
      <c r="N140" s="203"/>
    </row>
    <row r="141" spans="2:14" x14ac:dyDescent="0.3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3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3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3">
      <c r="B144" s="245"/>
      <c r="C144" s="255"/>
      <c r="D144" s="245"/>
      <c r="E144" s="248"/>
      <c r="F144" s="248"/>
      <c r="G144" s="201"/>
      <c r="H144" s="250"/>
      <c r="I144" s="221"/>
      <c r="J144" s="342"/>
      <c r="K144" s="247"/>
      <c r="L144" s="252"/>
      <c r="M144" s="253"/>
      <c r="N144" s="203"/>
    </row>
    <row r="145" spans="2:14" x14ac:dyDescent="0.3">
      <c r="B145" s="245"/>
      <c r="C145" s="255"/>
      <c r="D145" s="247"/>
      <c r="E145" s="248"/>
      <c r="F145" s="248"/>
      <c r="G145" s="199"/>
      <c r="H145" s="250"/>
      <c r="I145" s="221"/>
      <c r="J145" s="342"/>
      <c r="K145" s="247"/>
      <c r="L145" s="252"/>
      <c r="M145" s="253"/>
      <c r="N145" s="203"/>
    </row>
    <row r="146" spans="2:14" x14ac:dyDescent="0.3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58"/>
    </row>
    <row r="147" spans="2:14" x14ac:dyDescent="0.3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3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3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3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3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3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3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3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3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3">
      <c r="B156" s="245"/>
      <c r="C156" s="255"/>
      <c r="D156" s="247"/>
      <c r="E156" s="248"/>
      <c r="F156" s="248"/>
      <c r="G156" s="199"/>
      <c r="H156" s="200"/>
      <c r="I156" s="221"/>
      <c r="J156" s="342"/>
      <c r="K156" s="247"/>
      <c r="L156" s="252"/>
      <c r="M156" s="253"/>
      <c r="N156" s="203"/>
    </row>
    <row r="157" spans="2:14" x14ac:dyDescent="0.3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3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3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3">
      <c r="B160" s="245"/>
      <c r="C160" s="255"/>
      <c r="D160" s="247"/>
      <c r="E160" s="248"/>
      <c r="F160" s="248"/>
      <c r="G160" s="199"/>
      <c r="H160" s="200"/>
      <c r="I160" s="221"/>
      <c r="J160" s="342"/>
      <c r="K160" s="247"/>
      <c r="L160" s="252"/>
      <c r="M160" s="253"/>
      <c r="N160" s="203"/>
    </row>
    <row r="161" spans="2:14" x14ac:dyDescent="0.3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3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3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3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3">
      <c r="B165" s="245"/>
      <c r="C165" s="255"/>
      <c r="D165" s="247"/>
      <c r="E165" s="248"/>
      <c r="F165" s="248"/>
      <c r="G165" s="199"/>
      <c r="H165" s="200"/>
      <c r="I165" s="221"/>
      <c r="J165" s="342"/>
      <c r="K165" s="247"/>
      <c r="L165" s="252"/>
      <c r="M165" s="253"/>
      <c r="N165" s="203"/>
    </row>
    <row r="166" spans="2:14" x14ac:dyDescent="0.3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3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3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3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3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3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3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3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3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3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3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03"/>
      <c r="M176" s="253"/>
      <c r="N176" s="258"/>
    </row>
    <row r="177" spans="2:14" x14ac:dyDescent="0.3">
      <c r="B177" s="245"/>
      <c r="C177" s="246"/>
      <c r="D177" s="247"/>
      <c r="E177" s="248"/>
      <c r="F177" s="248"/>
      <c r="G177" s="254"/>
      <c r="H177" s="250"/>
      <c r="I177" s="221"/>
      <c r="J177" s="342"/>
      <c r="K177" s="247"/>
      <c r="L177" s="252"/>
      <c r="M177" s="253"/>
      <c r="N177" s="258"/>
    </row>
    <row r="178" spans="2:14" x14ac:dyDescent="0.3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3">
      <c r="B179" s="245"/>
      <c r="C179" s="255"/>
      <c r="D179" s="247"/>
      <c r="E179" s="248"/>
      <c r="F179" s="248"/>
      <c r="G179" s="199"/>
      <c r="H179" s="244"/>
      <c r="I179" s="222"/>
      <c r="J179" s="343"/>
      <c r="K179" s="247"/>
      <c r="L179" s="252"/>
      <c r="M179" s="253"/>
      <c r="N179" s="203"/>
    </row>
    <row r="180" spans="2:14" x14ac:dyDescent="0.3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3">
      <c r="B181" s="245"/>
      <c r="C181" s="255"/>
      <c r="D181" s="247"/>
      <c r="E181" s="248"/>
      <c r="F181" s="248"/>
      <c r="G181" s="199"/>
      <c r="H181" s="244"/>
      <c r="I181" s="222"/>
      <c r="J181" s="343"/>
      <c r="K181" s="247"/>
      <c r="L181" s="252"/>
      <c r="M181" s="253"/>
      <c r="N181" s="203"/>
    </row>
    <row r="182" spans="2:14" x14ac:dyDescent="0.3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3">
      <c r="B183" s="245"/>
      <c r="C183" s="255"/>
      <c r="D183" s="247"/>
      <c r="E183" s="248"/>
      <c r="F183" s="248"/>
      <c r="G183" s="199"/>
      <c r="H183" s="244"/>
      <c r="I183" s="222"/>
      <c r="J183" s="343"/>
      <c r="K183" s="247"/>
      <c r="L183" s="203"/>
      <c r="M183" s="253"/>
      <c r="N183" s="203"/>
    </row>
    <row r="184" spans="2:14" x14ac:dyDescent="0.3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03"/>
      <c r="M184" s="253"/>
      <c r="N184" s="203"/>
    </row>
    <row r="185" spans="2:14" x14ac:dyDescent="0.3">
      <c r="B185" s="245"/>
      <c r="C185" s="255"/>
      <c r="D185" s="247"/>
      <c r="E185" s="248"/>
      <c r="F185" s="248"/>
      <c r="G185" s="199"/>
      <c r="H185" s="244"/>
      <c r="I185" s="222"/>
      <c r="J185" s="343"/>
      <c r="K185" s="247"/>
      <c r="L185" s="203"/>
      <c r="M185" s="253"/>
      <c r="N185" s="203"/>
    </row>
    <row r="186" spans="2:14" x14ac:dyDescent="0.3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03"/>
      <c r="M186" s="253"/>
      <c r="N186" s="203"/>
    </row>
    <row r="187" spans="2:14" x14ac:dyDescent="0.3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3">
      <c r="B188" s="245"/>
      <c r="C188" s="255"/>
      <c r="D188" s="247"/>
      <c r="E188" s="248"/>
      <c r="F188" s="248"/>
      <c r="G188" s="199"/>
      <c r="H188" s="244"/>
      <c r="I188" s="222"/>
      <c r="J188" s="343"/>
      <c r="K188" s="247"/>
      <c r="L188" s="252"/>
      <c r="M188" s="253"/>
      <c r="N188" s="203"/>
    </row>
    <row r="189" spans="2:14" x14ac:dyDescent="0.3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03"/>
      <c r="M189" s="253"/>
      <c r="N189" s="203"/>
    </row>
    <row r="190" spans="2:14" x14ac:dyDescent="0.3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3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3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03"/>
    </row>
    <row r="193" spans="2:14" x14ac:dyDescent="0.3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3">
      <c r="B194" s="245"/>
      <c r="C194" s="255"/>
      <c r="D194" s="247"/>
      <c r="E194" s="248"/>
      <c r="F194" s="248"/>
      <c r="G194" s="199"/>
      <c r="H194" s="244"/>
      <c r="I194" s="222"/>
      <c r="J194" s="343"/>
      <c r="K194" s="247"/>
      <c r="L194" s="203"/>
      <c r="M194" s="253"/>
      <c r="N194" s="203"/>
    </row>
    <row r="195" spans="2:14" x14ac:dyDescent="0.3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3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03"/>
    </row>
    <row r="197" spans="2:14" x14ac:dyDescent="0.3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03"/>
      <c r="M197" s="253"/>
      <c r="N197" s="203"/>
    </row>
    <row r="198" spans="2:14" x14ac:dyDescent="0.3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3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3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3">
      <c r="B201" s="245"/>
      <c r="C201" s="246"/>
      <c r="D201" s="245"/>
      <c r="E201" s="248"/>
      <c r="F201" s="248"/>
      <c r="G201" s="261"/>
      <c r="H201" s="200"/>
      <c r="I201" s="221"/>
      <c r="J201" s="342"/>
      <c r="K201" s="247"/>
      <c r="L201" s="252"/>
      <c r="M201" s="253"/>
      <c r="N201" s="203"/>
    </row>
    <row r="202" spans="2:14" x14ac:dyDescent="0.3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3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3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3">
      <c r="B205" s="245"/>
      <c r="C205" s="246"/>
      <c r="D205" s="245"/>
      <c r="E205" s="248"/>
      <c r="F205" s="248"/>
      <c r="G205" s="261"/>
      <c r="H205" s="200"/>
      <c r="I205" s="221"/>
      <c r="J205" s="342"/>
      <c r="K205" s="247"/>
      <c r="L205" s="203"/>
      <c r="M205" s="253"/>
      <c r="N205" s="203"/>
    </row>
    <row r="206" spans="2:14" x14ac:dyDescent="0.3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3">
      <c r="B207" s="245"/>
      <c r="C207" s="246"/>
      <c r="D207" s="245"/>
      <c r="E207" s="248"/>
      <c r="F207" s="248"/>
      <c r="G207" s="261"/>
      <c r="H207" s="200"/>
      <c r="I207" s="221"/>
      <c r="J207" s="342"/>
      <c r="K207" s="247"/>
      <c r="L207" s="252"/>
      <c r="M207" s="253"/>
      <c r="N207" s="203"/>
    </row>
    <row r="208" spans="2:14" x14ac:dyDescent="0.3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3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3">
      <c r="B210" s="245"/>
      <c r="C210" s="255"/>
      <c r="D210" s="247"/>
      <c r="E210" s="248"/>
      <c r="F210" s="248"/>
      <c r="G210" s="261"/>
      <c r="H210" s="263"/>
      <c r="I210" s="260"/>
      <c r="J210" s="344"/>
      <c r="K210" s="247"/>
      <c r="L210" s="252"/>
      <c r="M210" s="253"/>
      <c r="N210" s="203"/>
    </row>
    <row r="211" spans="2:14" x14ac:dyDescent="0.3">
      <c r="B211" s="245"/>
      <c r="C211" s="246"/>
      <c r="D211" s="245"/>
      <c r="E211" s="248"/>
      <c r="F211" s="248"/>
      <c r="G211" s="261"/>
      <c r="H211" s="200"/>
      <c r="I211" s="221"/>
      <c r="J211" s="342"/>
      <c r="K211" s="245"/>
      <c r="L211" s="252"/>
      <c r="M211" s="253"/>
      <c r="N211" s="203"/>
    </row>
    <row r="212" spans="2:14" x14ac:dyDescent="0.3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3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3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3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3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3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3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3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3">
      <c r="B220" s="245"/>
      <c r="C220" s="255"/>
      <c r="D220" s="247"/>
      <c r="E220" s="248"/>
      <c r="F220" s="248"/>
      <c r="G220" s="199"/>
      <c r="H220" s="244"/>
      <c r="I220" s="222"/>
      <c r="J220" s="343"/>
      <c r="K220" s="247"/>
      <c r="L220" s="252"/>
      <c r="M220" s="253"/>
      <c r="N220" s="203"/>
    </row>
    <row r="221" spans="2:14" x14ac:dyDescent="0.3">
      <c r="B221" s="245"/>
      <c r="C221" s="255"/>
      <c r="D221" s="247"/>
      <c r="E221" s="248"/>
      <c r="F221" s="248"/>
      <c r="G221" s="199"/>
      <c r="H221" s="200"/>
      <c r="I221" s="221"/>
      <c r="J221" s="342"/>
      <c r="K221" s="247"/>
      <c r="L221" s="252"/>
      <c r="M221" s="253"/>
      <c r="N221" s="203"/>
    </row>
    <row r="222" spans="2:14" x14ac:dyDescent="0.3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03"/>
      <c r="M222" s="253"/>
      <c r="N222" s="203"/>
    </row>
    <row r="223" spans="2:14" x14ac:dyDescent="0.3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3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3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3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3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3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3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3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3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3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3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3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3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3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3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3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3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3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3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3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3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3">
      <c r="B244" s="245"/>
      <c r="C244" s="255"/>
      <c r="D244" s="247"/>
      <c r="E244" s="248"/>
      <c r="F244" s="248"/>
      <c r="G244" s="261"/>
      <c r="H244" s="200"/>
      <c r="I244" s="221"/>
      <c r="J244" s="342"/>
      <c r="K244" s="245"/>
      <c r="L244" s="252"/>
      <c r="M244" s="253"/>
      <c r="N244" s="203"/>
    </row>
    <row r="245" spans="2:14" x14ac:dyDescent="0.3">
      <c r="B245" s="245"/>
      <c r="C245" s="246"/>
      <c r="D245" s="247"/>
      <c r="E245" s="248"/>
      <c r="F245" s="248"/>
      <c r="G245" s="254"/>
      <c r="H245" s="200"/>
      <c r="I245" s="221"/>
      <c r="J245" s="342"/>
      <c r="K245" s="262"/>
      <c r="L245" s="252"/>
      <c r="M245" s="253"/>
      <c r="N245" s="203"/>
    </row>
    <row r="246" spans="2:14" x14ac:dyDescent="0.3">
      <c r="B246" s="245"/>
      <c r="C246" s="255"/>
      <c r="D246" s="245"/>
      <c r="E246" s="248"/>
      <c r="F246" s="248"/>
      <c r="G246" s="201"/>
      <c r="H246" s="200"/>
      <c r="I246" s="221"/>
      <c r="J246" s="342"/>
      <c r="K246" s="262"/>
      <c r="L246" s="252"/>
      <c r="M246" s="253"/>
      <c r="N246" s="203"/>
    </row>
    <row r="247" spans="2:14" x14ac:dyDescent="0.3">
      <c r="B247" s="245"/>
      <c r="C247" s="246"/>
      <c r="D247" s="247"/>
      <c r="E247" s="248"/>
      <c r="F247" s="248"/>
      <c r="G247" s="254"/>
      <c r="H247" s="200"/>
      <c r="I247" s="221"/>
      <c r="J247" s="342"/>
      <c r="K247" s="245"/>
      <c r="L247" s="252"/>
      <c r="M247" s="253"/>
      <c r="N247" s="203"/>
    </row>
    <row r="248" spans="2:14" x14ac:dyDescent="0.3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3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3">
      <c r="B250" s="245"/>
      <c r="C250" s="246"/>
      <c r="D250" s="245"/>
      <c r="E250" s="248"/>
      <c r="F250" s="248"/>
      <c r="G250" s="261"/>
      <c r="H250" s="200"/>
      <c r="I250" s="221"/>
      <c r="J250" s="342"/>
      <c r="K250" s="247"/>
      <c r="L250" s="252"/>
      <c r="M250" s="253"/>
      <c r="N250" s="203"/>
    </row>
    <row r="251" spans="2:14" x14ac:dyDescent="0.3">
      <c r="B251" s="245"/>
      <c r="C251" s="255"/>
      <c r="D251" s="247"/>
      <c r="E251" s="248"/>
      <c r="F251" s="248"/>
      <c r="G251" s="199"/>
      <c r="H251" s="200"/>
      <c r="I251" s="221"/>
      <c r="J251" s="342"/>
      <c r="K251" s="247"/>
      <c r="L251" s="252"/>
      <c r="M251" s="253"/>
      <c r="N251" s="203"/>
    </row>
    <row r="252" spans="2:14" x14ac:dyDescent="0.3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3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3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3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3">
      <c r="B256" s="245"/>
      <c r="C256" s="255"/>
      <c r="D256" s="245"/>
      <c r="E256" s="248"/>
      <c r="F256" s="248"/>
      <c r="G256" s="201"/>
      <c r="H256" s="200"/>
      <c r="I256" s="221"/>
      <c r="J256" s="342"/>
      <c r="K256" s="247"/>
      <c r="L256" s="252"/>
      <c r="M256" s="253"/>
      <c r="N256" s="203"/>
    </row>
    <row r="257" spans="2:14" x14ac:dyDescent="0.3">
      <c r="B257" s="245"/>
      <c r="C257" s="255"/>
      <c r="D257" s="245"/>
      <c r="E257" s="248"/>
      <c r="F257" s="248"/>
      <c r="G257" s="261"/>
      <c r="H257" s="200"/>
      <c r="I257" s="221"/>
      <c r="J257" s="342"/>
      <c r="K257" s="247"/>
      <c r="L257" s="252"/>
      <c r="M257" s="253"/>
      <c r="N257" s="203"/>
    </row>
    <row r="258" spans="2:14" x14ac:dyDescent="0.3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3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3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3">
      <c r="B261" s="245"/>
      <c r="C261" s="255"/>
      <c r="D261" s="247"/>
      <c r="E261" s="248"/>
      <c r="F261" s="248"/>
      <c r="G261" s="199"/>
      <c r="H261" s="200"/>
      <c r="I261" s="221"/>
      <c r="J261" s="342"/>
      <c r="K261" s="247"/>
      <c r="L261" s="252"/>
      <c r="M261" s="253"/>
      <c r="N261" s="203"/>
    </row>
    <row r="262" spans="2:14" x14ac:dyDescent="0.3">
      <c r="B262" s="245"/>
      <c r="C262" s="246"/>
      <c r="D262" s="245"/>
      <c r="E262" s="248"/>
      <c r="F262" s="248"/>
      <c r="G262" s="261"/>
      <c r="H262" s="200"/>
      <c r="I262" s="221"/>
      <c r="J262" s="342"/>
      <c r="K262" s="247"/>
      <c r="L262" s="252"/>
      <c r="M262" s="253"/>
      <c r="N262" s="203"/>
    </row>
    <row r="263" spans="2:14" x14ac:dyDescent="0.3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3">
      <c r="B264" s="245"/>
      <c r="C264" s="255"/>
      <c r="D264" s="245"/>
      <c r="E264" s="248"/>
      <c r="F264" s="248"/>
      <c r="G264" s="201"/>
      <c r="H264" s="200"/>
      <c r="I264" s="221"/>
      <c r="J264" s="342"/>
      <c r="K264" s="247"/>
      <c r="L264" s="252"/>
      <c r="M264" s="253"/>
      <c r="N264" s="203"/>
    </row>
    <row r="265" spans="2:14" x14ac:dyDescent="0.3">
      <c r="B265" s="245"/>
      <c r="C265" s="255"/>
      <c r="D265" s="247"/>
      <c r="E265" s="248"/>
      <c r="F265" s="248"/>
      <c r="G265" s="199"/>
      <c r="H265" s="200"/>
      <c r="I265" s="221"/>
      <c r="J265" s="342"/>
      <c r="K265" s="247"/>
      <c r="L265" s="252"/>
      <c r="M265" s="253"/>
      <c r="N265" s="203"/>
    </row>
    <row r="266" spans="2:14" x14ac:dyDescent="0.3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3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3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3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3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3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3">
      <c r="B272" s="245"/>
      <c r="C272" s="246"/>
      <c r="D272" s="247"/>
      <c r="E272" s="248"/>
      <c r="F272" s="248"/>
      <c r="G272" s="254"/>
      <c r="H272" s="202"/>
      <c r="I272" s="223"/>
      <c r="J272" s="345"/>
      <c r="K272" s="264"/>
      <c r="L272" s="252"/>
      <c r="M272" s="253"/>
      <c r="N272" s="265"/>
    </row>
    <row r="273" spans="2:14" x14ac:dyDescent="0.3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3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3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3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3">
      <c r="B277" s="245"/>
      <c r="C277" s="246"/>
      <c r="D277" s="247"/>
      <c r="E277" s="248"/>
      <c r="F277" s="248"/>
      <c r="G277" s="254"/>
      <c r="H277" s="202"/>
      <c r="I277" s="223"/>
      <c r="J277" s="345"/>
      <c r="K277" s="264"/>
      <c r="L277" s="252"/>
      <c r="M277" s="253"/>
      <c r="N277" s="265"/>
    </row>
    <row r="278" spans="2:14" x14ac:dyDescent="0.3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3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3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3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3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3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3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3">
      <c r="B285" s="245"/>
      <c r="C285" s="246"/>
      <c r="D285" s="245"/>
      <c r="E285" s="248"/>
      <c r="F285" s="248"/>
      <c r="G285" s="261"/>
      <c r="H285" s="202"/>
      <c r="I285" s="223"/>
      <c r="J285" s="345"/>
      <c r="K285" s="266"/>
      <c r="L285" s="252"/>
      <c r="M285" s="253"/>
      <c r="N285" s="265"/>
    </row>
    <row r="286" spans="2:14" x14ac:dyDescent="0.3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3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3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3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3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3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3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3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3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3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3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3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3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3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3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3">
      <c r="B301" s="245"/>
      <c r="C301" s="246"/>
      <c r="D301" s="247"/>
      <c r="E301" s="248"/>
      <c r="F301" s="248"/>
      <c r="G301" s="254"/>
      <c r="H301" s="202"/>
      <c r="I301" s="223"/>
      <c r="J301" s="345"/>
      <c r="K301" s="264"/>
      <c r="L301" s="252"/>
      <c r="M301" s="253"/>
      <c r="N301" s="265"/>
    </row>
    <row r="302" spans="2:14" x14ac:dyDescent="0.3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3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3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3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3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3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3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3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3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3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3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3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3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3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3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3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3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3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3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3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3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3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3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3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3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3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3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3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3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3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3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3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3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3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3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3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3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3">
      <c r="B339" s="245"/>
      <c r="C339" s="246"/>
      <c r="D339" s="247"/>
      <c r="E339" s="248"/>
      <c r="F339" s="248"/>
      <c r="G339" s="254"/>
      <c r="H339" s="202"/>
      <c r="I339" s="223"/>
      <c r="J339" s="345"/>
      <c r="K339" s="267"/>
      <c r="L339" s="252"/>
      <c r="M339" s="253"/>
      <c r="N339" s="265"/>
    </row>
    <row r="340" spans="2:14" x14ac:dyDescent="0.3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3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3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3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3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3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3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3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3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3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3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3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3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3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3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3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3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3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3">
      <c r="B358" s="245"/>
      <c r="C358" s="255"/>
      <c r="D358" s="247"/>
      <c r="E358" s="248"/>
      <c r="F358" s="248"/>
      <c r="G358" s="199"/>
      <c r="H358" s="202"/>
      <c r="I358" s="223"/>
      <c r="J358" s="345"/>
      <c r="K358" s="266"/>
      <c r="L358" s="252"/>
      <c r="M358" s="253"/>
      <c r="N358" s="265"/>
    </row>
    <row r="359" spans="2:14" x14ac:dyDescent="0.3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3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3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3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3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3">
      <c r="B364" s="245"/>
      <c r="C364" s="255"/>
      <c r="D364" s="247"/>
      <c r="E364" s="248"/>
      <c r="F364" s="248"/>
      <c r="G364" s="199"/>
      <c r="H364" s="202"/>
      <c r="I364" s="223"/>
      <c r="J364" s="345"/>
      <c r="K364" s="266"/>
      <c r="L364" s="252"/>
      <c r="M364" s="253"/>
      <c r="N364" s="265"/>
    </row>
    <row r="365" spans="2:14" x14ac:dyDescent="0.3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3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3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3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3">
      <c r="B369" s="245"/>
      <c r="C369" s="255"/>
      <c r="D369" s="247"/>
      <c r="E369" s="248"/>
      <c r="F369" s="248"/>
      <c r="G369" s="199"/>
      <c r="H369" s="202"/>
      <c r="I369" s="223"/>
      <c r="J369" s="345"/>
      <c r="K369" s="266"/>
      <c r="L369" s="252"/>
      <c r="M369" s="253"/>
      <c r="N369" s="265"/>
    </row>
    <row r="370" spans="2:14" x14ac:dyDescent="0.3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3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3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3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3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3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3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3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3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3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3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3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3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3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3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3">
      <c r="B385" s="245"/>
      <c r="C385" s="246"/>
      <c r="D385" s="245"/>
      <c r="E385" s="248"/>
      <c r="F385" s="248"/>
      <c r="G385" s="261"/>
      <c r="H385" s="202"/>
      <c r="I385" s="223"/>
      <c r="J385" s="345"/>
      <c r="K385" s="266"/>
      <c r="L385" s="252"/>
      <c r="M385" s="253"/>
      <c r="N385" s="265"/>
    </row>
    <row r="386" spans="2:14" x14ac:dyDescent="0.3">
      <c r="B386" s="245"/>
      <c r="C386" s="246"/>
      <c r="D386" s="245"/>
      <c r="E386" s="248"/>
      <c r="F386" s="248"/>
      <c r="G386" s="261"/>
      <c r="H386" s="202"/>
      <c r="I386" s="223"/>
      <c r="J386" s="345"/>
      <c r="K386" s="266"/>
      <c r="L386" s="252"/>
      <c r="M386" s="253"/>
      <c r="N386" s="265"/>
    </row>
    <row r="387" spans="2:14" x14ac:dyDescent="0.3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3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3">
      <c r="B389" s="245"/>
      <c r="C389" s="246"/>
      <c r="D389" s="245"/>
      <c r="E389" s="248"/>
      <c r="F389" s="248"/>
      <c r="G389" s="261"/>
      <c r="H389" s="202"/>
      <c r="I389" s="223"/>
      <c r="J389" s="345"/>
      <c r="K389" s="266"/>
      <c r="L389" s="252"/>
      <c r="M389" s="253"/>
      <c r="N389" s="265"/>
    </row>
    <row r="390" spans="2:14" x14ac:dyDescent="0.3">
      <c r="B390" s="245"/>
      <c r="C390" s="246"/>
      <c r="D390" s="245"/>
      <c r="E390" s="248"/>
      <c r="F390" s="248"/>
      <c r="G390" s="261"/>
      <c r="H390" s="202"/>
      <c r="I390" s="223"/>
      <c r="J390" s="345"/>
      <c r="K390" s="266"/>
      <c r="L390" s="252"/>
      <c r="M390" s="253"/>
      <c r="N390" s="265"/>
    </row>
    <row r="391" spans="2:14" x14ac:dyDescent="0.3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3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3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3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3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3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3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3">
      <c r="B398" s="245"/>
      <c r="C398" s="255"/>
      <c r="D398" s="247"/>
      <c r="E398" s="248"/>
      <c r="F398" s="248"/>
      <c r="G398" s="199"/>
      <c r="H398" s="202"/>
      <c r="I398" s="223"/>
      <c r="J398" s="345"/>
      <c r="K398" s="266"/>
      <c r="L398" s="252"/>
      <c r="M398" s="253"/>
      <c r="N398" s="265"/>
    </row>
    <row r="399" spans="2:14" x14ac:dyDescent="0.3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3">
      <c r="B400" s="245"/>
      <c r="C400" s="255"/>
      <c r="D400" s="247"/>
      <c r="E400" s="248"/>
      <c r="F400" s="248"/>
      <c r="G400" s="199"/>
      <c r="H400" s="202"/>
      <c r="I400" s="223"/>
      <c r="J400" s="345"/>
      <c r="K400" s="266"/>
      <c r="L400" s="252"/>
      <c r="M400" s="253"/>
      <c r="N400" s="265"/>
    </row>
    <row r="401" spans="2:14" x14ac:dyDescent="0.3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3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3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3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3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3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3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3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3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3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3">
      <c r="B411" s="245"/>
      <c r="C411" s="246"/>
      <c r="D411" s="247"/>
      <c r="E411" s="248"/>
      <c r="F411" s="248"/>
      <c r="G411" s="254"/>
      <c r="H411" s="202"/>
      <c r="I411" s="223"/>
      <c r="J411" s="345"/>
      <c r="K411" s="264"/>
      <c r="L411" s="252"/>
      <c r="M411" s="253"/>
      <c r="N411" s="265"/>
    </row>
    <row r="412" spans="2:14" x14ac:dyDescent="0.3">
      <c r="B412" s="245"/>
      <c r="C412" s="246"/>
      <c r="D412" s="245"/>
      <c r="E412" s="248"/>
      <c r="F412" s="248"/>
      <c r="G412" s="261"/>
      <c r="H412" s="202"/>
      <c r="I412" s="223"/>
      <c r="J412" s="345"/>
      <c r="K412" s="266"/>
      <c r="L412" s="252"/>
      <c r="M412" s="253"/>
      <c r="N412" s="265"/>
    </row>
    <row r="413" spans="2:14" x14ac:dyDescent="0.3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3">
      <c r="B414" s="245"/>
      <c r="C414" s="246"/>
      <c r="D414" s="247"/>
      <c r="E414" s="248"/>
      <c r="F414" s="248"/>
      <c r="G414" s="254"/>
      <c r="H414" s="202"/>
      <c r="I414" s="223"/>
      <c r="J414" s="345"/>
      <c r="K414" s="264"/>
      <c r="L414" s="252"/>
      <c r="M414" s="253"/>
      <c r="N414" s="265"/>
    </row>
    <row r="415" spans="2:14" x14ac:dyDescent="0.3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3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3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3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3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3">
      <c r="B420" s="245"/>
      <c r="C420" s="246"/>
      <c r="D420" s="245"/>
      <c r="E420" s="248"/>
      <c r="F420" s="248"/>
      <c r="G420" s="261"/>
      <c r="H420" s="202"/>
      <c r="I420" s="223"/>
      <c r="J420" s="345"/>
      <c r="K420" s="266"/>
      <c r="L420" s="252"/>
      <c r="M420" s="253"/>
      <c r="N420" s="265"/>
    </row>
    <row r="421" spans="2:14" x14ac:dyDescent="0.3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3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3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3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3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3">
      <c r="B426" s="245"/>
      <c r="C426" s="255"/>
      <c r="D426" s="247"/>
      <c r="E426" s="248"/>
      <c r="F426" s="248"/>
      <c r="G426" s="199"/>
      <c r="H426" s="202"/>
      <c r="I426" s="223"/>
      <c r="J426" s="345"/>
      <c r="K426" s="266"/>
      <c r="L426" s="252"/>
      <c r="M426" s="253"/>
      <c r="N426" s="265"/>
    </row>
    <row r="427" spans="2:14" x14ac:dyDescent="0.3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3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3">
      <c r="B429" s="245"/>
      <c r="C429" s="255"/>
      <c r="D429" s="247"/>
      <c r="E429" s="248"/>
      <c r="F429" s="248"/>
      <c r="G429" s="199"/>
      <c r="H429" s="202"/>
      <c r="I429" s="223"/>
      <c r="J429" s="345"/>
      <c r="K429" s="266"/>
      <c r="L429" s="252"/>
      <c r="M429" s="253"/>
      <c r="N429" s="265"/>
    </row>
    <row r="430" spans="2:14" x14ac:dyDescent="0.3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3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3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3">
      <c r="B433" s="245"/>
      <c r="C433" s="246"/>
      <c r="D433" s="247"/>
      <c r="E433" s="268"/>
      <c r="F433" s="268"/>
      <c r="G433" s="269"/>
      <c r="H433" s="270"/>
      <c r="I433" s="271"/>
      <c r="J433" s="346"/>
      <c r="K433" s="266"/>
      <c r="L433" s="252"/>
      <c r="M433" s="253"/>
      <c r="N433" s="265"/>
    </row>
    <row r="434" spans="2:14" x14ac:dyDescent="0.3">
      <c r="B434" s="245"/>
      <c r="C434" s="255"/>
      <c r="D434" s="247"/>
      <c r="E434" s="248"/>
      <c r="F434" s="248"/>
      <c r="G434" s="261"/>
      <c r="H434" s="202"/>
      <c r="I434" s="223"/>
      <c r="J434" s="345"/>
      <c r="K434" s="266"/>
      <c r="L434" s="252"/>
      <c r="M434" s="253"/>
      <c r="N434" s="265"/>
    </row>
    <row r="435" spans="2:14" x14ac:dyDescent="0.3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3">
      <c r="B436" s="245"/>
      <c r="C436" s="255"/>
      <c r="D436" s="247"/>
      <c r="E436" s="248"/>
      <c r="F436" s="248"/>
      <c r="G436" s="199"/>
      <c r="H436" s="202"/>
      <c r="I436" s="223"/>
      <c r="J436" s="345"/>
      <c r="K436" s="266"/>
      <c r="L436" s="252"/>
      <c r="M436" s="253"/>
      <c r="N436" s="265"/>
    </row>
    <row r="437" spans="2:14" x14ac:dyDescent="0.3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3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3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3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3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3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3">
      <c r="B443" s="245"/>
      <c r="C443" s="246"/>
      <c r="D443" s="247"/>
      <c r="E443" s="248"/>
      <c r="F443" s="248"/>
      <c r="G443" s="254"/>
      <c r="H443" s="202"/>
      <c r="I443" s="223"/>
      <c r="J443" s="345"/>
      <c r="K443" s="264"/>
      <c r="L443" s="252"/>
      <c r="M443" s="253"/>
      <c r="N443" s="265"/>
    </row>
    <row r="444" spans="2:14" x14ac:dyDescent="0.3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3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3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3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3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3">
      <c r="B449" s="245"/>
      <c r="C449" s="255"/>
      <c r="D449" s="247"/>
      <c r="E449" s="248"/>
      <c r="F449" s="248"/>
      <c r="G449" s="199"/>
      <c r="H449" s="202"/>
      <c r="I449" s="223"/>
      <c r="J449" s="345"/>
      <c r="K449" s="266"/>
      <c r="L449" s="252"/>
      <c r="M449" s="253"/>
      <c r="N449" s="265"/>
    </row>
    <row r="450" spans="2:14" x14ac:dyDescent="0.3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3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3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3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3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3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3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3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3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3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3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3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3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3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3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3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3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3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3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3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3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3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3">
      <c r="B472" s="245"/>
      <c r="C472" s="246"/>
      <c r="D472" s="245"/>
      <c r="E472" s="248"/>
      <c r="F472" s="248"/>
      <c r="G472" s="261"/>
      <c r="H472" s="202"/>
      <c r="I472" s="223"/>
      <c r="J472" s="345"/>
      <c r="K472" s="264"/>
      <c r="L472" s="252"/>
      <c r="M472" s="253"/>
      <c r="N472" s="265"/>
    </row>
    <row r="473" spans="2:14" x14ac:dyDescent="0.3">
      <c r="B473" s="245"/>
      <c r="C473" s="246"/>
      <c r="D473" s="247"/>
      <c r="E473" s="248"/>
      <c r="F473" s="248"/>
      <c r="G473" s="254"/>
      <c r="H473" s="202"/>
      <c r="I473" s="223"/>
      <c r="J473" s="345"/>
      <c r="K473" s="264"/>
      <c r="L473" s="252"/>
      <c r="M473" s="253"/>
      <c r="N473" s="265"/>
    </row>
    <row r="474" spans="2:14" x14ac:dyDescent="0.3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3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3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3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3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3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3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3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3">
      <c r="B482" s="245"/>
      <c r="C482" s="246"/>
      <c r="D482" s="247"/>
      <c r="E482" s="248"/>
      <c r="F482" s="248"/>
      <c r="G482" s="254"/>
      <c r="H482" s="202"/>
      <c r="I482" s="223"/>
      <c r="J482" s="345"/>
      <c r="K482" s="264"/>
      <c r="L482" s="252"/>
      <c r="M482" s="253"/>
      <c r="N482" s="265"/>
    </row>
    <row r="483" spans="2:14" x14ac:dyDescent="0.3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3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3">
      <c r="B485" s="245"/>
      <c r="C485" s="255"/>
      <c r="D485" s="247"/>
      <c r="E485" s="248"/>
      <c r="F485" s="248"/>
      <c r="G485" s="199"/>
      <c r="H485" s="202"/>
      <c r="I485" s="223"/>
      <c r="J485" s="345"/>
      <c r="K485" s="266"/>
      <c r="L485" s="252"/>
      <c r="M485" s="253"/>
      <c r="N485" s="265"/>
    </row>
    <row r="486" spans="2:14" x14ac:dyDescent="0.3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3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3">
      <c r="B488" s="245"/>
      <c r="C488" s="246"/>
      <c r="D488" s="247"/>
      <c r="E488" s="248"/>
      <c r="F488" s="248"/>
      <c r="G488" s="254"/>
      <c r="H488" s="202"/>
      <c r="I488" s="223"/>
      <c r="J488" s="345"/>
      <c r="K488" s="264"/>
      <c r="L488" s="252"/>
      <c r="M488" s="253"/>
      <c r="N488" s="265"/>
    </row>
    <row r="489" spans="2:14" x14ac:dyDescent="0.3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3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3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3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3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3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3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3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3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3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3">
      <c r="B499" s="245"/>
      <c r="C499" s="246"/>
      <c r="D499" s="247"/>
      <c r="E499" s="248"/>
      <c r="F499" s="248"/>
      <c r="G499" s="254"/>
      <c r="H499" s="202"/>
      <c r="I499" s="223"/>
      <c r="J499" s="345"/>
      <c r="K499" s="267"/>
      <c r="L499" s="252"/>
      <c r="M499" s="253"/>
      <c r="N499" s="265"/>
    </row>
    <row r="500" spans="2:14" x14ac:dyDescent="0.3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3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3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3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3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3">
      <c r="B505" s="245"/>
      <c r="C505" s="246"/>
      <c r="D505" s="245"/>
      <c r="E505" s="248"/>
      <c r="F505" s="272"/>
      <c r="G505" s="261"/>
      <c r="H505" s="202"/>
      <c r="I505" s="223"/>
      <c r="J505" s="345"/>
      <c r="K505" s="266"/>
      <c r="L505" s="252"/>
      <c r="M505" s="253"/>
      <c r="N505" s="265"/>
    </row>
    <row r="506" spans="2:14" x14ac:dyDescent="0.3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3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3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3">
      <c r="B509" s="245"/>
      <c r="C509" s="255"/>
      <c r="D509" s="247"/>
      <c r="E509" s="248"/>
      <c r="F509" s="248"/>
      <c r="G509" s="199"/>
      <c r="H509" s="202"/>
      <c r="I509" s="223"/>
      <c r="J509" s="345"/>
      <c r="K509" s="266"/>
      <c r="L509" s="252"/>
      <c r="M509" s="253"/>
      <c r="N509" s="265"/>
    </row>
    <row r="510" spans="2:14" x14ac:dyDescent="0.3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3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3">
      <c r="B512" s="245"/>
      <c r="C512" s="255"/>
      <c r="D512" s="247"/>
      <c r="E512" s="248"/>
      <c r="F512" s="248"/>
      <c r="G512" s="199"/>
      <c r="H512" s="202"/>
      <c r="I512" s="223"/>
      <c r="J512" s="345"/>
      <c r="K512" s="266"/>
      <c r="L512" s="252"/>
      <c r="M512" s="253"/>
      <c r="N512" s="265"/>
    </row>
    <row r="513" spans="2:14" x14ac:dyDescent="0.3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3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3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3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3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3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3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3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3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3">
      <c r="B522" s="245"/>
      <c r="C522" s="246"/>
      <c r="D522" s="245"/>
      <c r="E522" s="248"/>
      <c r="F522" s="248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3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3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3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3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3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3">
      <c r="B528" s="245"/>
      <c r="C528" s="246"/>
      <c r="D528" s="245"/>
      <c r="E528" s="248"/>
      <c r="F528" s="248"/>
      <c r="G528" s="261"/>
      <c r="H528" s="202"/>
      <c r="I528" s="223"/>
      <c r="J528" s="345"/>
      <c r="K528" s="266"/>
      <c r="L528" s="252"/>
      <c r="M528" s="253"/>
      <c r="N528" s="265"/>
    </row>
    <row r="529" spans="2:14" x14ac:dyDescent="0.3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3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3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3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3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3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3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3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3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3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3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3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3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3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3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3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3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3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3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3">
      <c r="B548" s="245"/>
      <c r="C548" s="255"/>
      <c r="D548" s="245"/>
      <c r="E548" s="248"/>
      <c r="F548" s="248"/>
      <c r="G548" s="201"/>
      <c r="H548" s="202"/>
      <c r="I548" s="223"/>
      <c r="J548" s="345"/>
      <c r="K548" s="266"/>
      <c r="L548" s="252"/>
      <c r="M548" s="253"/>
      <c r="N548" s="265"/>
    </row>
    <row r="549" spans="2:14" x14ac:dyDescent="0.3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3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3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3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3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3">
      <c r="B554" s="245"/>
      <c r="C554" s="255"/>
      <c r="D554" s="245"/>
      <c r="E554" s="248"/>
      <c r="F554" s="248"/>
      <c r="G554" s="201"/>
      <c r="H554" s="202"/>
      <c r="I554" s="223"/>
      <c r="J554" s="345"/>
      <c r="K554" s="264"/>
      <c r="L554" s="252"/>
      <c r="M554" s="253"/>
      <c r="N554" s="265"/>
    </row>
    <row r="555" spans="2:14" x14ac:dyDescent="0.3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3">
      <c r="B556" s="245"/>
      <c r="C556" s="255"/>
      <c r="D556" s="247"/>
      <c r="E556" s="248"/>
      <c r="F556" s="248"/>
      <c r="G556" s="199"/>
      <c r="H556" s="202"/>
      <c r="I556" s="223"/>
      <c r="J556" s="345"/>
      <c r="K556" s="266"/>
      <c r="L556" s="252"/>
      <c r="M556" s="253"/>
      <c r="N556" s="265"/>
    </row>
    <row r="557" spans="2:14" x14ac:dyDescent="0.3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3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3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3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3">
      <c r="B561" s="245"/>
      <c r="C561" s="255"/>
      <c r="D561" s="247"/>
      <c r="E561" s="248"/>
      <c r="F561" s="248"/>
      <c r="G561" s="199"/>
      <c r="H561" s="202"/>
      <c r="I561" s="223"/>
      <c r="J561" s="345"/>
      <c r="K561" s="266"/>
      <c r="L561" s="252"/>
      <c r="M561" s="253"/>
      <c r="N561" s="265"/>
    </row>
    <row r="562" spans="2:14" x14ac:dyDescent="0.3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3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3">
      <c r="B564" s="245"/>
      <c r="C564" s="255"/>
      <c r="D564" s="247"/>
      <c r="E564" s="248"/>
      <c r="F564" s="248"/>
      <c r="G564" s="199"/>
      <c r="H564" s="202"/>
      <c r="I564" s="223"/>
      <c r="J564" s="345"/>
      <c r="K564" s="266"/>
      <c r="L564" s="252"/>
      <c r="M564" s="253"/>
      <c r="N564" s="265"/>
    </row>
    <row r="565" spans="2:14" x14ac:dyDescent="0.3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3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3">
      <c r="B567" s="245"/>
      <c r="C567" s="255"/>
      <c r="D567" s="247"/>
      <c r="E567" s="248"/>
      <c r="F567" s="248"/>
      <c r="G567" s="199"/>
      <c r="H567" s="202"/>
      <c r="I567" s="223"/>
      <c r="J567" s="345"/>
      <c r="K567" s="266"/>
      <c r="L567" s="252"/>
      <c r="M567" s="253"/>
      <c r="N567" s="265"/>
    </row>
    <row r="568" spans="2:14" x14ac:dyDescent="0.3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3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3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3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3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3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3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3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3">
      <c r="B576" s="245"/>
      <c r="C576" s="246"/>
      <c r="D576" s="245"/>
      <c r="E576" s="248"/>
      <c r="F576" s="248"/>
      <c r="G576" s="261"/>
      <c r="H576" s="202"/>
      <c r="I576" s="223"/>
      <c r="J576" s="345"/>
      <c r="K576" s="266"/>
      <c r="L576" s="252"/>
      <c r="M576" s="253"/>
      <c r="N576" s="265"/>
    </row>
    <row r="577" spans="2:14" x14ac:dyDescent="0.3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3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3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3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3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3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3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3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3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3">
      <c r="B586" s="245"/>
      <c r="C586" s="255"/>
      <c r="D586" s="245"/>
      <c r="E586" s="248"/>
      <c r="F586" s="248"/>
      <c r="G586" s="201"/>
      <c r="H586" s="202"/>
      <c r="I586" s="223"/>
      <c r="J586" s="345"/>
      <c r="K586" s="266"/>
      <c r="L586" s="252"/>
      <c r="M586" s="253"/>
      <c r="N586" s="265"/>
    </row>
    <row r="587" spans="2:14" x14ac:dyDescent="0.3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3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3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3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3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3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3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3">
      <c r="B594" s="245"/>
      <c r="C594" s="255"/>
      <c r="D594" s="247"/>
      <c r="E594" s="248"/>
      <c r="F594" s="248"/>
      <c r="G594" s="199"/>
      <c r="H594" s="202"/>
      <c r="I594" s="223"/>
      <c r="J594" s="345"/>
      <c r="K594" s="266"/>
      <c r="L594" s="252"/>
      <c r="M594" s="253"/>
      <c r="N594" s="265"/>
    </row>
    <row r="595" spans="2:14" x14ac:dyDescent="0.3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3">
      <c r="B596" s="245"/>
      <c r="C596" s="246"/>
      <c r="D596" s="247"/>
      <c r="E596" s="248"/>
      <c r="F596" s="248"/>
      <c r="G596" s="254"/>
      <c r="H596" s="202"/>
      <c r="I596" s="223"/>
      <c r="J596" s="345"/>
      <c r="K596" s="264"/>
      <c r="L596" s="252"/>
      <c r="M596" s="253"/>
      <c r="N596" s="265"/>
    </row>
    <row r="597" spans="2:14" x14ac:dyDescent="0.3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3">
      <c r="B598" s="245"/>
      <c r="C598" s="246"/>
      <c r="D598" s="245"/>
      <c r="E598" s="248"/>
      <c r="F598" s="248"/>
      <c r="G598" s="261"/>
      <c r="H598" s="202"/>
      <c r="I598" s="223"/>
      <c r="J598" s="345"/>
      <c r="K598" s="266"/>
      <c r="L598" s="252"/>
      <c r="M598" s="253"/>
      <c r="N598" s="265"/>
    </row>
    <row r="599" spans="2:14" x14ac:dyDescent="0.3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3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3">
      <c r="B601" s="245"/>
      <c r="C601" s="246"/>
      <c r="D601" s="247"/>
      <c r="E601" s="248"/>
      <c r="F601" s="248"/>
      <c r="G601" s="254"/>
      <c r="H601" s="202"/>
      <c r="I601" s="223"/>
      <c r="J601" s="345"/>
      <c r="K601" s="264"/>
      <c r="L601" s="252"/>
      <c r="M601" s="253"/>
      <c r="N601" s="265"/>
    </row>
    <row r="602" spans="2:14" x14ac:dyDescent="0.3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3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3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3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3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3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3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3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3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3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3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3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3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3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3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3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3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3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3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3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3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3">
      <c r="B623" s="245"/>
      <c r="C623" s="255"/>
      <c r="D623" s="247"/>
      <c r="E623" s="248"/>
      <c r="F623" s="248"/>
      <c r="G623" s="199"/>
      <c r="H623" s="202"/>
      <c r="I623" s="223"/>
      <c r="J623" s="345"/>
      <c r="K623" s="266"/>
      <c r="L623" s="252"/>
      <c r="M623" s="253"/>
      <c r="N623" s="265"/>
    </row>
    <row r="624" spans="2:14" x14ac:dyDescent="0.3">
      <c r="B624" s="245"/>
      <c r="C624" s="255"/>
      <c r="D624" s="247"/>
      <c r="E624" s="248"/>
      <c r="F624" s="248"/>
      <c r="G624" s="199"/>
      <c r="H624" s="202"/>
      <c r="I624" s="223"/>
      <c r="J624" s="345"/>
      <c r="K624" s="266"/>
      <c r="L624" s="252"/>
      <c r="M624" s="253"/>
      <c r="N624" s="265"/>
    </row>
    <row r="625" spans="2:14" x14ac:dyDescent="0.3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3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3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3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3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3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3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3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3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3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3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3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3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3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3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3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3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3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3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3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3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3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3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3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3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3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3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3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3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3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3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3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3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3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3">
      <c r="B659" s="245"/>
      <c r="C659" s="246"/>
      <c r="D659" s="245"/>
      <c r="E659" s="248"/>
      <c r="F659" s="248"/>
      <c r="G659" s="261"/>
      <c r="H659" s="202"/>
      <c r="I659" s="223"/>
      <c r="J659" s="345"/>
      <c r="K659" s="266"/>
      <c r="L659" s="252"/>
      <c r="M659" s="253"/>
      <c r="N659" s="265"/>
    </row>
    <row r="660" spans="2:14" x14ac:dyDescent="0.3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3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3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3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3">
      <c r="B664" s="245"/>
      <c r="C664" s="255"/>
      <c r="D664" s="247"/>
      <c r="E664" s="248"/>
      <c r="F664" s="248"/>
      <c r="G664" s="199"/>
      <c r="H664" s="202"/>
      <c r="I664" s="223"/>
      <c r="J664" s="345"/>
      <c r="K664" s="266"/>
      <c r="L664" s="252"/>
      <c r="M664" s="253"/>
      <c r="N664" s="265"/>
    </row>
    <row r="665" spans="2:14" x14ac:dyDescent="0.3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3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3">
      <c r="B667" s="245"/>
      <c r="C667" s="246"/>
      <c r="D667" s="245"/>
      <c r="E667" s="248"/>
      <c r="F667" s="248"/>
      <c r="G667" s="261"/>
      <c r="H667" s="202"/>
      <c r="I667" s="223"/>
      <c r="J667" s="345"/>
      <c r="K667" s="266"/>
      <c r="L667" s="252"/>
      <c r="M667" s="253"/>
      <c r="N667" s="265"/>
    </row>
    <row r="668" spans="2:14" x14ac:dyDescent="0.3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3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3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3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3">
      <c r="B672" s="245"/>
      <c r="C672" s="246"/>
      <c r="D672" s="247"/>
      <c r="E672" s="248"/>
      <c r="F672" s="248"/>
      <c r="G672" s="254"/>
      <c r="H672" s="202"/>
      <c r="I672" s="223"/>
      <c r="J672" s="345"/>
      <c r="K672" s="264"/>
      <c r="L672" s="252"/>
      <c r="M672" s="253"/>
      <c r="N672" s="265"/>
    </row>
    <row r="673" spans="2:14" x14ac:dyDescent="0.3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3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3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3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3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3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3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3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3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3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3">
      <c r="B683" s="245"/>
      <c r="C683" s="255"/>
      <c r="D683" s="245"/>
      <c r="E683" s="248"/>
      <c r="F683" s="248"/>
      <c r="G683" s="201"/>
      <c r="H683" s="202"/>
      <c r="I683" s="223"/>
      <c r="J683" s="345"/>
      <c r="K683" s="266"/>
      <c r="L683" s="252"/>
      <c r="M683" s="253"/>
      <c r="N683" s="265"/>
    </row>
    <row r="684" spans="2:14" x14ac:dyDescent="0.3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3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3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3">
      <c r="B687" s="245"/>
      <c r="C687" s="255"/>
      <c r="D687" s="247"/>
      <c r="E687" s="248"/>
      <c r="F687" s="248"/>
      <c r="G687" s="199"/>
      <c r="H687" s="202"/>
      <c r="I687" s="223"/>
      <c r="J687" s="345"/>
      <c r="K687" s="266"/>
      <c r="L687" s="252"/>
      <c r="M687" s="253"/>
      <c r="N687" s="265"/>
    </row>
    <row r="688" spans="2:14" x14ac:dyDescent="0.3">
      <c r="B688" s="245"/>
      <c r="C688" s="255"/>
      <c r="D688" s="247"/>
      <c r="E688" s="248"/>
      <c r="F688" s="248"/>
      <c r="G688" s="199"/>
      <c r="H688" s="202"/>
      <c r="I688" s="223"/>
      <c r="J688" s="345"/>
      <c r="K688" s="266"/>
      <c r="L688" s="252"/>
      <c r="M688" s="253"/>
      <c r="N688" s="265"/>
    </row>
    <row r="689" spans="2:14" x14ac:dyDescent="0.3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3">
      <c r="B690" s="245"/>
      <c r="C690" s="255"/>
      <c r="D690" s="247"/>
      <c r="E690" s="248"/>
      <c r="F690" s="248"/>
      <c r="G690" s="199"/>
      <c r="H690" s="202"/>
      <c r="I690" s="223"/>
      <c r="J690" s="345"/>
      <c r="K690" s="264"/>
      <c r="L690" s="252"/>
      <c r="M690" s="253"/>
      <c r="N690" s="265"/>
    </row>
    <row r="691" spans="2:14" x14ac:dyDescent="0.3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3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3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3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3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3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3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3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3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3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3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3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3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3">
      <c r="B704" s="245"/>
      <c r="C704" s="246"/>
      <c r="D704" s="247"/>
      <c r="E704" s="248"/>
      <c r="F704" s="248"/>
      <c r="G704" s="254"/>
      <c r="H704" s="202"/>
      <c r="I704" s="223"/>
      <c r="J704" s="345"/>
      <c r="K704" s="264"/>
      <c r="L704" s="252"/>
      <c r="M704" s="253"/>
      <c r="N704" s="265"/>
    </row>
    <row r="705" spans="2:14" x14ac:dyDescent="0.3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3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3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3">
      <c r="B708" s="245"/>
      <c r="C708" s="255"/>
      <c r="D708" s="247"/>
      <c r="E708" s="248"/>
      <c r="F708" s="248"/>
      <c r="G708" s="199"/>
      <c r="H708" s="202"/>
      <c r="I708" s="223"/>
      <c r="J708" s="345"/>
      <c r="K708" s="266"/>
      <c r="L708" s="252"/>
      <c r="M708" s="253"/>
      <c r="N708" s="265"/>
    </row>
    <row r="709" spans="2:14" x14ac:dyDescent="0.3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3">
      <c r="B710" s="245"/>
      <c r="C710" s="255"/>
      <c r="D710" s="247"/>
      <c r="E710" s="248"/>
      <c r="F710" s="248"/>
      <c r="G710" s="199"/>
      <c r="H710" s="202"/>
      <c r="I710" s="223"/>
      <c r="J710" s="345"/>
      <c r="K710" s="266"/>
      <c r="L710" s="252"/>
      <c r="M710" s="253"/>
      <c r="N710" s="265"/>
    </row>
    <row r="711" spans="2:14" x14ac:dyDescent="0.3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3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3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3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3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3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3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3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3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3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3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3">
      <c r="B722" s="245"/>
      <c r="C722" s="255"/>
      <c r="D722" s="247"/>
      <c r="E722" s="248"/>
      <c r="F722" s="248"/>
      <c r="G722" s="199"/>
      <c r="H722" s="202"/>
      <c r="I722" s="223"/>
      <c r="J722" s="345"/>
      <c r="K722" s="266"/>
      <c r="L722" s="252"/>
      <c r="M722" s="253"/>
      <c r="N722" s="273"/>
    </row>
    <row r="723" spans="2:14" x14ac:dyDescent="0.3">
      <c r="B723" s="245"/>
      <c r="C723" s="255"/>
      <c r="D723" s="245"/>
      <c r="E723" s="248"/>
      <c r="F723" s="248"/>
      <c r="G723" s="201"/>
      <c r="H723" s="202"/>
      <c r="I723" s="223"/>
      <c r="J723" s="345"/>
      <c r="K723" s="266"/>
      <c r="L723" s="252"/>
      <c r="M723" s="253"/>
      <c r="N723" s="203"/>
    </row>
    <row r="724" spans="2:14" x14ac:dyDescent="0.3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3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3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3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03"/>
    </row>
    <row r="728" spans="2:14" x14ac:dyDescent="0.3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3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3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3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3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3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3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03"/>
    </row>
    <row r="735" spans="2:14" x14ac:dyDescent="0.3">
      <c r="B735" s="245"/>
      <c r="C735" s="246"/>
      <c r="D735" s="247"/>
      <c r="E735" s="248"/>
      <c r="F735" s="248"/>
      <c r="G735" s="254"/>
      <c r="H735" s="202"/>
      <c r="I735" s="223"/>
      <c r="J735" s="345"/>
      <c r="K735" s="264"/>
      <c r="L735" s="252"/>
      <c r="M735" s="253"/>
      <c r="N735" s="203"/>
    </row>
    <row r="736" spans="2:14" x14ac:dyDescent="0.3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03"/>
    </row>
    <row r="737" spans="2:14" x14ac:dyDescent="0.3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3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3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03"/>
    </row>
    <row r="740" spans="2:14" x14ac:dyDescent="0.3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3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3">
      <c r="B742" s="245"/>
      <c r="C742" s="246"/>
      <c r="D742" s="245"/>
      <c r="E742" s="248"/>
      <c r="F742" s="248"/>
      <c r="G742" s="261"/>
      <c r="H742" s="202"/>
      <c r="I742" s="223"/>
      <c r="J742" s="345"/>
      <c r="K742" s="266"/>
      <c r="L742" s="252"/>
      <c r="M742" s="253"/>
      <c r="N742" s="203"/>
    </row>
    <row r="743" spans="2:14" x14ac:dyDescent="0.3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3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3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3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3">
      <c r="B747" s="245"/>
      <c r="C747" s="246"/>
      <c r="D747" s="245"/>
      <c r="E747" s="248"/>
      <c r="F747" s="248"/>
      <c r="G747" s="261"/>
      <c r="H747" s="202"/>
      <c r="I747" s="223"/>
      <c r="J747" s="345"/>
      <c r="K747" s="266"/>
      <c r="L747" s="252"/>
      <c r="M747" s="253"/>
      <c r="N747" s="203"/>
    </row>
    <row r="748" spans="2:14" x14ac:dyDescent="0.3">
      <c r="B748" s="245"/>
      <c r="C748" s="255"/>
      <c r="D748" s="245"/>
      <c r="E748" s="248"/>
      <c r="F748" s="248"/>
      <c r="G748" s="201"/>
      <c r="H748" s="202"/>
      <c r="I748" s="223"/>
      <c r="J748" s="345"/>
      <c r="K748" s="266"/>
      <c r="L748" s="252"/>
      <c r="M748" s="253"/>
      <c r="N748" s="203"/>
    </row>
    <row r="749" spans="2:14" x14ac:dyDescent="0.3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3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3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3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3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3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3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3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3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3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3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3">
      <c r="B760" s="245"/>
      <c r="C760" s="255"/>
      <c r="D760" s="247"/>
      <c r="E760" s="248"/>
      <c r="F760" s="248"/>
      <c r="G760" s="254"/>
      <c r="H760" s="202"/>
      <c r="I760" s="223"/>
      <c r="J760" s="345"/>
      <c r="K760" s="264"/>
      <c r="L760" s="252"/>
      <c r="M760" s="253"/>
      <c r="N760" s="203"/>
    </row>
    <row r="761" spans="2:14" x14ac:dyDescent="0.3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3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3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3">
      <c r="B764" s="245"/>
      <c r="C764" s="255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3">
      <c r="B765" s="245"/>
      <c r="C765" s="255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3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3">
      <c r="B767" s="245"/>
      <c r="C767" s="255"/>
      <c r="D767" s="247"/>
      <c r="E767" s="248"/>
      <c r="F767" s="248"/>
      <c r="G767" s="199"/>
      <c r="H767" s="202"/>
      <c r="I767" s="223"/>
      <c r="J767" s="345"/>
      <c r="K767" s="266"/>
      <c r="L767" s="252"/>
      <c r="M767" s="253"/>
      <c r="N767" s="203"/>
    </row>
    <row r="768" spans="2:14" x14ac:dyDescent="0.3">
      <c r="B768" s="245"/>
      <c r="C768" s="255"/>
      <c r="D768" s="247"/>
      <c r="E768" s="248"/>
      <c r="F768" s="248"/>
      <c r="G768" s="199"/>
      <c r="H768" s="202"/>
      <c r="I768" s="223"/>
      <c r="J768" s="345"/>
      <c r="K768" s="266"/>
      <c r="L768" s="252"/>
      <c r="M768" s="253"/>
      <c r="N768" s="203"/>
    </row>
    <row r="769" spans="2:14" x14ac:dyDescent="0.3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3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3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3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3">
      <c r="B773" s="245"/>
      <c r="C773" s="255"/>
      <c r="D773" s="247"/>
      <c r="E773" s="248"/>
      <c r="F773" s="248"/>
      <c r="G773" s="199"/>
      <c r="H773" s="202"/>
      <c r="I773" s="223"/>
      <c r="J773" s="345"/>
      <c r="K773" s="266"/>
      <c r="L773" s="252"/>
      <c r="M773" s="253"/>
      <c r="N773" s="203"/>
    </row>
    <row r="774" spans="2:14" x14ac:dyDescent="0.3">
      <c r="B774" s="245"/>
      <c r="C774" s="255"/>
      <c r="D774" s="247"/>
      <c r="E774" s="248"/>
      <c r="F774" s="248"/>
      <c r="G774" s="199"/>
      <c r="H774" s="202"/>
      <c r="I774" s="223"/>
      <c r="J774" s="345"/>
      <c r="K774" s="266"/>
      <c r="L774" s="252"/>
      <c r="M774" s="253"/>
      <c r="N774" s="203"/>
    </row>
    <row r="775" spans="2:14" x14ac:dyDescent="0.3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3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3">
      <c r="B777" s="245"/>
      <c r="C777" s="246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3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3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3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3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3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3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3">
      <c r="B784" s="245"/>
      <c r="C784" s="246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3">
      <c r="B785" s="245"/>
      <c r="C785" s="246"/>
      <c r="D785" s="247"/>
      <c r="E785" s="248"/>
      <c r="F785" s="248"/>
      <c r="G785" s="254"/>
      <c r="H785" s="202"/>
      <c r="I785" s="223"/>
      <c r="J785" s="345"/>
      <c r="K785" s="264"/>
      <c r="L785" s="252"/>
      <c r="M785" s="253"/>
      <c r="N785" s="203"/>
    </row>
    <row r="786" spans="2:14" x14ac:dyDescent="0.3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3">
      <c r="B787" s="245"/>
      <c r="C787" s="246"/>
      <c r="D787" s="245"/>
      <c r="E787" s="248"/>
      <c r="F787" s="248"/>
      <c r="G787" s="261"/>
      <c r="H787" s="202"/>
      <c r="I787" s="223"/>
      <c r="J787" s="345"/>
      <c r="K787" s="266"/>
      <c r="L787" s="252"/>
      <c r="M787" s="253"/>
      <c r="N787" s="203"/>
    </row>
    <row r="788" spans="2:14" x14ac:dyDescent="0.3">
      <c r="B788" s="245"/>
      <c r="C788" s="255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3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3">
      <c r="B790" s="245"/>
      <c r="C790" s="246"/>
      <c r="D790" s="245"/>
      <c r="E790" s="248"/>
      <c r="F790" s="248"/>
      <c r="G790" s="261"/>
      <c r="H790" s="202"/>
      <c r="I790" s="223"/>
      <c r="J790" s="345"/>
      <c r="K790" s="266"/>
      <c r="L790" s="252"/>
      <c r="M790" s="253"/>
      <c r="N790" s="203"/>
    </row>
    <row r="791" spans="2:14" x14ac:dyDescent="0.3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3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3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3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3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3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3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3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3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3">
      <c r="B800" s="245"/>
      <c r="C800" s="255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3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3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3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3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3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3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3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3">
      <c r="B808" s="245"/>
      <c r="C808" s="255"/>
      <c r="D808" s="247"/>
      <c r="E808" s="248"/>
      <c r="F808" s="248"/>
      <c r="G808" s="199"/>
      <c r="H808" s="202"/>
      <c r="I808" s="223"/>
      <c r="J808" s="345"/>
      <c r="K808" s="266"/>
      <c r="L808" s="252"/>
      <c r="M808" s="253"/>
      <c r="N808" s="203"/>
    </row>
    <row r="809" spans="2:14" x14ac:dyDescent="0.3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3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3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3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3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3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3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3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3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3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3">
      <c r="B819" s="245"/>
      <c r="C819" s="246"/>
      <c r="D819" s="245"/>
      <c r="E819" s="248"/>
      <c r="F819" s="248"/>
      <c r="G819" s="261"/>
      <c r="H819" s="202"/>
      <c r="I819" s="223"/>
      <c r="J819" s="345"/>
      <c r="K819" s="266"/>
      <c r="L819" s="252"/>
      <c r="M819" s="253"/>
      <c r="N819" s="203"/>
    </row>
    <row r="820" spans="2:14" x14ac:dyDescent="0.3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3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3">
      <c r="B822" s="245"/>
      <c r="C822" s="246"/>
      <c r="D822" s="247"/>
      <c r="E822" s="248"/>
      <c r="F822" s="248"/>
      <c r="G822" s="254"/>
      <c r="H822" s="202"/>
      <c r="I822" s="223"/>
      <c r="J822" s="345"/>
      <c r="K822" s="264"/>
      <c r="L822" s="252"/>
      <c r="M822" s="253"/>
      <c r="N822" s="203"/>
    </row>
    <row r="823" spans="2:14" x14ac:dyDescent="0.3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3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3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3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3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3">
      <c r="B828" s="245"/>
      <c r="C828" s="246"/>
      <c r="D828" s="245"/>
      <c r="E828" s="248"/>
      <c r="F828" s="248"/>
      <c r="G828" s="261"/>
      <c r="H828" s="202"/>
      <c r="I828" s="223"/>
      <c r="J828" s="345"/>
      <c r="K828" s="264"/>
      <c r="L828" s="252"/>
      <c r="M828" s="253"/>
      <c r="N828" s="203"/>
    </row>
    <row r="829" spans="2:14" x14ac:dyDescent="0.3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3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3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3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3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3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3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3">
      <c r="B836" s="245"/>
      <c r="C836" s="246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3">
      <c r="B837" s="245"/>
      <c r="C837" s="246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3">
      <c r="B838" s="245"/>
      <c r="C838" s="255"/>
      <c r="D838" s="247"/>
      <c r="E838" s="248"/>
      <c r="F838" s="248"/>
      <c r="G838" s="254"/>
      <c r="H838" s="202"/>
      <c r="I838" s="223"/>
      <c r="J838" s="345"/>
      <c r="K838" s="267"/>
      <c r="L838" s="252"/>
      <c r="M838" s="253"/>
      <c r="N838" s="203"/>
    </row>
    <row r="839" spans="2:14" x14ac:dyDescent="0.3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3">
      <c r="B840" s="245"/>
      <c r="C840" s="255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3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3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3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3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3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3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3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3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3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3">
      <c r="B850" s="245"/>
      <c r="C850" s="255"/>
      <c r="D850" s="247"/>
      <c r="E850" s="248"/>
      <c r="F850" s="248"/>
      <c r="G850" s="199"/>
      <c r="H850" s="202"/>
      <c r="I850" s="223"/>
      <c r="J850" s="345"/>
      <c r="K850" s="266"/>
      <c r="L850" s="252"/>
      <c r="M850" s="253"/>
      <c r="N850" s="203"/>
    </row>
    <row r="851" spans="2:14" x14ac:dyDescent="0.3">
      <c r="B851" s="245"/>
      <c r="C851" s="255"/>
      <c r="D851" s="247"/>
      <c r="E851" s="248"/>
      <c r="F851" s="248"/>
      <c r="G851" s="199"/>
      <c r="H851" s="202"/>
      <c r="I851" s="223"/>
      <c r="J851" s="345"/>
      <c r="K851" s="266"/>
      <c r="L851" s="252"/>
      <c r="M851" s="253"/>
      <c r="N851" s="203"/>
    </row>
    <row r="852" spans="2:14" x14ac:dyDescent="0.3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3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3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3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3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3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3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3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3">
      <c r="B860" s="245"/>
      <c r="C860" s="255"/>
      <c r="D860" s="247"/>
      <c r="E860" s="248"/>
      <c r="F860" s="248"/>
      <c r="G860" s="199"/>
      <c r="H860" s="202"/>
      <c r="I860" s="223"/>
      <c r="J860" s="345"/>
      <c r="K860" s="266"/>
      <c r="L860" s="252"/>
      <c r="M860" s="253"/>
      <c r="N860" s="203"/>
    </row>
    <row r="861" spans="2:14" x14ac:dyDescent="0.3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3">
      <c r="B862" s="245"/>
      <c r="C862" s="255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3">
      <c r="B863" s="245"/>
      <c r="C863" s="246"/>
      <c r="D863" s="247"/>
      <c r="E863" s="248"/>
      <c r="F863" s="248"/>
      <c r="G863" s="254"/>
      <c r="H863" s="202"/>
      <c r="I863" s="223"/>
      <c r="J863" s="345"/>
      <c r="K863" s="274"/>
      <c r="L863" s="252"/>
      <c r="M863" s="253"/>
      <c r="N863" s="203"/>
    </row>
    <row r="864" spans="2:14" x14ac:dyDescent="0.3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3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3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3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3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3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3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3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3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3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3">
      <c r="B874" s="245"/>
      <c r="C874" s="246"/>
      <c r="D874" s="245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3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3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3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3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3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3">
      <c r="B880" s="245"/>
      <c r="C880" s="255"/>
      <c r="D880" s="247"/>
      <c r="E880" s="248"/>
      <c r="F880" s="248"/>
      <c r="G880" s="199"/>
      <c r="H880" s="202"/>
      <c r="I880" s="223"/>
      <c r="J880" s="345"/>
      <c r="K880" s="266"/>
      <c r="L880" s="252"/>
      <c r="M880" s="253"/>
      <c r="N880" s="203"/>
    </row>
    <row r="881" spans="2:14" x14ac:dyDescent="0.3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3">
      <c r="B882" s="245"/>
      <c r="C882" s="255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3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3">
      <c r="B884" s="245"/>
      <c r="C884" s="255"/>
      <c r="D884" s="247"/>
      <c r="E884" s="248"/>
      <c r="F884" s="248"/>
      <c r="G884" s="254"/>
      <c r="H884" s="202"/>
      <c r="I884" s="223"/>
      <c r="J884" s="345"/>
      <c r="K884" s="267"/>
      <c r="L884" s="252"/>
      <c r="M884" s="253"/>
      <c r="N884" s="203"/>
    </row>
    <row r="885" spans="2:14" x14ac:dyDescent="0.3">
      <c r="B885" s="245"/>
      <c r="C885" s="255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3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3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3">
      <c r="B888" s="245"/>
      <c r="C888" s="255"/>
      <c r="D888" s="247"/>
      <c r="E888" s="248"/>
      <c r="F888" s="248"/>
      <c r="G888" s="199"/>
      <c r="H888" s="202"/>
      <c r="I888" s="223"/>
      <c r="J888" s="345"/>
      <c r="K888" s="266"/>
      <c r="L888" s="252"/>
      <c r="M888" s="253"/>
      <c r="N888" s="203"/>
    </row>
    <row r="889" spans="2:14" x14ac:dyDescent="0.3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3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3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3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3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3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3">
      <c r="B895" s="245"/>
      <c r="C895" s="255"/>
      <c r="D895" s="247"/>
      <c r="E895" s="248"/>
      <c r="F895" s="248"/>
      <c r="G895" s="199"/>
      <c r="H895" s="202"/>
      <c r="I895" s="223"/>
      <c r="J895" s="345"/>
      <c r="K895" s="266"/>
      <c r="L895" s="252"/>
      <c r="M895" s="253"/>
      <c r="N895" s="203"/>
    </row>
    <row r="896" spans="2:14" x14ac:dyDescent="0.3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3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3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3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3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3">
      <c r="B901" s="245"/>
      <c r="C901" s="255"/>
      <c r="D901" s="247"/>
      <c r="E901" s="248"/>
      <c r="F901" s="248"/>
      <c r="G901" s="199"/>
      <c r="H901" s="202"/>
      <c r="I901" s="223"/>
      <c r="J901" s="345"/>
      <c r="K901" s="266"/>
      <c r="L901" s="252"/>
      <c r="M901" s="253"/>
      <c r="N901" s="203"/>
    </row>
    <row r="902" spans="2:14" x14ac:dyDescent="0.3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3">
      <c r="B903" s="245"/>
      <c r="C903" s="246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3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3">
      <c r="B905" s="245"/>
      <c r="C905" s="255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3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3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3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3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3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3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3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3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3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3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3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3">
      <c r="B917" s="245"/>
      <c r="C917" s="246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3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3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3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3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3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3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3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3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3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3">
      <c r="B927" s="245"/>
      <c r="C927" s="255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3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3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3">
      <c r="B930" s="245"/>
      <c r="C930" s="255"/>
      <c r="D930" s="247"/>
      <c r="E930" s="248"/>
      <c r="F930" s="248"/>
      <c r="G930" s="199"/>
      <c r="H930" s="202"/>
      <c r="I930" s="223"/>
      <c r="J930" s="345"/>
      <c r="K930" s="266"/>
      <c r="L930" s="252"/>
      <c r="M930" s="253"/>
      <c r="N930" s="203"/>
    </row>
    <row r="931" spans="2:14" x14ac:dyDescent="0.3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3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3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3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3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3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3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3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3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3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3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3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3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3">
      <c r="B944" s="245"/>
      <c r="C944" s="255"/>
      <c r="D944" s="247"/>
      <c r="E944" s="248"/>
      <c r="F944" s="248"/>
      <c r="G944" s="199"/>
      <c r="H944" s="202"/>
      <c r="I944" s="223"/>
      <c r="J944" s="345"/>
      <c r="K944" s="266"/>
      <c r="L944" s="252"/>
      <c r="M944" s="253"/>
      <c r="N944" s="203"/>
    </row>
    <row r="945" spans="2:14" x14ac:dyDescent="0.3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3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3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3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3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3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3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3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3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3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3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3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3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3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3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3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3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3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3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3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3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3">
      <c r="B966" s="245"/>
      <c r="C966" s="255"/>
      <c r="D966" s="247"/>
      <c r="E966" s="248"/>
      <c r="F966" s="248"/>
      <c r="G966" s="199"/>
      <c r="H966" s="202"/>
      <c r="I966" s="223"/>
      <c r="J966" s="345"/>
      <c r="K966" s="266"/>
      <c r="L966" s="252"/>
      <c r="M966" s="253"/>
      <c r="N966" s="203"/>
    </row>
    <row r="967" spans="2:14" x14ac:dyDescent="0.3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3">
      <c r="B968" s="245"/>
      <c r="C968" s="255"/>
      <c r="D968" s="247"/>
      <c r="E968" s="248"/>
      <c r="F968" s="248"/>
      <c r="G968" s="199"/>
      <c r="H968" s="202"/>
      <c r="I968" s="223"/>
      <c r="J968" s="345"/>
      <c r="K968" s="266"/>
      <c r="L968" s="252"/>
      <c r="M968" s="253"/>
      <c r="N968" s="203"/>
    </row>
    <row r="969" spans="2:14" x14ac:dyDescent="0.3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3">
      <c r="B970" s="245"/>
      <c r="C970" s="255"/>
      <c r="D970" s="247"/>
      <c r="E970" s="248"/>
      <c r="F970" s="248"/>
      <c r="G970" s="199"/>
      <c r="H970" s="202"/>
      <c r="I970" s="223"/>
      <c r="J970" s="345"/>
      <c r="K970" s="266"/>
      <c r="L970" s="252"/>
      <c r="M970" s="253"/>
      <c r="N970" s="203"/>
    </row>
    <row r="971" spans="2:14" x14ac:dyDescent="0.3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3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3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3">
      <c r="B974" s="245"/>
      <c r="C974" s="255"/>
      <c r="D974" s="247"/>
      <c r="E974" s="248"/>
      <c r="F974" s="248"/>
      <c r="G974" s="199"/>
      <c r="H974" s="202"/>
      <c r="I974" s="223"/>
      <c r="J974" s="345"/>
      <c r="K974" s="266"/>
      <c r="L974" s="252"/>
      <c r="M974" s="253"/>
      <c r="N974" s="203"/>
    </row>
    <row r="975" spans="2:14" x14ac:dyDescent="0.3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3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3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3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3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3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3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3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3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3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3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3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3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3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3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3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3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3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3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3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3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3">
      <c r="B996" s="245"/>
      <c r="C996" s="255"/>
      <c r="D996" s="245"/>
      <c r="E996" s="248"/>
      <c r="F996" s="248"/>
      <c r="G996" s="261"/>
      <c r="H996" s="202"/>
      <c r="I996" s="223"/>
      <c r="J996" s="345"/>
      <c r="K996" s="266"/>
      <c r="L996" s="252"/>
      <c r="M996" s="253"/>
      <c r="N996" s="203"/>
    </row>
    <row r="997" spans="2:14" x14ac:dyDescent="0.3">
      <c r="B997" s="245"/>
      <c r="C997" s="255"/>
      <c r="D997" s="245"/>
      <c r="E997" s="248"/>
      <c r="F997" s="248"/>
      <c r="G997" s="261"/>
      <c r="H997" s="202"/>
      <c r="I997" s="223"/>
      <c r="J997" s="345"/>
      <c r="K997" s="266"/>
      <c r="L997" s="252"/>
      <c r="M997" s="253"/>
      <c r="N997" s="203"/>
    </row>
    <row r="998" spans="2:14" x14ac:dyDescent="0.3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3">
      <c r="B999" s="245"/>
      <c r="C999" s="255"/>
      <c r="D999" s="247"/>
      <c r="E999" s="248"/>
      <c r="F999" s="248"/>
      <c r="G999" s="201"/>
      <c r="H999" s="202"/>
      <c r="I999" s="223"/>
      <c r="J999" s="345"/>
      <c r="K999" s="266"/>
      <c r="L999" s="252"/>
      <c r="M999" s="253"/>
      <c r="N999" s="203"/>
    </row>
    <row r="1000" spans="2:14" x14ac:dyDescent="0.3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4"/>
      <c r="L1000" s="252"/>
      <c r="M1000" s="253"/>
      <c r="N1000" s="203"/>
    </row>
    <row r="1001" spans="2:14" x14ac:dyDescent="0.3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3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3">
      <c r="B1003" s="245"/>
      <c r="C1003" s="255"/>
      <c r="D1003" s="247"/>
      <c r="E1003" s="248"/>
      <c r="F1003" s="248"/>
      <c r="G1003" s="201"/>
      <c r="H1003" s="202"/>
      <c r="I1003" s="223"/>
      <c r="J1003" s="345"/>
      <c r="K1003" s="266"/>
      <c r="L1003" s="252"/>
      <c r="M1003" s="253"/>
      <c r="N1003" s="203"/>
    </row>
    <row r="1004" spans="2:14" x14ac:dyDescent="0.3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3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3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3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3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3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3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3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3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3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3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3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3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3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3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3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3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3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3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3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3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3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3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3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3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3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3">
      <c r="B1030" s="245"/>
      <c r="C1030" s="255"/>
      <c r="D1030" s="245"/>
      <c r="E1030" s="248"/>
      <c r="F1030" s="248"/>
      <c r="G1030" s="261"/>
      <c r="H1030" s="202"/>
      <c r="I1030" s="223"/>
      <c r="J1030" s="345"/>
      <c r="K1030" s="266"/>
      <c r="L1030" s="252"/>
      <c r="M1030" s="253"/>
      <c r="N1030" s="203"/>
    </row>
    <row r="1031" spans="2:14" x14ac:dyDescent="0.3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3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3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3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3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3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3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3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3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3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3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3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3">
      <c r="B1043" s="245"/>
      <c r="C1043" s="255"/>
      <c r="D1043" s="245"/>
      <c r="E1043" s="248"/>
      <c r="F1043" s="248"/>
      <c r="G1043" s="261"/>
      <c r="H1043" s="202"/>
      <c r="I1043" s="223"/>
      <c r="J1043" s="345"/>
      <c r="K1043" s="264"/>
      <c r="L1043" s="252"/>
      <c r="M1043" s="253"/>
      <c r="N1043" s="203"/>
    </row>
    <row r="1044" spans="2:14" x14ac:dyDescent="0.3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3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3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3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3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3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3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3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3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3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3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3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3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3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3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3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3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3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3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3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3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3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3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3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3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3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03"/>
      <c r="M1069" s="253"/>
      <c r="N1069" s="203"/>
    </row>
    <row r="1070" spans="2:14" x14ac:dyDescent="0.3">
      <c r="B1070" s="245"/>
      <c r="C1070" s="255"/>
      <c r="D1070" s="247"/>
      <c r="E1070" s="248"/>
      <c r="F1070" s="248"/>
      <c r="G1070" s="199"/>
      <c r="H1070" s="202"/>
      <c r="I1070" s="223"/>
      <c r="J1070" s="345"/>
      <c r="K1070" s="266"/>
      <c r="L1070" s="252"/>
      <c r="M1070" s="253"/>
      <c r="N1070" s="203"/>
    </row>
    <row r="1071" spans="2:14" x14ac:dyDescent="0.3">
      <c r="B1071" s="245"/>
      <c r="C1071" s="255"/>
      <c r="D1071" s="245"/>
      <c r="E1071" s="275"/>
      <c r="F1071" s="275"/>
      <c r="G1071" s="205"/>
      <c r="H1071" s="202"/>
      <c r="I1071" s="223"/>
      <c r="J1071" s="345"/>
      <c r="K1071" s="266"/>
      <c r="L1071" s="252"/>
      <c r="M1071" s="253"/>
      <c r="N1071" s="203"/>
    </row>
    <row r="1072" spans="2:14" x14ac:dyDescent="0.3">
      <c r="B1072" s="245"/>
      <c r="C1072" s="255"/>
      <c r="D1072" s="247"/>
      <c r="E1072" s="248"/>
      <c r="F1072" s="248"/>
      <c r="G1072" s="199"/>
      <c r="H1072" s="202"/>
      <c r="I1072" s="223"/>
      <c r="J1072" s="345"/>
      <c r="K1072" s="266"/>
      <c r="L1072" s="252"/>
      <c r="M1072" s="253"/>
      <c r="N1072" s="203"/>
    </row>
    <row r="1073" spans="2:14" x14ac:dyDescent="0.3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3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3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3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3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3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3">
      <c r="B1079" s="245"/>
      <c r="C1079" s="255"/>
      <c r="D1079" s="245"/>
      <c r="E1079" s="248"/>
      <c r="F1079" s="248"/>
      <c r="G1079" s="205"/>
      <c r="H1079" s="202"/>
      <c r="I1079" s="223"/>
      <c r="J1079" s="345"/>
      <c r="K1079" s="266"/>
      <c r="L1079" s="252"/>
      <c r="M1079" s="253"/>
      <c r="N1079" s="203"/>
    </row>
    <row r="1080" spans="2:14" x14ac:dyDescent="0.3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3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3">
      <c r="B1082" s="245"/>
      <c r="C1082" s="255"/>
      <c r="D1082" s="247"/>
      <c r="E1082" s="248"/>
      <c r="F1082" s="248"/>
      <c r="G1082" s="199"/>
      <c r="H1082" s="202"/>
      <c r="I1082" s="223"/>
      <c r="J1082" s="345"/>
      <c r="K1082" s="266"/>
      <c r="L1082" s="252"/>
      <c r="M1082" s="253"/>
      <c r="N1082" s="203"/>
    </row>
    <row r="1083" spans="2:14" x14ac:dyDescent="0.3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3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3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3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3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3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3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3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3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3">
      <c r="B1092" s="245"/>
      <c r="C1092" s="255"/>
      <c r="D1092" s="247"/>
      <c r="E1092" s="248"/>
      <c r="F1092" s="248"/>
      <c r="G1092" s="199"/>
      <c r="H1092" s="202"/>
      <c r="I1092" s="223"/>
      <c r="J1092" s="345"/>
      <c r="K1092" s="266"/>
      <c r="L1092" s="252"/>
      <c r="M1092" s="253"/>
      <c r="N1092" s="203"/>
    </row>
    <row r="1093" spans="2:14" x14ac:dyDescent="0.3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3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3">
      <c r="B1095" s="245"/>
      <c r="C1095" s="255"/>
      <c r="D1095" s="247"/>
      <c r="E1095" s="248"/>
      <c r="F1095" s="248"/>
      <c r="G1095" s="199"/>
      <c r="H1095" s="202"/>
      <c r="I1095" s="223"/>
      <c r="J1095" s="345"/>
      <c r="K1095" s="266"/>
      <c r="L1095" s="252"/>
      <c r="M1095" s="253"/>
      <c r="N1095" s="203"/>
    </row>
    <row r="1096" spans="2:14" x14ac:dyDescent="0.3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3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3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3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3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03"/>
      <c r="M1100" s="253"/>
      <c r="N1100" s="203"/>
    </row>
    <row r="1101" spans="2:14" x14ac:dyDescent="0.3">
      <c r="B1101" s="245"/>
      <c r="C1101" s="255"/>
      <c r="D1101" s="245"/>
      <c r="E1101" s="248"/>
      <c r="F1101" s="248"/>
      <c r="G1101" s="205"/>
      <c r="H1101" s="202"/>
      <c r="I1101" s="223"/>
      <c r="J1101" s="345"/>
      <c r="K1101" s="266"/>
      <c r="L1101" s="252"/>
      <c r="M1101" s="253"/>
      <c r="N1101" s="203"/>
    </row>
    <row r="1102" spans="2:14" x14ac:dyDescent="0.3">
      <c r="B1102" s="245"/>
      <c r="C1102" s="255"/>
      <c r="D1102" s="247"/>
      <c r="E1102" s="248"/>
      <c r="F1102" s="248"/>
      <c r="G1102" s="199"/>
      <c r="H1102" s="202"/>
      <c r="I1102" s="223"/>
      <c r="J1102" s="345"/>
      <c r="K1102" s="266"/>
      <c r="L1102" s="252"/>
      <c r="M1102" s="253"/>
      <c r="N1102" s="203"/>
    </row>
    <row r="1103" spans="2:14" x14ac:dyDescent="0.3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3">
      <c r="B1104" s="245"/>
      <c r="C1104" s="255"/>
      <c r="D1104" s="247"/>
      <c r="E1104" s="248"/>
      <c r="F1104" s="248"/>
      <c r="G1104" s="199"/>
      <c r="H1104" s="202"/>
      <c r="I1104" s="223"/>
      <c r="J1104" s="345"/>
      <c r="K1104" s="266"/>
      <c r="L1104" s="252"/>
      <c r="M1104" s="253"/>
      <c r="N1104" s="203"/>
    </row>
    <row r="1105" spans="2:14" x14ac:dyDescent="0.3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3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3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3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3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3">
      <c r="B1110" s="245"/>
      <c r="C1110" s="255"/>
      <c r="D1110" s="245"/>
      <c r="E1110" s="248"/>
      <c r="F1110" s="248"/>
      <c r="G1110" s="206"/>
      <c r="H1110" s="202"/>
      <c r="I1110" s="223"/>
      <c r="J1110" s="345"/>
      <c r="K1110" s="266"/>
      <c r="L1110" s="252"/>
      <c r="M1110" s="253"/>
      <c r="N1110" s="203"/>
    </row>
    <row r="1111" spans="2:14" x14ac:dyDescent="0.3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3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3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3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3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3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3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3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3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3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3">
      <c r="B1121" s="245"/>
      <c r="C1121" s="276"/>
      <c r="D1121" s="276"/>
      <c r="E1121" s="248"/>
      <c r="F1121" s="277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3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3">
      <c r="B1123" s="245"/>
      <c r="C1123" s="255"/>
      <c r="D1123" s="245"/>
      <c r="E1123" s="248"/>
      <c r="F1123" s="248"/>
      <c r="G1123" s="201"/>
      <c r="H1123" s="202"/>
      <c r="I1123" s="223"/>
      <c r="J1123" s="345"/>
      <c r="K1123" s="266"/>
      <c r="L1123" s="252"/>
      <c r="M1123" s="253"/>
      <c r="N1123" s="203"/>
    </row>
    <row r="1124" spans="2:14" x14ac:dyDescent="0.3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3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3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3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4"/>
      <c r="L1127" s="252"/>
      <c r="M1127" s="253"/>
      <c r="N1127" s="203"/>
    </row>
    <row r="1128" spans="2:14" x14ac:dyDescent="0.3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3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74"/>
      <c r="L1129" s="252"/>
      <c r="M1129" s="253"/>
      <c r="N1129" s="203"/>
    </row>
    <row r="1130" spans="2:14" x14ac:dyDescent="0.3">
      <c r="B1130" s="245"/>
      <c r="C1130" s="255"/>
      <c r="D1130" s="245"/>
      <c r="E1130" s="248"/>
      <c r="F1130" s="248"/>
      <c r="G1130" s="261"/>
      <c r="H1130" s="202"/>
      <c r="I1130" s="223"/>
      <c r="J1130" s="345"/>
      <c r="K1130" s="266"/>
      <c r="L1130" s="252"/>
      <c r="M1130" s="253"/>
      <c r="N1130" s="203"/>
    </row>
    <row r="1131" spans="2:14" x14ac:dyDescent="0.3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74"/>
      <c r="L1131" s="252"/>
      <c r="M1131" s="253"/>
      <c r="N1131" s="203"/>
    </row>
    <row r="1132" spans="2:14" x14ac:dyDescent="0.3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3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3">
      <c r="B1134" s="245"/>
      <c r="C1134" s="255"/>
      <c r="D1134" s="247"/>
      <c r="E1134" s="248"/>
      <c r="F1134" s="248"/>
      <c r="G1134" s="199"/>
      <c r="H1134" s="202"/>
      <c r="I1134" s="223"/>
      <c r="J1134" s="345"/>
      <c r="K1134" s="266"/>
      <c r="L1134" s="252"/>
      <c r="M1134" s="253"/>
      <c r="N1134" s="203"/>
    </row>
    <row r="1135" spans="2:14" x14ac:dyDescent="0.3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3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3">
      <c r="B1137" s="245"/>
      <c r="C1137" s="255"/>
      <c r="D1137" s="247"/>
      <c r="E1137" s="248"/>
      <c r="F1137" s="248"/>
      <c r="G1137" s="261"/>
      <c r="H1137" s="202"/>
      <c r="I1137" s="223"/>
      <c r="J1137" s="345"/>
      <c r="K1137" s="266"/>
      <c r="L1137" s="252"/>
      <c r="M1137" s="253"/>
      <c r="N1137" s="203"/>
    </row>
    <row r="1138" spans="2:14" x14ac:dyDescent="0.3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3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4"/>
    </row>
    <row r="1140" spans="2:14" x14ac:dyDescent="0.3">
      <c r="B1140" s="245"/>
      <c r="C1140" s="255"/>
      <c r="D1140" s="247"/>
      <c r="E1140" s="248"/>
      <c r="F1140" s="248"/>
      <c r="G1140" s="199"/>
      <c r="H1140" s="202"/>
      <c r="I1140" s="223"/>
      <c r="J1140" s="345"/>
      <c r="K1140" s="266"/>
      <c r="L1140" s="252"/>
      <c r="M1140" s="253"/>
      <c r="N1140" s="204"/>
    </row>
    <row r="1141" spans="2:14" x14ac:dyDescent="0.3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3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3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3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4"/>
    </row>
    <row r="1145" spans="2:14" x14ac:dyDescent="0.3">
      <c r="B1145" s="245"/>
      <c r="C1145" s="255"/>
      <c r="D1145" s="245"/>
      <c r="E1145" s="275"/>
      <c r="F1145" s="275"/>
      <c r="G1145" s="205"/>
      <c r="H1145" s="202"/>
      <c r="I1145" s="223"/>
      <c r="J1145" s="345"/>
      <c r="K1145" s="274"/>
      <c r="L1145" s="252"/>
      <c r="M1145" s="253"/>
      <c r="N1145" s="204"/>
    </row>
    <row r="1146" spans="2:14" x14ac:dyDescent="0.3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4"/>
    </row>
    <row r="1147" spans="2:14" x14ac:dyDescent="0.3">
      <c r="B1147" s="245"/>
      <c r="C1147" s="255"/>
      <c r="D1147" s="247"/>
      <c r="E1147" s="248"/>
      <c r="F1147" s="248"/>
      <c r="G1147" s="199"/>
      <c r="H1147" s="202"/>
      <c r="I1147" s="223"/>
      <c r="J1147" s="345"/>
      <c r="K1147" s="266"/>
      <c r="L1147" s="252"/>
      <c r="M1147" s="253"/>
      <c r="N1147" s="204"/>
    </row>
    <row r="1148" spans="2:14" x14ac:dyDescent="0.3">
      <c r="B1148" s="245"/>
      <c r="C1148" s="255"/>
      <c r="D1148" s="247"/>
      <c r="E1148" s="248"/>
      <c r="F1148" s="248"/>
      <c r="G1148" s="199"/>
      <c r="H1148" s="202"/>
      <c r="I1148" s="223"/>
      <c r="J1148" s="345"/>
      <c r="K1148" s="266"/>
      <c r="L1148" s="252"/>
      <c r="M1148" s="253"/>
      <c r="N1148" s="204"/>
    </row>
    <row r="1149" spans="2:14" x14ac:dyDescent="0.3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3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3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4"/>
    </row>
    <row r="1152" spans="2:14" x14ac:dyDescent="0.3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74"/>
      <c r="L1152" s="252"/>
      <c r="M1152" s="253"/>
      <c r="N1152" s="204"/>
    </row>
    <row r="1153" spans="2:14" x14ac:dyDescent="0.3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4"/>
    </row>
    <row r="1154" spans="2:14" x14ac:dyDescent="0.3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3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3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3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3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3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3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3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3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3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3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3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3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3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3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3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3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3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3">
      <c r="B1172" s="245"/>
      <c r="C1172" s="255"/>
      <c r="D1172" s="245"/>
      <c r="E1172" s="248"/>
      <c r="F1172" s="248"/>
      <c r="G1172" s="261"/>
      <c r="H1172" s="202"/>
      <c r="I1172" s="223"/>
      <c r="J1172" s="345"/>
      <c r="K1172" s="266"/>
      <c r="L1172" s="252"/>
      <c r="M1172" s="253"/>
      <c r="N1172" s="204"/>
    </row>
    <row r="1173" spans="2:14" x14ac:dyDescent="0.3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74"/>
      <c r="L1173" s="252"/>
      <c r="M1173" s="253"/>
      <c r="N1173" s="204"/>
    </row>
    <row r="1174" spans="2:14" x14ac:dyDescent="0.3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3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3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78"/>
      <c r="L1176" s="252"/>
      <c r="M1176" s="253"/>
      <c r="N1176" s="204"/>
    </row>
    <row r="1177" spans="2:14" x14ac:dyDescent="0.3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78"/>
      <c r="L1177" s="252"/>
      <c r="M1177" s="253"/>
      <c r="N1177" s="204"/>
    </row>
    <row r="1178" spans="2:14" x14ac:dyDescent="0.3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78"/>
      <c r="L1178" s="252"/>
      <c r="M1178" s="253"/>
      <c r="N1178" s="204"/>
    </row>
    <row r="1179" spans="2:14" x14ac:dyDescent="0.3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78"/>
      <c r="L1179" s="252"/>
      <c r="M1179" s="253"/>
      <c r="N1179" s="204"/>
    </row>
    <row r="1180" spans="2:14" x14ac:dyDescent="0.3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3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3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78"/>
      <c r="L1182" s="252"/>
      <c r="M1182" s="253"/>
      <c r="N1182" s="204"/>
    </row>
    <row r="1183" spans="2:14" x14ac:dyDescent="0.3">
      <c r="B1183" s="245"/>
      <c r="C1183" s="255"/>
      <c r="D1183" s="247"/>
      <c r="E1183" s="248"/>
      <c r="F1183" s="248"/>
      <c r="G1183" s="199"/>
      <c r="H1183" s="202"/>
      <c r="I1183" s="223"/>
      <c r="J1183" s="345"/>
      <c r="K1183" s="278"/>
      <c r="L1183" s="252"/>
      <c r="M1183" s="253"/>
      <c r="N1183" s="204"/>
    </row>
    <row r="1184" spans="2:14" x14ac:dyDescent="0.3">
      <c r="B1184" s="245"/>
      <c r="C1184" s="255"/>
      <c r="D1184" s="245"/>
      <c r="E1184" s="275"/>
      <c r="F1184" s="275"/>
      <c r="G1184" s="205"/>
      <c r="H1184" s="202"/>
      <c r="I1184" s="223"/>
      <c r="J1184" s="345"/>
      <c r="K1184" s="279"/>
      <c r="L1184" s="252"/>
      <c r="M1184" s="253"/>
      <c r="N1184" s="204"/>
    </row>
    <row r="1185" spans="2:14" x14ac:dyDescent="0.3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3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3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3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79"/>
      <c r="L1188" s="252"/>
      <c r="M1188" s="253"/>
      <c r="N1188" s="204"/>
    </row>
    <row r="1189" spans="2:14" x14ac:dyDescent="0.3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9"/>
      <c r="L1189" s="252"/>
      <c r="M1189" s="253"/>
      <c r="N1189" s="204"/>
    </row>
    <row r="1190" spans="2:14" x14ac:dyDescent="0.3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9"/>
      <c r="L1190" s="252"/>
      <c r="M1190" s="253"/>
      <c r="N1190" s="204"/>
    </row>
    <row r="1191" spans="2:14" x14ac:dyDescent="0.3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9"/>
      <c r="L1191" s="252"/>
      <c r="M1191" s="253"/>
      <c r="N1191" s="204"/>
    </row>
    <row r="1192" spans="2:14" x14ac:dyDescent="0.3">
      <c r="B1192" s="245"/>
      <c r="C1192" s="255"/>
      <c r="D1192" s="245"/>
      <c r="E1192" s="248"/>
      <c r="F1192" s="248"/>
      <c r="G1192" s="205"/>
      <c r="H1192" s="202"/>
      <c r="I1192" s="223"/>
      <c r="J1192" s="345"/>
      <c r="K1192" s="279"/>
      <c r="L1192" s="252"/>
      <c r="M1192" s="253"/>
      <c r="N1192" s="204"/>
    </row>
    <row r="1193" spans="2:14" x14ac:dyDescent="0.3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9"/>
      <c r="L1193" s="252"/>
      <c r="M1193" s="253"/>
      <c r="N1193" s="204"/>
    </row>
    <row r="1194" spans="2:14" x14ac:dyDescent="0.3">
      <c r="B1194" s="245"/>
      <c r="C1194" s="255"/>
      <c r="D1194" s="247"/>
      <c r="E1194" s="248"/>
      <c r="F1194" s="248"/>
      <c r="G1194" s="201"/>
      <c r="H1194" s="202"/>
      <c r="I1194" s="223"/>
      <c r="J1194" s="345"/>
      <c r="K1194" s="279"/>
      <c r="L1194" s="252"/>
      <c r="M1194" s="253"/>
      <c r="N1194" s="204"/>
    </row>
    <row r="1195" spans="2:14" x14ac:dyDescent="0.3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3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3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9"/>
      <c r="L1197" s="252"/>
      <c r="M1197" s="253"/>
      <c r="N1197" s="204"/>
    </row>
    <row r="1198" spans="2:14" x14ac:dyDescent="0.3">
      <c r="B1198" s="245"/>
      <c r="C1198" s="255"/>
      <c r="D1198" s="245"/>
      <c r="E1198" s="248"/>
      <c r="F1198" s="248"/>
      <c r="G1198" s="206"/>
      <c r="H1198" s="202"/>
      <c r="I1198" s="223"/>
      <c r="J1198" s="345"/>
      <c r="K1198" s="279"/>
      <c r="L1198" s="252"/>
      <c r="M1198" s="253"/>
      <c r="N1198" s="204"/>
    </row>
    <row r="1199" spans="2:14" x14ac:dyDescent="0.3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9"/>
      <c r="L1199" s="252"/>
      <c r="M1199" s="253"/>
      <c r="N1199" s="204"/>
    </row>
    <row r="1200" spans="2:14" x14ac:dyDescent="0.3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3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3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9"/>
      <c r="L1202" s="252"/>
      <c r="M1202" s="253"/>
      <c r="N1202" s="204"/>
    </row>
    <row r="1203" spans="2:14" x14ac:dyDescent="0.3">
      <c r="B1203" s="245"/>
      <c r="C1203" s="255"/>
      <c r="D1203" s="247"/>
      <c r="E1203" s="248"/>
      <c r="F1203" s="248"/>
      <c r="G1203" s="199"/>
      <c r="H1203" s="202"/>
      <c r="I1203" s="223"/>
      <c r="J1203" s="345"/>
      <c r="K1203" s="279"/>
      <c r="L1203" s="252"/>
      <c r="M1203" s="253"/>
      <c r="N1203" s="204"/>
    </row>
    <row r="1204" spans="2:14" x14ac:dyDescent="0.3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3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3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3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3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3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3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3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3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3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3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03"/>
      <c r="M1214" s="253"/>
      <c r="N1214" s="204"/>
    </row>
    <row r="1215" spans="2:14" x14ac:dyDescent="0.3">
      <c r="B1215" s="245"/>
      <c r="C1215" s="280"/>
      <c r="D1215" s="281"/>
      <c r="E1215" s="275"/>
      <c r="F1215" s="275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3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3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03"/>
      <c r="M1217" s="253"/>
      <c r="N1217" s="204"/>
    </row>
    <row r="1218" spans="2:14" x14ac:dyDescent="0.3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3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3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3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3">
      <c r="B1222" s="245"/>
      <c r="C1222" s="255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3">
      <c r="B1223" s="245"/>
      <c r="C1223" s="246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3">
      <c r="B1224" s="245"/>
      <c r="C1224" s="255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3">
      <c r="B1225" s="245"/>
      <c r="C1225" s="276"/>
      <c r="D1225" s="276"/>
      <c r="E1225" s="277"/>
      <c r="F1225" s="277"/>
      <c r="G1225" s="209"/>
      <c r="H1225" s="207"/>
      <c r="I1225" s="221"/>
      <c r="J1225" s="342"/>
      <c r="K1225" s="282"/>
      <c r="L1225" s="252"/>
      <c r="M1225" s="253"/>
      <c r="N1225" s="208"/>
    </row>
    <row r="1226" spans="2:14" x14ac:dyDescent="0.3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3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3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3">
      <c r="B1229" s="245"/>
      <c r="C1229" s="255"/>
      <c r="D1229" s="245"/>
      <c r="E1229" s="248"/>
      <c r="F1229" s="248"/>
      <c r="G1229" s="261"/>
      <c r="H1229" s="207"/>
      <c r="I1229" s="221"/>
      <c r="J1229" s="342"/>
      <c r="K1229" s="279"/>
      <c r="L1229" s="252"/>
      <c r="M1229" s="253"/>
      <c r="N1229" s="208"/>
    </row>
    <row r="1230" spans="2:14" x14ac:dyDescent="0.3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3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3">
      <c r="B1232" s="245"/>
      <c r="C1232" s="255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3">
      <c r="B1233" s="245"/>
      <c r="C1233" s="246"/>
      <c r="D1233" s="247"/>
      <c r="E1233" s="248"/>
      <c r="F1233" s="248"/>
      <c r="G1233" s="254"/>
      <c r="H1233" s="207"/>
      <c r="I1233" s="221"/>
      <c r="J1233" s="342"/>
      <c r="K1233" s="279"/>
      <c r="L1233" s="252"/>
      <c r="M1233" s="253"/>
      <c r="N1233" s="208"/>
    </row>
    <row r="1234" spans="2:14" x14ac:dyDescent="0.3">
      <c r="B1234" s="245"/>
      <c r="C1234" s="255"/>
      <c r="D1234" s="247"/>
      <c r="E1234" s="248"/>
      <c r="F1234" s="248"/>
      <c r="G1234" s="205"/>
      <c r="H1234" s="207"/>
      <c r="I1234" s="221"/>
      <c r="J1234" s="342"/>
      <c r="K1234" s="279"/>
      <c r="L1234" s="252"/>
      <c r="M1234" s="253"/>
      <c r="N1234" s="208"/>
    </row>
    <row r="1235" spans="2:14" x14ac:dyDescent="0.3">
      <c r="B1235" s="245"/>
      <c r="C1235" s="246"/>
      <c r="D1235" s="247"/>
      <c r="E1235" s="248"/>
      <c r="F1235" s="248"/>
      <c r="G1235" s="261"/>
      <c r="H1235" s="207"/>
      <c r="I1235" s="221"/>
      <c r="J1235" s="342"/>
      <c r="K1235" s="279"/>
      <c r="L1235" s="252"/>
      <c r="M1235" s="253"/>
      <c r="N1235" s="208"/>
    </row>
    <row r="1236" spans="2:14" x14ac:dyDescent="0.3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3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10"/>
      <c r="M1237" s="253"/>
      <c r="N1237" s="208"/>
    </row>
    <row r="1238" spans="2:14" x14ac:dyDescent="0.3">
      <c r="B1238" s="245"/>
      <c r="C1238" s="255"/>
      <c r="D1238" s="247"/>
      <c r="E1238" s="248"/>
      <c r="F1238" s="248"/>
      <c r="G1238" s="261"/>
      <c r="H1238" s="207"/>
      <c r="I1238" s="221"/>
      <c r="J1238" s="342"/>
      <c r="K1238" s="279"/>
      <c r="L1238" s="252"/>
      <c r="M1238" s="253"/>
      <c r="N1238" s="208"/>
    </row>
    <row r="1239" spans="2:14" x14ac:dyDescent="0.3">
      <c r="B1239" s="245"/>
      <c r="C1239" s="246"/>
      <c r="D1239" s="247"/>
      <c r="E1239" s="248"/>
      <c r="F1239" s="248"/>
      <c r="G1239" s="261"/>
      <c r="H1239" s="207"/>
      <c r="I1239" s="221"/>
      <c r="J1239" s="342"/>
      <c r="K1239" s="279"/>
      <c r="L1239" s="252"/>
      <c r="M1239" s="253"/>
      <c r="N1239" s="208"/>
    </row>
    <row r="1240" spans="2:14" x14ac:dyDescent="0.3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3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x14ac:dyDescent="0.3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x14ac:dyDescent="0.3">
      <c r="B1243" s="30"/>
      <c r="C1243" s="283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x14ac:dyDescent="0.3">
      <c r="B1244" s="37"/>
      <c r="C1244" s="78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x14ac:dyDescent="0.3">
      <c r="B1245" s="37"/>
      <c r="C1245" s="283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x14ac:dyDescent="0.3">
      <c r="B1246" s="37"/>
      <c r="C1246" s="78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x14ac:dyDescent="0.3">
      <c r="B1247" s="37"/>
      <c r="C1247" s="283"/>
      <c r="D1247" s="109"/>
      <c r="E1247" s="68"/>
      <c r="F1247" s="68"/>
      <c r="G1247" s="284"/>
      <c r="H1247" s="211"/>
      <c r="I1247" s="224"/>
      <c r="J1247" s="347"/>
      <c r="K1247" s="69"/>
      <c r="L1247" s="285"/>
      <c r="M1247" s="116"/>
      <c r="N1247" s="212"/>
    </row>
    <row r="1248" spans="2:14" x14ac:dyDescent="0.3">
      <c r="B1248" s="37"/>
      <c r="C1248" s="286"/>
      <c r="D1248" s="37"/>
      <c r="E1248" s="60"/>
      <c r="F1248" s="60"/>
      <c r="G1248" s="213"/>
      <c r="H1248" s="211"/>
      <c r="I1248" s="224"/>
      <c r="J1248" s="347"/>
      <c r="K1248" s="69"/>
      <c r="L1248" s="285"/>
      <c r="M1248" s="116"/>
      <c r="N1248" s="212"/>
    </row>
    <row r="1249" spans="2:14" x14ac:dyDescent="0.3">
      <c r="B1249" s="37"/>
      <c r="C1249" s="78"/>
      <c r="D1249" s="109"/>
      <c r="E1249" s="68"/>
      <c r="F1249" s="68"/>
      <c r="G1249" s="214"/>
      <c r="H1249" s="211"/>
      <c r="I1249" s="224"/>
      <c r="J1249" s="347"/>
      <c r="K1249" s="69"/>
      <c r="L1249" s="285"/>
      <c r="M1249" s="116"/>
      <c r="N1249" s="212"/>
    </row>
    <row r="1250" spans="2:14" x14ac:dyDescent="0.3">
      <c r="B1250" s="37"/>
      <c r="C1250" s="283"/>
      <c r="D1250" s="109"/>
      <c r="E1250" s="68"/>
      <c r="F1250" s="68"/>
      <c r="G1250" s="284"/>
      <c r="H1250" s="211"/>
      <c r="I1250" s="224"/>
      <c r="J1250" s="347"/>
      <c r="K1250" s="69"/>
      <c r="L1250" s="285"/>
      <c r="M1250" s="116"/>
      <c r="N1250" s="212"/>
    </row>
    <row r="1251" spans="2:14" x14ac:dyDescent="0.3">
      <c r="B1251" s="37"/>
      <c r="C1251" s="283"/>
      <c r="D1251" s="109"/>
      <c r="E1251" s="68"/>
      <c r="F1251" s="68"/>
      <c r="G1251" s="284"/>
      <c r="H1251" s="211"/>
      <c r="I1251" s="224"/>
      <c r="J1251" s="347"/>
      <c r="K1251" s="69"/>
      <c r="L1251" s="285"/>
      <c r="M1251" s="116"/>
      <c r="N1251" s="212"/>
    </row>
    <row r="1252" spans="2:14" x14ac:dyDescent="0.3">
      <c r="B1252" s="37"/>
      <c r="C1252" s="66"/>
      <c r="D1252" s="287"/>
      <c r="E1252" s="68"/>
      <c r="F1252" s="68"/>
      <c r="G1252" s="214"/>
      <c r="H1252" s="211"/>
      <c r="I1252" s="224"/>
      <c r="J1252" s="347"/>
      <c r="K1252" s="69"/>
      <c r="L1252" s="285"/>
      <c r="M1252" s="116"/>
      <c r="N1252" s="212"/>
    </row>
    <row r="1253" spans="2:14" x14ac:dyDescent="0.3">
      <c r="B1253" s="30"/>
      <c r="C1253" s="283"/>
      <c r="D1253" s="109"/>
      <c r="E1253" s="68"/>
      <c r="F1253" s="68"/>
      <c r="G1253" s="288"/>
      <c r="H1253" s="215"/>
      <c r="I1253" s="224"/>
      <c r="J1253" s="347"/>
      <c r="K1253" s="69"/>
      <c r="L1253" s="285"/>
      <c r="M1253" s="116"/>
      <c r="N1253" s="212"/>
    </row>
    <row r="1254" spans="2:14" x14ac:dyDescent="0.3">
      <c r="B1254" s="30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x14ac:dyDescent="0.3">
      <c r="B1255" s="30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x14ac:dyDescent="0.3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x14ac:dyDescent="0.3">
      <c r="B1257" s="65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x14ac:dyDescent="0.3">
      <c r="B1258" s="30"/>
      <c r="C1258" s="78"/>
      <c r="D1258" s="109"/>
      <c r="E1258" s="68"/>
      <c r="F1258" s="68"/>
      <c r="G1258" s="214"/>
      <c r="H1258" s="215"/>
      <c r="I1258" s="224"/>
      <c r="J1258" s="347"/>
      <c r="K1258" s="69"/>
      <c r="L1258" s="285"/>
      <c r="M1258" s="116"/>
      <c r="N1258" s="212"/>
    </row>
    <row r="1259" spans="2:14" x14ac:dyDescent="0.3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x14ac:dyDescent="0.3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x14ac:dyDescent="0.3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x14ac:dyDescent="0.3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x14ac:dyDescent="0.3">
      <c r="B1263" s="65"/>
      <c r="C1263" s="283"/>
      <c r="D1263" s="109"/>
      <c r="E1263" s="68"/>
      <c r="F1263" s="68"/>
      <c r="G1263" s="284"/>
      <c r="H1263" s="215"/>
      <c r="I1263" s="224"/>
      <c r="J1263" s="347"/>
      <c r="K1263" s="69"/>
      <c r="L1263" s="285"/>
      <c r="M1263" s="116"/>
      <c r="N1263" s="212"/>
    </row>
    <row r="1264" spans="2:14" x14ac:dyDescent="0.3">
      <c r="B1264" s="65"/>
      <c r="C1264" s="78"/>
      <c r="D1264" s="109"/>
      <c r="E1264" s="68"/>
      <c r="F1264" s="68"/>
      <c r="G1264" s="214"/>
      <c r="H1264" s="215"/>
      <c r="I1264" s="224"/>
      <c r="J1264" s="347"/>
      <c r="K1264" s="69"/>
      <c r="L1264" s="285"/>
      <c r="M1264" s="116"/>
      <c r="N1264" s="212"/>
    </row>
    <row r="1265" spans="2:14" x14ac:dyDescent="0.3">
      <c r="B1265" s="65"/>
      <c r="C1265" s="78"/>
      <c r="D1265" s="109"/>
      <c r="E1265" s="68"/>
      <c r="F1265" s="68"/>
      <c r="G1265" s="214"/>
      <c r="H1265" s="215"/>
      <c r="I1265" s="224"/>
      <c r="J1265" s="347"/>
      <c r="K1265" s="69"/>
      <c r="L1265" s="285"/>
      <c r="M1265" s="116"/>
      <c r="N1265" s="212"/>
    </row>
    <row r="1266" spans="2:14" x14ac:dyDescent="0.3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x14ac:dyDescent="0.3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x14ac:dyDescent="0.3">
      <c r="B1268" s="65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x14ac:dyDescent="0.3">
      <c r="B1269" s="30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16"/>
      <c r="M1269" s="116"/>
      <c r="N1269" s="212"/>
    </row>
    <row r="1270" spans="2:14" x14ac:dyDescent="0.3">
      <c r="B1270" s="65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x14ac:dyDescent="0.3">
      <c r="B1271" s="65"/>
      <c r="C1271" s="78"/>
      <c r="D1271" s="109"/>
      <c r="E1271" s="68"/>
      <c r="F1271" s="68"/>
      <c r="G1271" s="214"/>
      <c r="H1271" s="215"/>
      <c r="I1271" s="224"/>
      <c r="J1271" s="347"/>
      <c r="K1271" s="69"/>
      <c r="L1271" s="285"/>
      <c r="M1271" s="116"/>
      <c r="N1271" s="212"/>
    </row>
    <row r="1272" spans="2:14" x14ac:dyDescent="0.3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16"/>
      <c r="M1272" s="116"/>
      <c r="N1272" s="212"/>
    </row>
    <row r="1273" spans="2:14" x14ac:dyDescent="0.3">
      <c r="B1273" s="65"/>
      <c r="C1273" s="78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x14ac:dyDescent="0.3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x14ac:dyDescent="0.3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x14ac:dyDescent="0.3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x14ac:dyDescent="0.3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16"/>
      <c r="M1277" s="116"/>
      <c r="N1277" s="212"/>
    </row>
    <row r="1278" spans="2:14" x14ac:dyDescent="0.3">
      <c r="B1278" s="65"/>
      <c r="C1278" s="78"/>
      <c r="D1278" s="109"/>
      <c r="E1278" s="68"/>
      <c r="F1278" s="68"/>
      <c r="G1278" s="214"/>
      <c r="H1278" s="215"/>
      <c r="I1278" s="224"/>
      <c r="J1278" s="347"/>
      <c r="K1278" s="69"/>
      <c r="L1278" s="285"/>
      <c r="M1278" s="116"/>
      <c r="N1278" s="212"/>
    </row>
    <row r="1279" spans="2:14" x14ac:dyDescent="0.3">
      <c r="B1279" s="65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x14ac:dyDescent="0.3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x14ac:dyDescent="0.3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16"/>
      <c r="M1281" s="116"/>
      <c r="N1281" s="212"/>
    </row>
    <row r="1282" spans="2:14" x14ac:dyDescent="0.3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x14ac:dyDescent="0.3">
      <c r="B1283" s="30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x14ac:dyDescent="0.3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x14ac:dyDescent="0.3">
      <c r="B1285" s="30"/>
      <c r="C1285" s="78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x14ac:dyDescent="0.3">
      <c r="B1286" s="30"/>
      <c r="C1286" s="289"/>
      <c r="D1286" s="290"/>
      <c r="E1286" s="291"/>
      <c r="F1286" s="291"/>
      <c r="G1286" s="284"/>
      <c r="H1286" s="215"/>
      <c r="I1286" s="224"/>
      <c r="J1286" s="347"/>
      <c r="K1286" s="69"/>
      <c r="L1286" s="216"/>
      <c r="M1286" s="116"/>
      <c r="N1286" s="212"/>
    </row>
    <row r="1287" spans="2:14" x14ac:dyDescent="0.3">
      <c r="B1287" s="30"/>
      <c r="C1287" s="78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x14ac:dyDescent="0.3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3">
      <c r="B1289" s="30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x14ac:dyDescent="0.3">
      <c r="B1290" s="30"/>
      <c r="C1290" s="78"/>
      <c r="D1290" s="109"/>
      <c r="E1290" s="68"/>
      <c r="F1290" s="68"/>
      <c r="G1290" s="288"/>
      <c r="H1290" s="211"/>
      <c r="I1290" s="224"/>
      <c r="J1290" s="347"/>
      <c r="K1290" s="80"/>
      <c r="L1290" s="285"/>
      <c r="M1290" s="116"/>
      <c r="N1290" s="212"/>
    </row>
    <row r="1291" spans="2:14" x14ac:dyDescent="0.3">
      <c r="B1291" s="30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x14ac:dyDescent="0.3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x14ac:dyDescent="0.3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x14ac:dyDescent="0.3">
      <c r="B1294" s="30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x14ac:dyDescent="0.3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x14ac:dyDescent="0.3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x14ac:dyDescent="0.3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16"/>
      <c r="M1297" s="116"/>
      <c r="N1297" s="212"/>
    </row>
    <row r="1298" spans="2:14" x14ac:dyDescent="0.3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x14ac:dyDescent="0.3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x14ac:dyDescent="0.3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x14ac:dyDescent="0.3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x14ac:dyDescent="0.3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x14ac:dyDescent="0.3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x14ac:dyDescent="0.3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x14ac:dyDescent="0.3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3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3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3">
      <c r="B1308" s="65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3">
      <c r="B1309" s="65"/>
      <c r="C1309" s="78"/>
      <c r="D1309" s="109"/>
      <c r="E1309" s="68"/>
      <c r="F1309" s="68"/>
      <c r="G1309" s="214"/>
      <c r="H1309" s="215"/>
      <c r="I1309" s="224"/>
      <c r="J1309" s="347"/>
      <c r="K1309" s="69"/>
      <c r="L1309" s="285"/>
      <c r="M1309" s="116"/>
      <c r="N1309" s="212"/>
    </row>
    <row r="1310" spans="2:14" x14ac:dyDescent="0.3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x14ac:dyDescent="0.3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x14ac:dyDescent="0.3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x14ac:dyDescent="0.3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x14ac:dyDescent="0.3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x14ac:dyDescent="0.3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x14ac:dyDescent="0.3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x14ac:dyDescent="0.3">
      <c r="B1317" s="30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x14ac:dyDescent="0.3">
      <c r="B1318" s="292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x14ac:dyDescent="0.3">
      <c r="B1319" s="65"/>
      <c r="C1319" s="78"/>
      <c r="D1319" s="109"/>
      <c r="E1319" s="68"/>
      <c r="F1319" s="68"/>
      <c r="G1319" s="214"/>
      <c r="H1319" s="215"/>
      <c r="I1319" s="224"/>
      <c r="J1319" s="347"/>
      <c r="K1319" s="69"/>
      <c r="L1319" s="285"/>
      <c r="M1319" s="116"/>
      <c r="N1319" s="212"/>
    </row>
    <row r="1320" spans="2:14" x14ac:dyDescent="0.3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x14ac:dyDescent="0.3">
      <c r="B1321" s="65"/>
      <c r="C1321" s="78"/>
      <c r="D1321" s="109"/>
      <c r="E1321" s="68"/>
      <c r="F1321" s="68"/>
      <c r="G1321" s="214"/>
      <c r="H1321" s="215"/>
      <c r="I1321" s="224"/>
      <c r="J1321" s="347"/>
      <c r="K1321" s="69"/>
      <c r="L1321" s="285"/>
      <c r="M1321" s="116"/>
      <c r="N1321" s="212"/>
    </row>
    <row r="1322" spans="2:14" x14ac:dyDescent="0.3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x14ac:dyDescent="0.3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x14ac:dyDescent="0.3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x14ac:dyDescent="0.3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x14ac:dyDescent="0.3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x14ac:dyDescent="0.3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x14ac:dyDescent="0.3">
      <c r="B1328" s="65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x14ac:dyDescent="0.3">
      <c r="B1329" s="292"/>
      <c r="C1329" s="78"/>
      <c r="D1329" s="109"/>
      <c r="E1329" s="68"/>
      <c r="F1329" s="68"/>
      <c r="G1329" s="214"/>
      <c r="H1329" s="215"/>
      <c r="I1329" s="293"/>
      <c r="J1329" s="348"/>
      <c r="K1329" s="69"/>
      <c r="L1329" s="285"/>
      <c r="M1329" s="116"/>
      <c r="N1329" s="212"/>
    </row>
    <row r="1330" spans="2:14" x14ac:dyDescent="0.3">
      <c r="B1330" s="292"/>
      <c r="C1330" s="78"/>
      <c r="D1330" s="109"/>
      <c r="E1330" s="68"/>
      <c r="F1330" s="68"/>
      <c r="G1330" s="284"/>
      <c r="H1330" s="215"/>
      <c r="I1330" s="293"/>
      <c r="J1330" s="348"/>
      <c r="K1330" s="69"/>
      <c r="L1330" s="285"/>
      <c r="M1330" s="116"/>
      <c r="N1330" s="212"/>
    </row>
    <row r="1331" spans="2:14" x14ac:dyDescent="0.3">
      <c r="B1331" s="292"/>
      <c r="C1331" s="78"/>
      <c r="D1331" s="109"/>
      <c r="E1331" s="68"/>
      <c r="F1331" s="68"/>
      <c r="G1331" s="214"/>
      <c r="H1331" s="215"/>
      <c r="I1331" s="293"/>
      <c r="J1331" s="348"/>
      <c r="K1331" s="69"/>
      <c r="L1331" s="285"/>
      <c r="M1331" s="116"/>
      <c r="N1331" s="212"/>
    </row>
    <row r="1332" spans="2:14" x14ac:dyDescent="0.3">
      <c r="B1332" s="292"/>
      <c r="C1332" s="78"/>
      <c r="D1332" s="109"/>
      <c r="E1332" s="68"/>
      <c r="F1332" s="68"/>
      <c r="G1332" s="288"/>
      <c r="H1332" s="215"/>
      <c r="I1332" s="293"/>
      <c r="J1332" s="348"/>
      <c r="K1332" s="69"/>
      <c r="L1332" s="285"/>
      <c r="M1332" s="116"/>
      <c r="N1332" s="212"/>
    </row>
    <row r="1333" spans="2:14" x14ac:dyDescent="0.3">
      <c r="B1333" s="292"/>
      <c r="C1333" s="78"/>
      <c r="D1333" s="109"/>
      <c r="E1333" s="68"/>
      <c r="F1333" s="68"/>
      <c r="G1333" s="284"/>
      <c r="H1333" s="215"/>
      <c r="I1333" s="293"/>
      <c r="J1333" s="348"/>
      <c r="K1333" s="69"/>
      <c r="L1333" s="285"/>
      <c r="M1333" s="116"/>
      <c r="N1333" s="212"/>
    </row>
    <row r="1334" spans="2:14" x14ac:dyDescent="0.3">
      <c r="B1334" s="292"/>
      <c r="C1334" s="78"/>
      <c r="D1334" s="109"/>
      <c r="E1334" s="68"/>
      <c r="F1334" s="68"/>
      <c r="G1334" s="284"/>
      <c r="H1334" s="215"/>
      <c r="I1334" s="293"/>
      <c r="J1334" s="348"/>
      <c r="K1334" s="69"/>
      <c r="L1334" s="285"/>
      <c r="M1334" s="116"/>
      <c r="N1334" s="212"/>
    </row>
    <row r="1335" spans="2:14" x14ac:dyDescent="0.3">
      <c r="B1335" s="292"/>
      <c r="C1335" s="78"/>
      <c r="D1335" s="109"/>
      <c r="E1335" s="68"/>
      <c r="F1335" s="68"/>
      <c r="G1335" s="213"/>
      <c r="H1335" s="215"/>
      <c r="I1335" s="293"/>
      <c r="J1335" s="348"/>
      <c r="K1335" s="69"/>
      <c r="L1335" s="285"/>
      <c r="M1335" s="116"/>
      <c r="N1335" s="212"/>
    </row>
    <row r="1336" spans="2:14" x14ac:dyDescent="0.3">
      <c r="B1336" s="292"/>
      <c r="C1336" s="78"/>
      <c r="D1336" s="109"/>
      <c r="E1336" s="68"/>
      <c r="F1336" s="68"/>
      <c r="G1336" s="288"/>
      <c r="H1336" s="211"/>
      <c r="I1336" s="224"/>
      <c r="J1336" s="347"/>
      <c r="K1336" s="80"/>
      <c r="L1336" s="216"/>
      <c r="M1336" s="116"/>
      <c r="N1336" s="212"/>
    </row>
    <row r="1337" spans="2:14" x14ac:dyDescent="0.3">
      <c r="B1337" s="292"/>
      <c r="C1337" s="78"/>
      <c r="D1337" s="109"/>
      <c r="E1337" s="68"/>
      <c r="F1337" s="68"/>
      <c r="G1337" s="288"/>
      <c r="H1337" s="215"/>
      <c r="I1337" s="293"/>
      <c r="J1337" s="348"/>
      <c r="K1337" s="69"/>
      <c r="L1337" s="285"/>
      <c r="M1337" s="116"/>
      <c r="N1337" s="212"/>
    </row>
    <row r="1338" spans="2:14" x14ac:dyDescent="0.3">
      <c r="B1338" s="65"/>
      <c r="C1338" s="289"/>
      <c r="D1338" s="290"/>
      <c r="E1338" s="294"/>
      <c r="F1338" s="295"/>
      <c r="G1338" s="296"/>
      <c r="H1338" s="215"/>
      <c r="I1338" s="293"/>
      <c r="J1338" s="348"/>
      <c r="K1338" s="69"/>
      <c r="L1338" s="285"/>
      <c r="M1338" s="116"/>
      <c r="N1338" s="212"/>
    </row>
    <row r="1339" spans="2:14" x14ac:dyDescent="0.3">
      <c r="B1339" s="65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x14ac:dyDescent="0.3">
      <c r="B1340" s="65"/>
      <c r="C1340" s="78"/>
      <c r="D1340" s="109"/>
      <c r="E1340" s="68"/>
      <c r="F1340" s="77"/>
      <c r="G1340" s="284"/>
      <c r="H1340" s="215"/>
      <c r="I1340" s="293"/>
      <c r="J1340" s="348"/>
      <c r="K1340" s="69"/>
      <c r="L1340" s="285"/>
      <c r="M1340" s="116"/>
      <c r="N1340" s="212"/>
    </row>
    <row r="1341" spans="2:14" x14ac:dyDescent="0.3">
      <c r="B1341" s="292"/>
      <c r="C1341" s="78"/>
      <c r="D1341" s="109"/>
      <c r="E1341" s="297"/>
      <c r="F1341" s="298"/>
      <c r="G1341" s="299"/>
      <c r="H1341" s="300"/>
      <c r="I1341" s="301"/>
      <c r="J1341" s="349"/>
      <c r="K1341" s="69"/>
      <c r="L1341" s="285"/>
      <c r="M1341" s="116"/>
      <c r="N1341" s="212"/>
    </row>
    <row r="1342" spans="2:14" x14ac:dyDescent="0.3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x14ac:dyDescent="0.3">
      <c r="B1343" s="292"/>
      <c r="C1343" s="78"/>
      <c r="D1343" s="109"/>
      <c r="E1343" s="68"/>
      <c r="F1343" s="77"/>
      <c r="G1343" s="284"/>
      <c r="H1343" s="215"/>
      <c r="I1343" s="293"/>
      <c r="J1343" s="348"/>
      <c r="K1343" s="69"/>
      <c r="L1343" s="285"/>
      <c r="M1343" s="116"/>
      <c r="N1343" s="212"/>
    </row>
    <row r="1344" spans="2:14" x14ac:dyDescent="0.3">
      <c r="B1344" s="292"/>
      <c r="C1344" s="78"/>
      <c r="D1344" s="109"/>
      <c r="E1344" s="68"/>
      <c r="F1344" s="77"/>
      <c r="G1344" s="214"/>
      <c r="H1344" s="215"/>
      <c r="I1344" s="293"/>
      <c r="J1344" s="348"/>
      <c r="K1344" s="69"/>
      <c r="L1344" s="216"/>
      <c r="M1344" s="116"/>
      <c r="N1344" s="212"/>
    </row>
    <row r="1345" spans="2:14" x14ac:dyDescent="0.3">
      <c r="B1345" s="292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x14ac:dyDescent="0.3">
      <c r="B1346" s="65"/>
      <c r="C1346" s="78"/>
      <c r="D1346" s="109"/>
      <c r="E1346" s="68"/>
      <c r="F1346" s="77"/>
      <c r="G1346" s="284"/>
      <c r="H1346" s="215"/>
      <c r="I1346" s="293"/>
      <c r="J1346" s="348"/>
      <c r="K1346" s="69"/>
      <c r="L1346" s="285"/>
      <c r="M1346" s="116"/>
      <c r="N1346" s="212"/>
    </row>
    <row r="1347" spans="2:14" x14ac:dyDescent="0.3">
      <c r="B1347" s="65"/>
      <c r="C1347" s="289"/>
      <c r="D1347" s="290"/>
      <c r="E1347" s="291"/>
      <c r="F1347" s="284"/>
      <c r="G1347" s="284"/>
      <c r="H1347" s="215"/>
      <c r="I1347" s="293"/>
      <c r="J1347" s="348"/>
      <c r="K1347" s="69"/>
      <c r="L1347" s="285"/>
      <c r="M1347" s="116"/>
      <c r="N1347" s="212"/>
    </row>
    <row r="1348" spans="2:14" x14ac:dyDescent="0.3">
      <c r="B1348" s="65"/>
      <c r="C1348" s="66"/>
      <c r="D1348" s="109"/>
      <c r="E1348" s="68"/>
      <c r="F1348" s="77"/>
      <c r="G1348" s="296"/>
      <c r="H1348" s="215"/>
      <c r="I1348" s="293"/>
      <c r="J1348" s="348"/>
      <c r="K1348" s="69"/>
      <c r="L1348" s="285"/>
      <c r="M1348" s="116"/>
      <c r="N1348" s="212"/>
    </row>
    <row r="1349" spans="2:14" x14ac:dyDescent="0.3">
      <c r="B1349" s="65"/>
      <c r="C1349" s="78"/>
      <c r="D1349" s="109"/>
      <c r="E1349" s="68"/>
      <c r="F1349" s="77"/>
      <c r="G1349" s="284"/>
      <c r="H1349" s="215"/>
      <c r="I1349" s="293"/>
      <c r="J1349" s="348"/>
      <c r="K1349" s="69"/>
      <c r="L1349" s="285"/>
      <c r="M1349" s="116"/>
      <c r="N1349" s="212"/>
    </row>
    <row r="1350" spans="2:14" x14ac:dyDescent="0.3">
      <c r="B1350" s="65"/>
      <c r="C1350" s="78"/>
      <c r="D1350" s="109"/>
      <c r="E1350" s="68"/>
      <c r="F1350" s="77"/>
      <c r="G1350" s="288"/>
      <c r="H1350" s="215"/>
      <c r="I1350" s="293"/>
      <c r="J1350" s="348"/>
      <c r="K1350" s="69"/>
      <c r="L1350" s="285"/>
      <c r="M1350" s="116"/>
      <c r="N1350" s="212"/>
    </row>
    <row r="1351" spans="2:14" x14ac:dyDescent="0.3">
      <c r="B1351" s="65"/>
      <c r="C1351" s="78"/>
      <c r="D1351" s="109"/>
      <c r="E1351" s="68"/>
      <c r="F1351" s="77"/>
      <c r="G1351" s="288"/>
      <c r="H1351" s="215"/>
      <c r="I1351" s="293"/>
      <c r="J1351" s="348"/>
      <c r="K1351" s="69"/>
      <c r="L1351" s="285"/>
      <c r="M1351" s="116"/>
      <c r="N1351" s="212"/>
    </row>
    <row r="1352" spans="2:14" x14ac:dyDescent="0.3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x14ac:dyDescent="0.3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x14ac:dyDescent="0.3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x14ac:dyDescent="0.3">
      <c r="B1355" s="292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x14ac:dyDescent="0.3">
      <c r="B1356" s="292"/>
      <c r="C1356" s="66"/>
      <c r="D1356" s="109"/>
      <c r="E1356" s="68"/>
      <c r="F1356" s="77"/>
      <c r="G1356" s="296"/>
      <c r="H1356" s="215"/>
      <c r="I1356" s="293"/>
      <c r="J1356" s="348"/>
      <c r="K1356" s="69"/>
      <c r="L1356" s="285"/>
      <c r="M1356" s="116"/>
      <c r="N1356" s="212"/>
    </row>
    <row r="1357" spans="2:14" x14ac:dyDescent="0.3">
      <c r="B1357" s="292"/>
      <c r="C1357" s="78"/>
      <c r="D1357" s="109"/>
      <c r="E1357" s="68"/>
      <c r="F1357" s="77"/>
      <c r="G1357" s="214"/>
      <c r="H1357" s="215"/>
      <c r="I1357" s="293"/>
      <c r="J1357" s="348"/>
      <c r="K1357" s="69"/>
      <c r="L1357" s="285"/>
      <c r="M1357" s="116"/>
      <c r="N1357" s="212"/>
    </row>
    <row r="1358" spans="2:14" x14ac:dyDescent="0.3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x14ac:dyDescent="0.3">
      <c r="B1359" s="292"/>
      <c r="C1359" s="78"/>
      <c r="D1359" s="109"/>
      <c r="E1359" s="68"/>
      <c r="F1359" s="77"/>
      <c r="G1359" s="214"/>
      <c r="H1359" s="215"/>
      <c r="I1359" s="293"/>
      <c r="J1359" s="348"/>
      <c r="K1359" s="69"/>
      <c r="L1359" s="285"/>
      <c r="M1359" s="116"/>
      <c r="N1359" s="212"/>
    </row>
    <row r="1360" spans="2:14" x14ac:dyDescent="0.3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x14ac:dyDescent="0.3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x14ac:dyDescent="0.3">
      <c r="B1362" s="292"/>
      <c r="C1362" s="78"/>
      <c r="D1362" s="109"/>
      <c r="E1362" s="68"/>
      <c r="F1362" s="77"/>
      <c r="G1362" s="288"/>
      <c r="H1362" s="215"/>
      <c r="I1362" s="293"/>
      <c r="J1362" s="348"/>
      <c r="K1362" s="69"/>
      <c r="L1362" s="285"/>
      <c r="M1362" s="116"/>
      <c r="N1362" s="212"/>
    </row>
    <row r="1363" spans="2:14" x14ac:dyDescent="0.3">
      <c r="B1363" s="91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x14ac:dyDescent="0.3">
      <c r="B1364" s="91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x14ac:dyDescent="0.3">
      <c r="B1365" s="65"/>
      <c r="C1365" s="78"/>
      <c r="D1365" s="109"/>
      <c r="E1365" s="68"/>
      <c r="F1365" s="77"/>
      <c r="G1365" s="214"/>
      <c r="H1365" s="215"/>
      <c r="I1365" s="293"/>
      <c r="J1365" s="348"/>
      <c r="K1365" s="69"/>
      <c r="L1365" s="285"/>
      <c r="M1365" s="116"/>
      <c r="N1365" s="212"/>
    </row>
    <row r="1366" spans="2:14" x14ac:dyDescent="0.3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x14ac:dyDescent="0.3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x14ac:dyDescent="0.3">
      <c r="B1368" s="65"/>
      <c r="C1368" s="66"/>
      <c r="D1368" s="109"/>
      <c r="E1368" s="68"/>
      <c r="F1368" s="68"/>
      <c r="G1368" s="296"/>
      <c r="H1368" s="215"/>
      <c r="I1368" s="293"/>
      <c r="J1368" s="348"/>
      <c r="K1368" s="69"/>
      <c r="L1368" s="285"/>
      <c r="M1368" s="116"/>
      <c r="N1368" s="212"/>
    </row>
    <row r="1369" spans="2:14" x14ac:dyDescent="0.3">
      <c r="B1369" s="65"/>
      <c r="C1369" s="78"/>
      <c r="D1369" s="109"/>
      <c r="E1369" s="68"/>
      <c r="F1369" s="77"/>
      <c r="G1369" s="214"/>
      <c r="H1369" s="215"/>
      <c r="I1369" s="293"/>
      <c r="J1369" s="348"/>
      <c r="K1369" s="69"/>
      <c r="L1369" s="285"/>
      <c r="M1369" s="116"/>
      <c r="N1369" s="212"/>
    </row>
    <row r="1370" spans="2:14" x14ac:dyDescent="0.3">
      <c r="B1370" s="65"/>
      <c r="C1370" s="78"/>
      <c r="D1370" s="109"/>
      <c r="E1370" s="68"/>
      <c r="F1370" s="77"/>
      <c r="G1370" s="302"/>
      <c r="H1370" s="211"/>
      <c r="I1370" s="224"/>
      <c r="J1370" s="347"/>
      <c r="K1370" s="80"/>
      <c r="L1370" s="285"/>
      <c r="M1370" s="116"/>
      <c r="N1370" s="212"/>
    </row>
    <row r="1371" spans="2:14" x14ac:dyDescent="0.3">
      <c r="B1371" s="65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x14ac:dyDescent="0.3">
      <c r="B1372" s="65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x14ac:dyDescent="0.3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x14ac:dyDescent="0.3">
      <c r="B1374" s="65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x14ac:dyDescent="0.3">
      <c r="B1375" s="65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x14ac:dyDescent="0.3">
      <c r="B1376" s="65"/>
      <c r="C1376" s="66"/>
      <c r="D1376" s="109"/>
      <c r="E1376" s="68"/>
      <c r="F1376" s="77"/>
      <c r="G1376" s="296"/>
      <c r="H1376" s="303"/>
      <c r="I1376" s="225"/>
      <c r="J1376" s="350"/>
      <c r="K1376" s="69"/>
      <c r="L1376" s="285"/>
      <c r="M1376" s="116"/>
      <c r="N1376" s="212"/>
    </row>
    <row r="1377" spans="2:14" x14ac:dyDescent="0.3">
      <c r="B1377" s="65"/>
      <c r="C1377" s="289"/>
      <c r="D1377" s="290"/>
      <c r="E1377" s="291"/>
      <c r="F1377" s="304"/>
      <c r="G1377" s="284"/>
      <c r="H1377" s="303"/>
      <c r="I1377" s="225"/>
      <c r="J1377" s="350"/>
      <c r="K1377" s="69"/>
      <c r="L1377" s="285"/>
      <c r="M1377" s="116"/>
      <c r="N1377" s="212"/>
    </row>
    <row r="1378" spans="2:14" x14ac:dyDescent="0.3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x14ac:dyDescent="0.3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x14ac:dyDescent="0.3">
      <c r="B1380" s="65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x14ac:dyDescent="0.3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x14ac:dyDescent="0.3">
      <c r="B1382" s="91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x14ac:dyDescent="0.3">
      <c r="B1383" s="91"/>
      <c r="C1383" s="78"/>
      <c r="D1383" s="109"/>
      <c r="E1383" s="68"/>
      <c r="F1383" s="68"/>
      <c r="G1383" s="214"/>
      <c r="H1383" s="215"/>
      <c r="I1383" s="293"/>
      <c r="J1383" s="348"/>
      <c r="K1383" s="69"/>
      <c r="L1383" s="285"/>
      <c r="M1383" s="116"/>
      <c r="N1383" s="212"/>
    </row>
    <row r="1384" spans="2:14" x14ac:dyDescent="0.3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x14ac:dyDescent="0.3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x14ac:dyDescent="0.3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x14ac:dyDescent="0.3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x14ac:dyDescent="0.3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x14ac:dyDescent="0.3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x14ac:dyDescent="0.3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x14ac:dyDescent="0.3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x14ac:dyDescent="0.3">
      <c r="B1392" s="91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x14ac:dyDescent="0.3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x14ac:dyDescent="0.3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x14ac:dyDescent="0.3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x14ac:dyDescent="0.3">
      <c r="B1396" s="65"/>
      <c r="C1396" s="78"/>
      <c r="D1396" s="109"/>
      <c r="E1396" s="68"/>
      <c r="F1396" s="77"/>
      <c r="G1396" s="214"/>
      <c r="H1396" s="303"/>
      <c r="I1396" s="225"/>
      <c r="J1396" s="350"/>
      <c r="K1396" s="69"/>
      <c r="L1396" s="285"/>
      <c r="M1396" s="116"/>
      <c r="N1396" s="212"/>
    </row>
    <row r="1397" spans="2:14" x14ac:dyDescent="0.3">
      <c r="B1397" s="65"/>
      <c r="C1397" s="78"/>
      <c r="D1397" s="109"/>
      <c r="E1397" s="68"/>
      <c r="F1397" s="77"/>
      <c r="G1397" s="214"/>
      <c r="H1397" s="303"/>
      <c r="I1397" s="225"/>
      <c r="J1397" s="350"/>
      <c r="K1397" s="69"/>
      <c r="L1397" s="285"/>
      <c r="M1397" s="116"/>
      <c r="N1397" s="212"/>
    </row>
    <row r="1398" spans="2:14" x14ac:dyDescent="0.3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x14ac:dyDescent="0.3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x14ac:dyDescent="0.3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x14ac:dyDescent="0.3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x14ac:dyDescent="0.3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x14ac:dyDescent="0.3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x14ac:dyDescent="0.3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x14ac:dyDescent="0.3">
      <c r="B1405" s="91"/>
      <c r="C1405" s="66"/>
      <c r="D1405" s="109"/>
      <c r="E1405" s="68"/>
      <c r="F1405" s="68"/>
      <c r="G1405" s="296"/>
      <c r="H1405" s="303"/>
      <c r="I1405" s="225"/>
      <c r="J1405" s="350"/>
      <c r="K1405" s="69"/>
      <c r="L1405" s="285"/>
      <c r="M1405" s="116"/>
      <c r="N1405" s="212"/>
    </row>
    <row r="1406" spans="2:14" x14ac:dyDescent="0.3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x14ac:dyDescent="0.3">
      <c r="B1407" s="91"/>
      <c r="C1407" s="66"/>
      <c r="D1407" s="109"/>
      <c r="E1407" s="68"/>
      <c r="F1407" s="68"/>
      <c r="G1407" s="296"/>
      <c r="H1407" s="303"/>
      <c r="I1407" s="225"/>
      <c r="J1407" s="350"/>
      <c r="K1407" s="69"/>
      <c r="L1407" s="285"/>
      <c r="M1407" s="116"/>
      <c r="N1407" s="212"/>
    </row>
    <row r="1408" spans="2:14" x14ac:dyDescent="0.3">
      <c r="B1408" s="91"/>
      <c r="C1408" s="66"/>
      <c r="D1408" s="109"/>
      <c r="E1408" s="68"/>
      <c r="F1408" s="77"/>
      <c r="G1408" s="26"/>
      <c r="H1408" s="303"/>
      <c r="I1408" s="225"/>
      <c r="J1408" s="350"/>
      <c r="K1408" s="69"/>
      <c r="L1408" s="285"/>
      <c r="M1408" s="116"/>
      <c r="N1408" s="212"/>
    </row>
    <row r="1409" spans="2:14" x14ac:dyDescent="0.3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x14ac:dyDescent="0.3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x14ac:dyDescent="0.3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x14ac:dyDescent="0.3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x14ac:dyDescent="0.3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x14ac:dyDescent="0.3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x14ac:dyDescent="0.3">
      <c r="B1415" s="65"/>
      <c r="C1415" s="23"/>
      <c r="D1415" s="37"/>
      <c r="E1415" s="60"/>
      <c r="F1415" s="26"/>
      <c r="G1415" s="26"/>
      <c r="H1415" s="303"/>
      <c r="I1415" s="225"/>
      <c r="J1415" s="350"/>
      <c r="K1415" s="69"/>
      <c r="L1415" s="285"/>
      <c r="M1415" s="116"/>
      <c r="N1415" s="212"/>
    </row>
    <row r="1416" spans="2:14" x14ac:dyDescent="0.3">
      <c r="B1416" s="65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x14ac:dyDescent="0.3">
      <c r="B1417" s="65"/>
      <c r="C1417" s="78"/>
      <c r="D1417" s="109"/>
      <c r="E1417" s="68"/>
      <c r="F1417" s="77"/>
      <c r="G1417" s="305"/>
      <c r="H1417" s="215"/>
      <c r="I1417" s="293"/>
      <c r="J1417" s="348"/>
      <c r="K1417" s="69"/>
      <c r="L1417" s="216"/>
      <c r="M1417" s="116"/>
      <c r="N1417" s="212"/>
    </row>
    <row r="1418" spans="2:14" x14ac:dyDescent="0.3">
      <c r="B1418" s="91"/>
      <c r="C1418" s="78"/>
      <c r="D1418" s="109"/>
      <c r="E1418" s="68"/>
      <c r="F1418" s="77"/>
      <c r="G1418" s="302"/>
      <c r="H1418" s="303"/>
      <c r="I1418" s="225"/>
      <c r="J1418" s="350"/>
      <c r="K1418" s="69"/>
      <c r="L1418" s="285"/>
      <c r="M1418" s="116"/>
      <c r="N1418" s="212"/>
    </row>
    <row r="1419" spans="2:14" x14ac:dyDescent="0.3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x14ac:dyDescent="0.3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x14ac:dyDescent="0.3">
      <c r="B1421" s="91"/>
      <c r="C1421" s="78"/>
      <c r="D1421" s="109"/>
      <c r="E1421" s="68"/>
      <c r="F1421" s="77"/>
      <c r="G1421" s="214"/>
      <c r="H1421" s="303"/>
      <c r="I1421" s="225"/>
      <c r="J1421" s="350"/>
      <c r="K1421" s="69"/>
      <c r="L1421" s="285"/>
      <c r="M1421" s="116"/>
      <c r="N1421" s="212"/>
    </row>
    <row r="1422" spans="2:14" x14ac:dyDescent="0.3">
      <c r="B1422" s="91"/>
      <c r="C1422" s="78"/>
      <c r="D1422" s="109"/>
      <c r="E1422" s="68"/>
      <c r="F1422" s="77"/>
      <c r="G1422" s="214"/>
      <c r="H1422" s="303"/>
      <c r="I1422" s="225"/>
      <c r="J1422" s="350"/>
      <c r="K1422" s="69"/>
      <c r="L1422" s="285"/>
      <c r="M1422" s="116"/>
      <c r="N1422" s="212"/>
    </row>
    <row r="1423" spans="2:14" x14ac:dyDescent="0.3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x14ac:dyDescent="0.3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x14ac:dyDescent="0.3">
      <c r="B1425" s="91"/>
      <c r="C1425" s="23"/>
      <c r="D1425" s="37"/>
      <c r="E1425" s="60"/>
      <c r="F1425" s="26"/>
      <c r="G1425" s="104"/>
      <c r="H1425" s="303"/>
      <c r="I1425" s="225"/>
      <c r="J1425" s="350"/>
      <c r="K1425" s="69"/>
      <c r="L1425" s="285"/>
      <c r="M1425" s="116"/>
      <c r="N1425" s="212"/>
    </row>
    <row r="1426" spans="2:14" x14ac:dyDescent="0.3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x14ac:dyDescent="0.3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x14ac:dyDescent="0.3">
      <c r="B1428" s="65"/>
      <c r="C1428" s="23"/>
      <c r="D1428" s="290"/>
      <c r="E1428" s="291"/>
      <c r="F1428" s="304"/>
      <c r="G1428" s="284"/>
      <c r="H1428" s="303"/>
      <c r="I1428" s="225"/>
      <c r="J1428" s="350"/>
      <c r="K1428" s="69"/>
      <c r="L1428" s="285"/>
      <c r="M1428" s="116"/>
      <c r="N1428" s="212"/>
    </row>
    <row r="1429" spans="2:14" x14ac:dyDescent="0.3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x14ac:dyDescent="0.3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x14ac:dyDescent="0.3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80"/>
      <c r="L1431" s="285"/>
      <c r="M1431" s="116"/>
      <c r="N1431" s="212"/>
    </row>
    <row r="1432" spans="2:14" x14ac:dyDescent="0.3">
      <c r="B1432" s="91"/>
      <c r="C1432" s="23"/>
      <c r="D1432" s="37"/>
      <c r="E1432" s="60"/>
      <c r="F1432" s="26"/>
      <c r="G1432" s="104"/>
      <c r="H1432" s="303"/>
      <c r="I1432" s="225"/>
      <c r="J1432" s="350"/>
      <c r="K1432" s="69"/>
      <c r="L1432" s="285"/>
      <c r="M1432" s="116"/>
      <c r="N1432" s="212"/>
    </row>
    <row r="1433" spans="2:14" x14ac:dyDescent="0.3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27"/>
      <c r="L1433" s="285"/>
      <c r="M1433" s="116"/>
      <c r="N1433" s="212"/>
    </row>
    <row r="1434" spans="2:14" x14ac:dyDescent="0.3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x14ac:dyDescent="0.3">
      <c r="B1435" s="91"/>
      <c r="C1435" s="78"/>
      <c r="D1435" s="109"/>
      <c r="E1435" s="68"/>
      <c r="F1435" s="77"/>
      <c r="G1435" s="214"/>
      <c r="H1435" s="303"/>
      <c r="I1435" s="225"/>
      <c r="J1435" s="350"/>
      <c r="K1435" s="69"/>
      <c r="L1435" s="285"/>
      <c r="M1435" s="116"/>
      <c r="N1435" s="212"/>
    </row>
    <row r="1436" spans="2:14" x14ac:dyDescent="0.3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x14ac:dyDescent="0.3">
      <c r="B1437" s="91"/>
      <c r="C1437" s="66"/>
      <c r="D1437" s="109"/>
      <c r="E1437" s="68"/>
      <c r="F1437" s="77"/>
      <c r="G1437" s="26"/>
      <c r="H1437" s="303"/>
      <c r="I1437" s="225"/>
      <c r="J1437" s="350"/>
      <c r="K1437" s="69"/>
      <c r="L1437" s="285"/>
      <c r="M1437" s="116"/>
      <c r="N1437" s="212"/>
    </row>
    <row r="1438" spans="2:14" x14ac:dyDescent="0.3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x14ac:dyDescent="0.3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x14ac:dyDescent="0.3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290"/>
      <c r="L1440" s="285"/>
      <c r="M1440" s="116"/>
      <c r="N1440" s="212"/>
    </row>
    <row r="1441" spans="2:14" x14ac:dyDescent="0.3">
      <c r="B1441" s="65"/>
      <c r="C1441" s="66"/>
      <c r="D1441" s="109"/>
      <c r="E1441" s="68"/>
      <c r="F1441" s="77"/>
      <c r="G1441" s="104"/>
      <c r="H1441" s="303"/>
      <c r="I1441" s="225"/>
      <c r="J1441" s="350"/>
      <c r="K1441" s="69"/>
      <c r="L1441" s="285"/>
      <c r="M1441" s="116"/>
      <c r="N1441" s="212"/>
    </row>
    <row r="1442" spans="2:14" x14ac:dyDescent="0.3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x14ac:dyDescent="0.3">
      <c r="B1443" s="65"/>
      <c r="C1443" s="286"/>
      <c r="D1443" s="286"/>
      <c r="E1443" s="306"/>
      <c r="F1443" s="307"/>
      <c r="G1443" s="307"/>
      <c r="H1443" s="303"/>
      <c r="I1443" s="225"/>
      <c r="J1443" s="350"/>
      <c r="K1443" s="69"/>
      <c r="L1443" s="285"/>
      <c r="M1443" s="116"/>
      <c r="N1443" s="212"/>
    </row>
    <row r="1444" spans="2:14" x14ac:dyDescent="0.3">
      <c r="B1444" s="65"/>
      <c r="C1444" s="78"/>
      <c r="D1444" s="109"/>
      <c r="E1444" s="68"/>
      <c r="F1444" s="77"/>
      <c r="G1444" s="214"/>
      <c r="H1444" s="215"/>
      <c r="I1444" s="293"/>
      <c r="J1444" s="348"/>
      <c r="K1444" s="69"/>
      <c r="L1444" s="285"/>
      <c r="M1444" s="116"/>
      <c r="N1444" s="212"/>
    </row>
    <row r="1445" spans="2:14" x14ac:dyDescent="0.3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x14ac:dyDescent="0.3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x14ac:dyDescent="0.3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x14ac:dyDescent="0.3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x14ac:dyDescent="0.3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x14ac:dyDescent="0.3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x14ac:dyDescent="0.3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x14ac:dyDescent="0.3">
      <c r="B1452" s="65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x14ac:dyDescent="0.3">
      <c r="B1453" s="65"/>
      <c r="C1453" s="78"/>
      <c r="D1453" s="109"/>
      <c r="E1453" s="68"/>
      <c r="F1453" s="77"/>
      <c r="G1453" s="308"/>
      <c r="H1453" s="215"/>
      <c r="I1453" s="293"/>
      <c r="J1453" s="348"/>
      <c r="K1453" s="69"/>
      <c r="L1453" s="216"/>
      <c r="M1453" s="116"/>
      <c r="N1453" s="212"/>
    </row>
    <row r="1454" spans="2:14" x14ac:dyDescent="0.3">
      <c r="B1454" s="65"/>
      <c r="C1454" s="66"/>
      <c r="D1454" s="109"/>
      <c r="E1454" s="68"/>
      <c r="F1454" s="77"/>
      <c r="G1454" s="309"/>
      <c r="H1454" s="303"/>
      <c r="I1454" s="225"/>
      <c r="J1454" s="350"/>
      <c r="K1454" s="69"/>
      <c r="L1454" s="285"/>
      <c r="M1454" s="116"/>
      <c r="N1454" s="212"/>
    </row>
    <row r="1455" spans="2:14" x14ac:dyDescent="0.3">
      <c r="B1455" s="65"/>
      <c r="C1455" s="66"/>
      <c r="D1455" s="109"/>
      <c r="E1455" s="68"/>
      <c r="F1455" s="77"/>
      <c r="G1455" s="309"/>
      <c r="H1455" s="303"/>
      <c r="I1455" s="225"/>
      <c r="J1455" s="350"/>
      <c r="K1455" s="69"/>
      <c r="L1455" s="285"/>
      <c r="M1455" s="116"/>
      <c r="N1455" s="212"/>
    </row>
    <row r="1456" spans="2:14" x14ac:dyDescent="0.3">
      <c r="B1456" s="65"/>
      <c r="C1456" s="66"/>
      <c r="D1456" s="109"/>
      <c r="E1456" s="68"/>
      <c r="F1456" s="77"/>
      <c r="G1456" s="104"/>
      <c r="H1456" s="121"/>
      <c r="I1456" s="107"/>
      <c r="J1456" s="351"/>
      <c r="K1456" s="69"/>
      <c r="L1456" s="285"/>
      <c r="M1456" s="116"/>
      <c r="N1456" s="212"/>
    </row>
    <row r="1457" spans="2:14" x14ac:dyDescent="0.3">
      <c r="B1457" s="65"/>
      <c r="C1457" s="66"/>
      <c r="D1457" s="109"/>
      <c r="E1457" s="68"/>
      <c r="F1457" s="77"/>
      <c r="G1457" s="104"/>
      <c r="H1457" s="121"/>
      <c r="I1457" s="107"/>
      <c r="J1457" s="351"/>
      <c r="K1457" s="69"/>
      <c r="L1457" s="285"/>
      <c r="M1457" s="116"/>
      <c r="N1457" s="212"/>
    </row>
    <row r="1458" spans="2:14" x14ac:dyDescent="0.3">
      <c r="B1458" s="65"/>
      <c r="C1458" s="66"/>
      <c r="D1458" s="109"/>
      <c r="E1458" s="68"/>
      <c r="F1458" s="77"/>
      <c r="G1458" s="310"/>
      <c r="H1458" s="121"/>
      <c r="I1458" s="107"/>
      <c r="J1458" s="351"/>
      <c r="K1458" s="69"/>
      <c r="L1458" s="285"/>
      <c r="M1458" s="116"/>
      <c r="N1458" s="212"/>
    </row>
    <row r="1459" spans="2:14" x14ac:dyDescent="0.3">
      <c r="B1459" s="65"/>
      <c r="C1459" s="66"/>
      <c r="D1459" s="109"/>
      <c r="E1459" s="68"/>
      <c r="F1459" s="77"/>
      <c r="G1459" s="296"/>
      <c r="H1459" s="121"/>
      <c r="I1459" s="107"/>
      <c r="J1459" s="351"/>
      <c r="K1459" s="69"/>
      <c r="L1459" s="285"/>
      <c r="M1459" s="116"/>
      <c r="N1459" s="212"/>
    </row>
    <row r="1460" spans="2:14" x14ac:dyDescent="0.3">
      <c r="B1460" s="65"/>
      <c r="C1460" s="66"/>
      <c r="D1460" s="109"/>
      <c r="E1460" s="68"/>
      <c r="F1460" s="77"/>
      <c r="G1460" s="104"/>
      <c r="H1460" s="121"/>
      <c r="I1460" s="107"/>
      <c r="J1460" s="351"/>
      <c r="K1460" s="69"/>
      <c r="L1460" s="285"/>
      <c r="M1460" s="116"/>
      <c r="N1460" s="212"/>
    </row>
    <row r="1461" spans="2:14" x14ac:dyDescent="0.3">
      <c r="B1461" s="65"/>
      <c r="C1461" s="66"/>
      <c r="D1461" s="109"/>
      <c r="E1461" s="68"/>
      <c r="F1461" s="77"/>
      <c r="G1461" s="296"/>
      <c r="H1461" s="121"/>
      <c r="I1461" s="107"/>
      <c r="J1461" s="351"/>
      <c r="K1461" s="69"/>
      <c r="L1461" s="285"/>
      <c r="M1461" s="116"/>
      <c r="N1461" s="212"/>
    </row>
    <row r="1462" spans="2:14" x14ac:dyDescent="0.3">
      <c r="B1462" s="91"/>
      <c r="C1462" s="78"/>
      <c r="D1462" s="109"/>
      <c r="E1462" s="68"/>
      <c r="F1462" s="77"/>
      <c r="G1462" s="311"/>
      <c r="H1462" s="121"/>
      <c r="I1462" s="107"/>
      <c r="J1462" s="351"/>
      <c r="K1462" s="69"/>
      <c r="L1462" s="285"/>
      <c r="M1462" s="116"/>
      <c r="N1462" s="212"/>
    </row>
    <row r="1463" spans="2:14" x14ac:dyDescent="0.3">
      <c r="B1463" s="91"/>
      <c r="C1463" s="66"/>
      <c r="D1463" s="109"/>
      <c r="E1463" s="68"/>
      <c r="F1463" s="77"/>
      <c r="G1463" s="104"/>
      <c r="H1463" s="121"/>
      <c r="I1463" s="107"/>
      <c r="J1463" s="351"/>
      <c r="K1463" s="69"/>
      <c r="L1463" s="285"/>
      <c r="M1463" s="116"/>
      <c r="N1463" s="212"/>
    </row>
    <row r="1464" spans="2:14" x14ac:dyDescent="0.3">
      <c r="B1464" s="91"/>
      <c r="C1464" s="66"/>
      <c r="D1464" s="109"/>
      <c r="E1464" s="68"/>
      <c r="F1464" s="68"/>
      <c r="G1464" s="104"/>
      <c r="H1464" s="121"/>
      <c r="I1464" s="107"/>
      <c r="J1464" s="351"/>
      <c r="K1464" s="69"/>
      <c r="L1464" s="285"/>
      <c r="M1464" s="116"/>
      <c r="N1464" s="212"/>
    </row>
    <row r="1465" spans="2:14" x14ac:dyDescent="0.3">
      <c r="B1465" s="91"/>
      <c r="C1465" s="66"/>
      <c r="D1465" s="109"/>
      <c r="E1465" s="68"/>
      <c r="F1465" s="77"/>
      <c r="G1465" s="296"/>
      <c r="H1465" s="121"/>
      <c r="I1465" s="107"/>
      <c r="J1465" s="351"/>
      <c r="K1465" s="69"/>
      <c r="L1465" s="285"/>
      <c r="M1465" s="116"/>
      <c r="N1465" s="212"/>
    </row>
    <row r="1466" spans="2:14" x14ac:dyDescent="0.3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x14ac:dyDescent="0.3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x14ac:dyDescent="0.3">
      <c r="B1468" s="91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x14ac:dyDescent="0.3">
      <c r="B1469" s="65"/>
      <c r="C1469" s="78"/>
      <c r="D1469" s="109"/>
      <c r="E1469" s="68"/>
      <c r="F1469" s="77"/>
      <c r="G1469" s="311"/>
      <c r="H1469" s="312"/>
      <c r="I1469" s="313"/>
      <c r="J1469" s="352"/>
      <c r="K1469" s="69"/>
      <c r="L1469" s="285"/>
      <c r="M1469" s="116"/>
      <c r="N1469" s="212"/>
    </row>
    <row r="1470" spans="2:14" x14ac:dyDescent="0.3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x14ac:dyDescent="0.3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x14ac:dyDescent="0.3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x14ac:dyDescent="0.3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x14ac:dyDescent="0.3">
      <c r="B1474" s="91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x14ac:dyDescent="0.3">
      <c r="B1475" s="91"/>
      <c r="C1475" s="78"/>
      <c r="D1475" s="109"/>
      <c r="E1475" s="68"/>
      <c r="F1475" s="77"/>
      <c r="G1475" s="311"/>
      <c r="H1475" s="312"/>
      <c r="I1475" s="313"/>
      <c r="J1475" s="352"/>
      <c r="K1475" s="69"/>
      <c r="L1475" s="285"/>
      <c r="M1475" s="116"/>
      <c r="N1475" s="212"/>
    </row>
    <row r="1476" spans="2:14" x14ac:dyDescent="0.3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x14ac:dyDescent="0.3">
      <c r="B1477" s="91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x14ac:dyDescent="0.3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x14ac:dyDescent="0.3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x14ac:dyDescent="0.3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x14ac:dyDescent="0.3">
      <c r="B1481" s="65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216"/>
      <c r="M1481" s="116"/>
      <c r="N1481" s="212"/>
    </row>
    <row r="1482" spans="2:14" x14ac:dyDescent="0.3">
      <c r="B1482" s="314"/>
      <c r="C1482" s="78"/>
      <c r="D1482" s="109"/>
      <c r="E1482" s="68"/>
      <c r="F1482" s="77"/>
      <c r="G1482" s="311"/>
      <c r="H1482" s="312"/>
      <c r="I1482" s="313"/>
      <c r="J1482" s="352"/>
      <c r="K1482" s="69"/>
      <c r="L1482" s="216"/>
      <c r="M1482" s="116"/>
      <c r="N1482" s="212"/>
    </row>
    <row r="1483" spans="2:14" x14ac:dyDescent="0.3">
      <c r="B1483" s="315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126"/>
      <c r="M1483" s="116"/>
      <c r="N1483" s="217"/>
    </row>
    <row r="1484" spans="2:14" x14ac:dyDescent="0.3">
      <c r="B1484" s="315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126"/>
      <c r="M1484" s="116"/>
      <c r="N1484" s="217"/>
    </row>
    <row r="1485" spans="2:14" x14ac:dyDescent="0.3">
      <c r="B1485" s="314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16"/>
      <c r="M1485" s="116"/>
      <c r="N1485" s="212"/>
    </row>
    <row r="1486" spans="2:14" x14ac:dyDescent="0.3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126"/>
      <c r="M1486" s="116"/>
      <c r="N1486" s="217"/>
    </row>
    <row r="1487" spans="2:14" x14ac:dyDescent="0.3">
      <c r="B1487" s="91"/>
      <c r="C1487" s="316"/>
      <c r="D1487" s="65"/>
      <c r="E1487" s="68"/>
      <c r="F1487" s="117"/>
      <c r="G1487" s="117"/>
      <c r="H1487" s="121"/>
      <c r="I1487" s="107"/>
      <c r="J1487" s="351"/>
      <c r="K1487" s="69"/>
      <c r="L1487" s="126"/>
      <c r="M1487" s="116"/>
      <c r="N1487" s="217"/>
    </row>
    <row r="1488" spans="2:14" x14ac:dyDescent="0.3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x14ac:dyDescent="0.3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x14ac:dyDescent="0.3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x14ac:dyDescent="0.3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x14ac:dyDescent="0.3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126"/>
      <c r="M1492" s="116"/>
      <c r="N1492" s="212"/>
    </row>
    <row r="1493" spans="2:14" x14ac:dyDescent="0.3">
      <c r="B1493" s="65"/>
      <c r="C1493" s="78"/>
      <c r="D1493" s="109"/>
      <c r="E1493" s="68"/>
      <c r="F1493" s="77"/>
      <c r="G1493" s="311"/>
      <c r="H1493" s="312"/>
      <c r="I1493" s="107"/>
      <c r="J1493" s="351"/>
      <c r="K1493" s="69"/>
      <c r="L1493" s="126"/>
      <c r="M1493" s="116"/>
      <c r="N1493" s="212"/>
    </row>
    <row r="1494" spans="2:14" x14ac:dyDescent="0.3">
      <c r="B1494" s="65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126"/>
      <c r="M1494" s="116"/>
      <c r="N1494" s="212"/>
    </row>
    <row r="1495" spans="2:14" x14ac:dyDescent="0.3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126"/>
      <c r="M1495" s="116"/>
      <c r="N1495" s="212"/>
    </row>
    <row r="1496" spans="2:14" x14ac:dyDescent="0.3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126"/>
      <c r="M1496" s="116"/>
      <c r="N1496" s="212"/>
    </row>
    <row r="1497" spans="2:14" x14ac:dyDescent="0.3">
      <c r="B1497" s="6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16"/>
      <c r="M1497" s="116"/>
      <c r="N1497" s="212"/>
    </row>
    <row r="1498" spans="2:14" x14ac:dyDescent="0.3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x14ac:dyDescent="0.3">
      <c r="B1499" s="6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216"/>
      <c r="M1499" s="116"/>
      <c r="N1499" s="212"/>
    </row>
    <row r="1500" spans="2:14" x14ac:dyDescent="0.3">
      <c r="B1500" s="65"/>
      <c r="C1500" s="78"/>
      <c r="D1500" s="109"/>
      <c r="E1500" s="68"/>
      <c r="F1500" s="77"/>
      <c r="G1500" s="311"/>
      <c r="H1500" s="312"/>
      <c r="I1500" s="107"/>
      <c r="J1500" s="351"/>
      <c r="K1500" s="69"/>
      <c r="L1500" s="285"/>
      <c r="M1500" s="116"/>
      <c r="N1500" s="212"/>
    </row>
    <row r="1501" spans="2:14" x14ac:dyDescent="0.3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x14ac:dyDescent="0.3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x14ac:dyDescent="0.3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x14ac:dyDescent="0.3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x14ac:dyDescent="0.3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x14ac:dyDescent="0.3">
      <c r="B1506" s="65"/>
      <c r="C1506" s="78"/>
      <c r="D1506" s="109"/>
      <c r="E1506" s="68"/>
      <c r="F1506" s="77"/>
      <c r="G1506" s="311"/>
      <c r="H1506" s="312"/>
      <c r="I1506" s="313"/>
      <c r="J1506" s="352"/>
      <c r="K1506" s="69"/>
      <c r="L1506" s="216"/>
      <c r="M1506" s="116"/>
      <c r="N1506" s="212"/>
    </row>
    <row r="1507" spans="2:14" x14ac:dyDescent="0.3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7"/>
    </row>
    <row r="1508" spans="2:14" x14ac:dyDescent="0.3">
      <c r="B1508" s="91"/>
      <c r="C1508" s="66"/>
      <c r="D1508" s="109"/>
      <c r="E1508" s="68"/>
      <c r="F1508" s="77"/>
      <c r="G1508" s="104"/>
      <c r="H1508" s="123"/>
      <c r="I1508" s="107"/>
      <c r="J1508" s="351"/>
      <c r="K1508" s="69"/>
      <c r="L1508" s="126"/>
      <c r="M1508" s="116"/>
      <c r="N1508" s="217"/>
    </row>
    <row r="1509" spans="2:14" x14ac:dyDescent="0.3">
      <c r="B1509" s="91"/>
      <c r="C1509" s="66"/>
      <c r="D1509" s="109"/>
      <c r="E1509" s="68"/>
      <c r="F1509" s="77"/>
      <c r="G1509" s="104"/>
      <c r="H1509" s="121"/>
      <c r="I1509" s="107"/>
      <c r="J1509" s="351"/>
      <c r="K1509" s="80"/>
      <c r="L1509" s="126"/>
      <c r="M1509" s="117"/>
      <c r="N1509" s="217"/>
    </row>
    <row r="1510" spans="2:14" x14ac:dyDescent="0.3">
      <c r="B1510" s="37"/>
      <c r="C1510" s="66"/>
      <c r="D1510" s="109"/>
      <c r="E1510" s="68"/>
      <c r="F1510" s="77"/>
      <c r="G1510" s="104"/>
      <c r="H1510" s="123"/>
      <c r="I1510" s="107"/>
      <c r="J1510" s="351"/>
      <c r="K1510" s="80"/>
      <c r="L1510" s="126"/>
      <c r="M1510" s="116"/>
      <c r="N1510" s="217"/>
    </row>
    <row r="1511" spans="2:14" x14ac:dyDescent="0.3">
      <c r="B1511" s="37"/>
      <c r="C1511" s="66"/>
      <c r="D1511" s="109"/>
      <c r="E1511" s="68"/>
      <c r="F1511" s="68"/>
      <c r="G1511" s="104"/>
      <c r="H1511" s="121"/>
      <c r="I1511" s="107"/>
      <c r="J1511" s="351"/>
      <c r="K1511" s="69"/>
      <c r="L1511" s="126"/>
      <c r="M1511" s="116"/>
      <c r="N1511" s="217"/>
    </row>
    <row r="1512" spans="2:14" x14ac:dyDescent="0.3">
      <c r="B1512" s="37"/>
      <c r="C1512" s="316"/>
      <c r="D1512" s="65"/>
      <c r="E1512" s="68"/>
      <c r="F1512" s="117"/>
      <c r="G1512" s="117"/>
      <c r="H1512" s="121"/>
      <c r="I1512" s="107"/>
      <c r="J1512" s="351"/>
      <c r="K1512" s="69"/>
      <c r="L1512" s="126"/>
      <c r="M1512" s="116"/>
      <c r="N1512" s="217"/>
    </row>
    <row r="1513" spans="2:14" x14ac:dyDescent="0.3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x14ac:dyDescent="0.3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x14ac:dyDescent="0.3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x14ac:dyDescent="0.3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x14ac:dyDescent="0.3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x14ac:dyDescent="0.3">
      <c r="B1518" s="37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126"/>
      <c r="M1518" s="116"/>
      <c r="N1518" s="217"/>
    </row>
    <row r="1519" spans="2:14" x14ac:dyDescent="0.3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x14ac:dyDescent="0.3">
      <c r="B1520" s="91"/>
      <c r="C1520" s="66"/>
      <c r="D1520" s="109"/>
      <c r="E1520" s="68"/>
      <c r="F1520" s="77"/>
      <c r="G1520" s="104"/>
      <c r="H1520" s="121"/>
      <c r="I1520" s="107"/>
      <c r="J1520" s="351"/>
      <c r="K1520" s="69"/>
      <c r="L1520" s="126"/>
      <c r="M1520" s="116"/>
      <c r="N1520" s="217"/>
    </row>
    <row r="1521" spans="2:14" x14ac:dyDescent="0.3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x14ac:dyDescent="0.3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x14ac:dyDescent="0.3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x14ac:dyDescent="0.3">
      <c r="B1524" s="91"/>
      <c r="C1524" s="78"/>
      <c r="D1524" s="109"/>
      <c r="E1524" s="68"/>
      <c r="F1524" s="77"/>
      <c r="G1524" s="311"/>
      <c r="H1524" s="312"/>
      <c r="I1524" s="107"/>
      <c r="J1524" s="351"/>
      <c r="K1524" s="69"/>
      <c r="L1524" s="126"/>
      <c r="M1524" s="116"/>
      <c r="N1524" s="217"/>
    </row>
    <row r="1525" spans="2:14" x14ac:dyDescent="0.3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x14ac:dyDescent="0.3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x14ac:dyDescent="0.3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x14ac:dyDescent="0.3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x14ac:dyDescent="0.3">
      <c r="B1529" s="65"/>
      <c r="C1529" s="78"/>
      <c r="D1529" s="109"/>
      <c r="E1529" s="68"/>
      <c r="F1529" s="77"/>
      <c r="G1529" s="311"/>
      <c r="H1529" s="312"/>
      <c r="I1529" s="313"/>
      <c r="J1529" s="352"/>
      <c r="K1529" s="69"/>
      <c r="L1529" s="216"/>
      <c r="M1529" s="116"/>
      <c r="N1529" s="212"/>
    </row>
    <row r="1530" spans="2:14" x14ac:dyDescent="0.3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x14ac:dyDescent="0.3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x14ac:dyDescent="0.3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x14ac:dyDescent="0.3">
      <c r="B1533" s="91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x14ac:dyDescent="0.3">
      <c r="B1534" s="65"/>
      <c r="C1534" s="78"/>
      <c r="D1534" s="109"/>
      <c r="E1534" s="68"/>
      <c r="F1534" s="77"/>
      <c r="G1534" s="311"/>
      <c r="H1534" s="312"/>
      <c r="I1534" s="107"/>
      <c r="J1534" s="351"/>
      <c r="K1534" s="69"/>
      <c r="L1534" s="126"/>
      <c r="M1534" s="116"/>
      <c r="N1534" s="217"/>
    </row>
    <row r="1535" spans="2:14" x14ac:dyDescent="0.3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x14ac:dyDescent="0.3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x14ac:dyDescent="0.3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x14ac:dyDescent="0.3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x14ac:dyDescent="0.3">
      <c r="B1539" s="65"/>
      <c r="C1539" s="66"/>
      <c r="D1539" s="109"/>
      <c r="E1539" s="68"/>
      <c r="F1539" s="68"/>
      <c r="G1539" s="104"/>
      <c r="H1539" s="121"/>
      <c r="I1539" s="107"/>
      <c r="J1539" s="351"/>
      <c r="K1539" s="69"/>
      <c r="L1539" s="126"/>
      <c r="M1539" s="116"/>
      <c r="N1539" s="217"/>
    </row>
    <row r="1540" spans="2:14" x14ac:dyDescent="0.3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x14ac:dyDescent="0.3">
      <c r="B1541" s="65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x14ac:dyDescent="0.3">
      <c r="B1542" s="65"/>
      <c r="C1542" s="78"/>
      <c r="D1542" s="109"/>
      <c r="E1542" s="68"/>
      <c r="F1542" s="77"/>
      <c r="G1542" s="311"/>
      <c r="H1542" s="123"/>
      <c r="I1542" s="107"/>
      <c r="J1542" s="351"/>
      <c r="K1542" s="69"/>
      <c r="L1542" s="126"/>
      <c r="M1542" s="116"/>
      <c r="N1542" s="217"/>
    </row>
    <row r="1543" spans="2:14" x14ac:dyDescent="0.3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x14ac:dyDescent="0.3">
      <c r="B1544" s="91"/>
      <c r="C1544" s="66"/>
      <c r="D1544" s="109"/>
      <c r="E1544" s="68"/>
      <c r="F1544" s="77"/>
      <c r="G1544" s="104"/>
      <c r="H1544" s="121"/>
      <c r="I1544" s="129"/>
      <c r="J1544" s="353"/>
      <c r="K1544" s="80"/>
      <c r="L1544" s="126"/>
      <c r="M1544" s="116"/>
      <c r="N1544" s="217"/>
    </row>
    <row r="1545" spans="2:14" x14ac:dyDescent="0.3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x14ac:dyDescent="0.3">
      <c r="B1546" s="65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317"/>
    </row>
    <row r="1547" spans="2:14" x14ac:dyDescent="0.3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317"/>
    </row>
    <row r="1548" spans="2:14" x14ac:dyDescent="0.3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x14ac:dyDescent="0.3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x14ac:dyDescent="0.3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x14ac:dyDescent="0.3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2"/>
    </row>
    <row r="1552" spans="2:14" x14ac:dyDescent="0.3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x14ac:dyDescent="0.3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x14ac:dyDescent="0.3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x14ac:dyDescent="0.3">
      <c r="B1555" s="65"/>
      <c r="C1555" s="78"/>
      <c r="D1555" s="109"/>
      <c r="E1555" s="68"/>
      <c r="F1555" s="77"/>
      <c r="G1555" s="311"/>
      <c r="H1555" s="312"/>
      <c r="I1555" s="313"/>
      <c r="J1555" s="352"/>
      <c r="K1555" s="69"/>
      <c r="L1555" s="216"/>
      <c r="M1555" s="116"/>
      <c r="N1555" s="212"/>
    </row>
    <row r="1556" spans="2:14" x14ac:dyDescent="0.3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x14ac:dyDescent="0.3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79"/>
      <c r="L1557" s="126"/>
      <c r="M1557" s="115"/>
      <c r="N1557" s="217"/>
    </row>
    <row r="1558" spans="2:14" x14ac:dyDescent="0.3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x14ac:dyDescent="0.3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x14ac:dyDescent="0.3">
      <c r="B1560" s="91"/>
      <c r="C1560" s="66"/>
      <c r="D1560" s="109"/>
      <c r="E1560" s="68"/>
      <c r="F1560" s="77"/>
      <c r="G1560" s="104"/>
      <c r="H1560" s="121"/>
      <c r="I1560" s="107"/>
      <c r="J1560" s="351"/>
      <c r="K1560" s="79"/>
      <c r="L1560" s="126"/>
      <c r="M1560" s="115"/>
      <c r="N1560" s="217"/>
    </row>
    <row r="1561" spans="2:14" x14ac:dyDescent="0.3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x14ac:dyDescent="0.3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x14ac:dyDescent="0.3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x14ac:dyDescent="0.3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x14ac:dyDescent="0.3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7"/>
    </row>
    <row r="1566" spans="2:14" x14ac:dyDescent="0.3">
      <c r="B1566" s="65"/>
      <c r="C1566" s="78"/>
      <c r="D1566" s="109"/>
      <c r="E1566" s="68"/>
      <c r="F1566" s="77"/>
      <c r="G1566" s="311"/>
      <c r="H1566" s="312"/>
      <c r="I1566" s="107"/>
      <c r="J1566" s="351"/>
      <c r="K1566" s="69"/>
      <c r="L1566" s="126"/>
      <c r="M1566" s="116"/>
      <c r="N1566" s="217"/>
    </row>
    <row r="1567" spans="2:14" x14ac:dyDescent="0.3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7"/>
    </row>
    <row r="1568" spans="2:14" x14ac:dyDescent="0.3">
      <c r="B1568" s="65"/>
      <c r="C1568" s="66"/>
      <c r="D1568" s="109"/>
      <c r="E1568" s="68"/>
      <c r="F1568" s="77"/>
      <c r="G1568" s="104"/>
      <c r="H1568" s="123"/>
      <c r="I1568" s="107"/>
      <c r="J1568" s="351"/>
      <c r="K1568" s="69"/>
      <c r="L1568" s="126"/>
      <c r="M1568" s="116"/>
      <c r="N1568" s="217"/>
    </row>
    <row r="1569" spans="2:14" x14ac:dyDescent="0.3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x14ac:dyDescent="0.3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7"/>
    </row>
    <row r="1571" spans="2:14" x14ac:dyDescent="0.3">
      <c r="B1571" s="65"/>
      <c r="C1571" s="78"/>
      <c r="D1571" s="109"/>
      <c r="E1571" s="68"/>
      <c r="F1571" s="77"/>
      <c r="G1571" s="311"/>
      <c r="H1571" s="312"/>
      <c r="I1571" s="107"/>
      <c r="J1571" s="351"/>
      <c r="K1571" s="69"/>
      <c r="L1571" s="126"/>
      <c r="M1571" s="116"/>
      <c r="N1571" s="217"/>
    </row>
    <row r="1572" spans="2:14" x14ac:dyDescent="0.3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x14ac:dyDescent="0.3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x14ac:dyDescent="0.3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x14ac:dyDescent="0.3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x14ac:dyDescent="0.3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x14ac:dyDescent="0.3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0"/>
      <c r="M1577" s="116"/>
      <c r="N1577" s="218"/>
    </row>
    <row r="1578" spans="2:14" x14ac:dyDescent="0.3">
      <c r="B1578" s="91"/>
      <c r="C1578" s="66"/>
      <c r="D1578" s="109"/>
      <c r="E1578" s="68"/>
      <c r="F1578" s="68"/>
      <c r="G1578" s="104"/>
      <c r="H1578" s="121"/>
      <c r="I1578" s="107"/>
      <c r="J1578" s="351"/>
      <c r="K1578" s="69"/>
      <c r="L1578" s="120"/>
      <c r="M1578" s="116"/>
      <c r="N1578" s="218"/>
    </row>
    <row r="1579" spans="2:14" x14ac:dyDescent="0.3">
      <c r="B1579" s="91"/>
      <c r="C1579" s="66"/>
      <c r="D1579" s="109"/>
      <c r="E1579" s="68"/>
      <c r="F1579" s="77"/>
      <c r="G1579" s="104"/>
      <c r="H1579" s="123"/>
      <c r="I1579" s="107"/>
      <c r="J1579" s="351"/>
      <c r="K1579" s="69"/>
      <c r="L1579" s="120"/>
      <c r="M1579" s="116"/>
      <c r="N1579" s="218"/>
    </row>
    <row r="1580" spans="2:14" x14ac:dyDescent="0.3">
      <c r="B1580" s="65"/>
      <c r="C1580" s="78"/>
      <c r="D1580" s="109"/>
      <c r="E1580" s="68"/>
      <c r="F1580" s="77"/>
      <c r="G1580" s="311"/>
      <c r="H1580" s="312"/>
      <c r="I1580" s="313"/>
      <c r="J1580" s="352"/>
      <c r="K1580" s="69"/>
      <c r="L1580" s="318"/>
      <c r="M1580" s="116"/>
      <c r="N1580" s="318"/>
    </row>
    <row r="1581" spans="2:14" x14ac:dyDescent="0.3">
      <c r="B1581" s="91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0"/>
      <c r="M1581" s="116"/>
      <c r="N1581" s="218"/>
    </row>
    <row r="1582" spans="2:14" x14ac:dyDescent="0.3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318"/>
      <c r="M1582" s="116"/>
      <c r="N1582" s="318"/>
    </row>
    <row r="1583" spans="2:14" x14ac:dyDescent="0.3">
      <c r="B1583" s="65"/>
      <c r="C1583" s="78"/>
      <c r="D1583" s="109"/>
      <c r="E1583" s="68"/>
      <c r="F1583" s="77"/>
      <c r="G1583" s="311"/>
      <c r="H1583" s="312"/>
      <c r="I1583" s="313"/>
      <c r="J1583" s="352"/>
      <c r="K1583" s="69"/>
      <c r="L1583" s="118"/>
      <c r="M1583" s="116"/>
      <c r="N1583" s="318"/>
    </row>
    <row r="1584" spans="2:14" x14ac:dyDescent="0.3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18"/>
      <c r="M1584" s="116"/>
      <c r="N1584" s="318"/>
    </row>
    <row r="1585" spans="2:14" x14ac:dyDescent="0.3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x14ac:dyDescent="0.3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x14ac:dyDescent="0.3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318"/>
      <c r="M1587" s="116"/>
      <c r="N1587" s="318"/>
    </row>
    <row r="1588" spans="2:14" x14ac:dyDescent="0.3">
      <c r="B1588" s="65"/>
      <c r="C1588" s="66"/>
      <c r="D1588" s="109"/>
      <c r="E1588" s="68"/>
      <c r="F1588" s="68"/>
      <c r="G1588" s="104"/>
      <c r="H1588" s="121"/>
      <c r="I1588" s="107"/>
      <c r="J1588" s="351"/>
      <c r="K1588" s="69"/>
      <c r="L1588" s="120"/>
      <c r="M1588" s="116"/>
      <c r="N1588" s="218"/>
    </row>
    <row r="1589" spans="2:14" x14ac:dyDescent="0.3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120"/>
      <c r="M1589" s="116"/>
      <c r="N1589" s="218"/>
    </row>
    <row r="1590" spans="2:14" x14ac:dyDescent="0.3">
      <c r="B1590" s="65"/>
      <c r="C1590" s="66"/>
      <c r="D1590" s="109"/>
      <c r="E1590" s="68"/>
      <c r="F1590" s="77"/>
      <c r="G1590" s="104"/>
      <c r="H1590" s="123"/>
      <c r="I1590" s="107"/>
      <c r="J1590" s="351"/>
      <c r="K1590" s="69"/>
      <c r="L1590" s="120"/>
      <c r="M1590" s="116"/>
      <c r="N1590" s="218"/>
    </row>
    <row r="1591" spans="2:14" x14ac:dyDescent="0.3">
      <c r="B1591" s="65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x14ac:dyDescent="0.3">
      <c r="B1592" s="65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x14ac:dyDescent="0.3">
      <c r="B1593" s="65"/>
      <c r="C1593" s="66"/>
      <c r="D1593" s="109"/>
      <c r="E1593" s="68"/>
      <c r="F1593" s="77"/>
      <c r="G1593" s="104"/>
      <c r="H1593" s="123"/>
      <c r="I1593" s="107"/>
      <c r="J1593" s="351"/>
      <c r="K1593" s="69"/>
      <c r="L1593" s="120"/>
      <c r="M1593" s="116"/>
      <c r="N1593" s="218"/>
    </row>
    <row r="1594" spans="2:14" x14ac:dyDescent="0.3">
      <c r="B1594" s="65"/>
      <c r="C1594" s="66"/>
      <c r="D1594" s="109"/>
      <c r="E1594" s="68"/>
      <c r="F1594" s="77"/>
      <c r="G1594" s="311"/>
      <c r="H1594" s="123"/>
      <c r="I1594" s="107"/>
      <c r="J1594" s="351"/>
      <c r="K1594" s="69"/>
      <c r="L1594" s="120"/>
      <c r="M1594" s="116"/>
      <c r="N1594" s="218"/>
    </row>
    <row r="1595" spans="2:14" x14ac:dyDescent="0.3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x14ac:dyDescent="0.3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x14ac:dyDescent="0.3">
      <c r="B1597" s="91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120"/>
      <c r="M1597" s="116"/>
      <c r="N1597" s="218"/>
    </row>
    <row r="1598" spans="2:14" x14ac:dyDescent="0.3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x14ac:dyDescent="0.3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x14ac:dyDescent="0.3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x14ac:dyDescent="0.3">
      <c r="B1601" s="91"/>
      <c r="C1601" s="66"/>
      <c r="D1601" s="109"/>
      <c r="E1601" s="68"/>
      <c r="F1601" s="77"/>
      <c r="G1601" s="104"/>
      <c r="H1601" s="123"/>
      <c r="I1601" s="107"/>
      <c r="J1601" s="351"/>
      <c r="K1601" s="69"/>
      <c r="L1601" s="120"/>
      <c r="M1601" s="116"/>
      <c r="N1601" s="218"/>
    </row>
    <row r="1602" spans="2:14" x14ac:dyDescent="0.3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x14ac:dyDescent="0.3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20"/>
      <c r="M1603" s="116"/>
      <c r="N1603" s="218"/>
    </row>
    <row r="1604" spans="2:14" x14ac:dyDescent="0.3">
      <c r="B1604" s="91"/>
      <c r="C1604" s="66"/>
      <c r="D1604" s="109"/>
      <c r="E1604" s="68"/>
      <c r="F1604" s="77"/>
      <c r="G1604" s="104"/>
      <c r="H1604" s="121"/>
      <c r="I1604" s="107"/>
      <c r="J1604" s="351"/>
      <c r="K1604" s="69"/>
      <c r="L1604" s="318"/>
      <c r="M1604" s="116"/>
      <c r="N1604" s="318"/>
    </row>
    <row r="1605" spans="2:14" x14ac:dyDescent="0.3">
      <c r="B1605" s="91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18"/>
      <c r="M1605" s="116"/>
      <c r="N1605" s="318"/>
    </row>
    <row r="1606" spans="2:14" x14ac:dyDescent="0.3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x14ac:dyDescent="0.3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318"/>
      <c r="M1607" s="116"/>
      <c r="N1607" s="318"/>
    </row>
    <row r="1608" spans="2:14" x14ac:dyDescent="0.3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318"/>
      <c r="M1608" s="116"/>
      <c r="N1608" s="318"/>
    </row>
    <row r="1609" spans="2:14" x14ac:dyDescent="0.3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18"/>
      <c r="M1609" s="116"/>
      <c r="N1609" s="318"/>
    </row>
    <row r="1610" spans="2:14" x14ac:dyDescent="0.3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18"/>
      <c r="M1610" s="116"/>
      <c r="N1610" s="318"/>
    </row>
    <row r="1611" spans="2:14" x14ac:dyDescent="0.3">
      <c r="B1611" s="65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318"/>
      <c r="M1611" s="116"/>
      <c r="N1611" s="318"/>
    </row>
    <row r="1612" spans="2:14" x14ac:dyDescent="0.3">
      <c r="B1612" s="65"/>
      <c r="C1612" s="78"/>
      <c r="D1612" s="109"/>
      <c r="E1612" s="68"/>
      <c r="F1612" s="77"/>
      <c r="G1612" s="311"/>
      <c r="H1612" s="312"/>
      <c r="I1612" s="313"/>
      <c r="J1612" s="352"/>
      <c r="K1612" s="69"/>
      <c r="L1612" s="318"/>
      <c r="M1612" s="116"/>
      <c r="N1612" s="319"/>
    </row>
    <row r="1613" spans="2:14" x14ac:dyDescent="0.3">
      <c r="B1613" s="91"/>
      <c r="C1613" s="66"/>
      <c r="D1613" s="109"/>
      <c r="E1613" s="68"/>
      <c r="F1613" s="68"/>
      <c r="G1613" s="104"/>
      <c r="H1613" s="123"/>
      <c r="I1613" s="107"/>
      <c r="J1613" s="351"/>
      <c r="K1613" s="69"/>
      <c r="L1613" s="120"/>
      <c r="M1613" s="116"/>
      <c r="N1613" s="319"/>
    </row>
    <row r="1614" spans="2:14" x14ac:dyDescent="0.3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319"/>
    </row>
    <row r="1615" spans="2:14" x14ac:dyDescent="0.3">
      <c r="B1615" s="91"/>
      <c r="C1615" s="78"/>
      <c r="D1615" s="109"/>
      <c r="E1615" s="68"/>
      <c r="F1615" s="77"/>
      <c r="G1615" s="311"/>
      <c r="H1615" s="123"/>
      <c r="I1615" s="107"/>
      <c r="J1615" s="351"/>
      <c r="K1615" s="69"/>
      <c r="L1615" s="120"/>
      <c r="M1615" s="116"/>
      <c r="N1615" s="319"/>
    </row>
    <row r="1616" spans="2:14" x14ac:dyDescent="0.3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x14ac:dyDescent="0.3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x14ac:dyDescent="0.3">
      <c r="B1618" s="65"/>
      <c r="C1618" s="78"/>
      <c r="D1618" s="109"/>
      <c r="E1618" s="68"/>
      <c r="F1618" s="77"/>
      <c r="G1618" s="311"/>
      <c r="H1618" s="312"/>
      <c r="I1618" s="313"/>
      <c r="J1618" s="352"/>
      <c r="K1618" s="69"/>
      <c r="L1618" s="318"/>
      <c r="M1618" s="116"/>
      <c r="N1618" s="319"/>
    </row>
    <row r="1619" spans="2:14" x14ac:dyDescent="0.3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9"/>
    </row>
    <row r="1620" spans="2:14" x14ac:dyDescent="0.3">
      <c r="B1620" s="91"/>
      <c r="C1620" s="66"/>
      <c r="D1620" s="109"/>
      <c r="E1620" s="68"/>
      <c r="F1620" s="77"/>
      <c r="G1620" s="311"/>
      <c r="H1620" s="123"/>
      <c r="I1620" s="107"/>
      <c r="J1620" s="351"/>
      <c r="K1620" s="69"/>
      <c r="L1620" s="120"/>
      <c r="M1620" s="116"/>
      <c r="N1620" s="219"/>
    </row>
    <row r="1621" spans="2:14" x14ac:dyDescent="0.3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x14ac:dyDescent="0.3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x14ac:dyDescent="0.3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x14ac:dyDescent="0.3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x14ac:dyDescent="0.3">
      <c r="B1625" s="91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x14ac:dyDescent="0.3">
      <c r="B1626" s="91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120"/>
      <c r="M1626" s="116"/>
      <c r="N1626" s="219"/>
    </row>
    <row r="1627" spans="2:14" x14ac:dyDescent="0.3">
      <c r="B1627" s="91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x14ac:dyDescent="0.3">
      <c r="B1628" s="37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20"/>
      <c r="M1628" s="116"/>
      <c r="N1628" s="219"/>
    </row>
    <row r="1629" spans="2:14" x14ac:dyDescent="0.3">
      <c r="B1629" s="37"/>
      <c r="C1629" s="66"/>
      <c r="D1629" s="109"/>
      <c r="E1629" s="68"/>
      <c r="F1629" s="77"/>
      <c r="G1629" s="311"/>
      <c r="H1629" s="123"/>
      <c r="I1629" s="107"/>
      <c r="J1629" s="351"/>
      <c r="K1629" s="69"/>
      <c r="L1629" s="120"/>
      <c r="M1629" s="116"/>
      <c r="N1629" s="219"/>
    </row>
    <row r="1630" spans="2:14" x14ac:dyDescent="0.3">
      <c r="B1630" s="37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219"/>
    </row>
    <row r="1631" spans="2:14" x14ac:dyDescent="0.3">
      <c r="B1631" s="37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120"/>
      <c r="M1631" s="116"/>
      <c r="N1631" s="219"/>
    </row>
    <row r="1632" spans="2:14" x14ac:dyDescent="0.3">
      <c r="B1632" s="37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219"/>
    </row>
    <row r="1633" spans="2:14" x14ac:dyDescent="0.3">
      <c r="B1633" s="37"/>
      <c r="C1633" s="66"/>
      <c r="D1633" s="109"/>
      <c r="E1633" s="68"/>
      <c r="F1633" s="68"/>
      <c r="G1633" s="311"/>
      <c r="H1633" s="123"/>
      <c r="I1633" s="107"/>
      <c r="J1633" s="351"/>
      <c r="K1633" s="69"/>
      <c r="L1633" s="120"/>
      <c r="M1633" s="116"/>
      <c r="N1633" s="219"/>
    </row>
    <row r="1634" spans="2:14" x14ac:dyDescent="0.3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219"/>
    </row>
    <row r="1635" spans="2:14" x14ac:dyDescent="0.3">
      <c r="B1635" s="37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318"/>
      <c r="M1635" s="116"/>
      <c r="N1635" s="319"/>
    </row>
    <row r="1636" spans="2:14" x14ac:dyDescent="0.3">
      <c r="B1636" s="37"/>
      <c r="C1636" s="78"/>
      <c r="D1636" s="109"/>
      <c r="E1636" s="68"/>
      <c r="F1636" s="77"/>
      <c r="G1636" s="311"/>
      <c r="H1636" s="123"/>
      <c r="I1636" s="107"/>
      <c r="J1636" s="351"/>
      <c r="K1636" s="69"/>
      <c r="L1636" s="118"/>
      <c r="M1636" s="116"/>
      <c r="N1636" s="319"/>
    </row>
    <row r="1637" spans="2:14" x14ac:dyDescent="0.3">
      <c r="B1637" s="37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x14ac:dyDescent="0.3">
      <c r="B1638" s="37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18"/>
      <c r="M1638" s="116"/>
      <c r="N1638" s="319"/>
    </row>
    <row r="1639" spans="2:14" x14ac:dyDescent="0.3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x14ac:dyDescent="0.3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x14ac:dyDescent="0.3">
      <c r="B1641" s="65"/>
      <c r="C1641" s="78"/>
      <c r="D1641" s="109"/>
      <c r="E1641" s="68"/>
      <c r="F1641" s="77"/>
      <c r="G1641" s="311"/>
      <c r="H1641" s="312"/>
      <c r="I1641" s="313"/>
      <c r="J1641" s="352"/>
      <c r="K1641" s="69"/>
      <c r="L1641" s="318"/>
      <c r="M1641" s="116"/>
      <c r="N1641" s="319"/>
    </row>
    <row r="1642" spans="2:14" x14ac:dyDescent="0.3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x14ac:dyDescent="0.3">
      <c r="B1643" s="65"/>
      <c r="C1643" s="78"/>
      <c r="D1643" s="109"/>
      <c r="E1643" s="68"/>
      <c r="F1643" s="77"/>
      <c r="G1643" s="311"/>
      <c r="H1643" s="312"/>
      <c r="I1643" s="313"/>
      <c r="J1643" s="352"/>
      <c r="K1643" s="69"/>
      <c r="L1643" s="318"/>
      <c r="M1643" s="116"/>
      <c r="N1643" s="319"/>
    </row>
    <row r="1644" spans="2:14" x14ac:dyDescent="0.3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x14ac:dyDescent="0.3">
      <c r="B1645" s="37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x14ac:dyDescent="0.3">
      <c r="B1646" s="37"/>
      <c r="C1646" s="66"/>
      <c r="D1646" s="109"/>
      <c r="E1646" s="68"/>
      <c r="F1646" s="68"/>
      <c r="G1646" s="104"/>
      <c r="H1646" s="121"/>
      <c r="I1646" s="107"/>
      <c r="J1646" s="351"/>
      <c r="K1646" s="69"/>
      <c r="L1646" s="318"/>
      <c r="M1646" s="116"/>
      <c r="N1646" s="319"/>
    </row>
    <row r="1647" spans="2:14" x14ac:dyDescent="0.3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x14ac:dyDescent="0.3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x14ac:dyDescent="0.3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x14ac:dyDescent="0.3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x14ac:dyDescent="0.3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x14ac:dyDescent="0.3">
      <c r="B1652" s="65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x14ac:dyDescent="0.3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79"/>
      <c r="L1653" s="120"/>
      <c r="M1653" s="115"/>
      <c r="N1653" s="219"/>
    </row>
    <row r="1654" spans="2:14" x14ac:dyDescent="0.3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x14ac:dyDescent="0.3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69"/>
      <c r="L1655" s="118"/>
      <c r="M1655" s="116"/>
      <c r="N1655" s="320"/>
    </row>
    <row r="1656" spans="2:14" x14ac:dyDescent="0.3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114"/>
      <c r="L1656" s="118"/>
      <c r="M1656" s="117"/>
      <c r="N1656" s="320"/>
    </row>
    <row r="1657" spans="2:14" x14ac:dyDescent="0.3">
      <c r="B1657" s="37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20"/>
    </row>
    <row r="1658" spans="2:14" x14ac:dyDescent="0.3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19"/>
    </row>
    <row r="1659" spans="2:14" x14ac:dyDescent="0.3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20"/>
    </row>
    <row r="1660" spans="2:14" x14ac:dyDescent="0.3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x14ac:dyDescent="0.3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x14ac:dyDescent="0.3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x14ac:dyDescent="0.3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18"/>
      <c r="M1663" s="116"/>
      <c r="N1663" s="319"/>
    </row>
    <row r="1664" spans="2:14" x14ac:dyDescent="0.3">
      <c r="B1664" s="91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318"/>
      <c r="M1664" s="116"/>
      <c r="N1664" s="319"/>
    </row>
    <row r="1665" spans="2:14" x14ac:dyDescent="0.3">
      <c r="B1665" s="91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x14ac:dyDescent="0.3">
      <c r="B1666" s="91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x14ac:dyDescent="0.3">
      <c r="B1667" s="91"/>
      <c r="C1667" s="66"/>
      <c r="D1667" s="109"/>
      <c r="E1667" s="68"/>
      <c r="F1667" s="68"/>
      <c r="G1667" s="104"/>
      <c r="H1667" s="121"/>
      <c r="I1667" s="107"/>
      <c r="J1667" s="351"/>
      <c r="K1667" s="69"/>
      <c r="L1667" s="118"/>
      <c r="M1667" s="116"/>
      <c r="N1667" s="320"/>
    </row>
    <row r="1668" spans="2:14" x14ac:dyDescent="0.3">
      <c r="B1668" s="91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19"/>
    </row>
    <row r="1669" spans="2:14" x14ac:dyDescent="0.3">
      <c r="B1669" s="91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19"/>
    </row>
    <row r="1670" spans="2:14" x14ac:dyDescent="0.3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x14ac:dyDescent="0.3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x14ac:dyDescent="0.3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216"/>
      <c r="M1672" s="116"/>
      <c r="N1672" s="319"/>
    </row>
    <row r="1673" spans="2:14" x14ac:dyDescent="0.3">
      <c r="B1673" s="65"/>
      <c r="C1673" s="78"/>
      <c r="D1673" s="109"/>
      <c r="E1673" s="68"/>
      <c r="F1673" s="77"/>
      <c r="G1673" s="311"/>
      <c r="H1673" s="312"/>
      <c r="I1673" s="313"/>
      <c r="J1673" s="352"/>
      <c r="K1673" s="69"/>
      <c r="L1673" s="216"/>
      <c r="M1673" s="82"/>
      <c r="N1673" s="319"/>
    </row>
    <row r="1674" spans="2:14" x14ac:dyDescent="0.3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x14ac:dyDescent="0.3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x14ac:dyDescent="0.3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x14ac:dyDescent="0.3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x14ac:dyDescent="0.3">
      <c r="B1678" s="91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x14ac:dyDescent="0.3">
      <c r="B1679" s="91"/>
      <c r="C1679" s="78"/>
      <c r="D1679" s="100"/>
      <c r="E1679" s="101"/>
      <c r="F1679" s="77"/>
      <c r="G1679" s="311"/>
      <c r="H1679" s="321"/>
      <c r="I1679" s="107"/>
      <c r="J1679" s="351"/>
      <c r="K1679" s="69"/>
      <c r="L1679" s="84"/>
      <c r="M1679" s="82"/>
      <c r="N1679" s="319"/>
    </row>
    <row r="1680" spans="2:14" x14ac:dyDescent="0.3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x14ac:dyDescent="0.3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x14ac:dyDescent="0.3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x14ac:dyDescent="0.3">
      <c r="B1683" s="65"/>
      <c r="C1683" s="78"/>
      <c r="D1683" s="100"/>
      <c r="E1683" s="101"/>
      <c r="F1683" s="77"/>
      <c r="G1683" s="311"/>
      <c r="H1683" s="321"/>
      <c r="I1683" s="313"/>
      <c r="J1683" s="352"/>
      <c r="K1683" s="69"/>
      <c r="L1683" s="84"/>
      <c r="M1683" s="82"/>
      <c r="N1683" s="319"/>
    </row>
    <row r="1684" spans="2:14" x14ac:dyDescent="0.3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x14ac:dyDescent="0.3">
      <c r="B1685" s="65"/>
      <c r="C1685" s="66"/>
      <c r="D1685" s="100"/>
      <c r="E1685" s="101"/>
      <c r="F1685" s="77"/>
      <c r="G1685" s="104"/>
      <c r="H1685" s="106"/>
      <c r="I1685" s="107"/>
      <c r="J1685" s="351"/>
      <c r="K1685" s="69"/>
      <c r="L1685" s="84"/>
      <c r="M1685" s="82"/>
      <c r="N1685" s="319"/>
    </row>
    <row r="1686" spans="2:14" x14ac:dyDescent="0.3">
      <c r="B1686" s="65"/>
      <c r="C1686" s="78"/>
      <c r="D1686" s="100"/>
      <c r="E1686" s="101"/>
      <c r="F1686" s="77"/>
      <c r="G1686" s="311"/>
      <c r="H1686" s="321"/>
      <c r="I1686" s="313"/>
      <c r="J1686" s="352"/>
      <c r="K1686" s="69"/>
      <c r="L1686" s="84"/>
      <c r="M1686" s="82"/>
      <c r="N1686" s="319"/>
    </row>
    <row r="1687" spans="2:14" x14ac:dyDescent="0.3">
      <c r="B1687" s="65"/>
      <c r="C1687" s="66"/>
      <c r="D1687" s="109"/>
      <c r="E1687" s="101"/>
      <c r="F1687" s="77"/>
      <c r="G1687" s="104"/>
      <c r="H1687" s="106"/>
      <c r="I1687" s="107"/>
      <c r="J1687" s="351"/>
      <c r="K1687" s="69"/>
      <c r="L1687" s="322"/>
      <c r="M1687" s="82"/>
      <c r="N1687" s="319"/>
    </row>
    <row r="1688" spans="2:14" x14ac:dyDescent="0.3">
      <c r="B1688" s="65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84"/>
      <c r="M1688" s="82"/>
      <c r="N1688" s="319"/>
    </row>
    <row r="1689" spans="2:14" x14ac:dyDescent="0.3">
      <c r="B1689" s="65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322"/>
      <c r="M1689" s="82"/>
      <c r="N1689" s="319"/>
    </row>
    <row r="1690" spans="2:14" x14ac:dyDescent="0.3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19"/>
    </row>
    <row r="1691" spans="2:14" x14ac:dyDescent="0.3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x14ac:dyDescent="0.3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x14ac:dyDescent="0.3">
      <c r="B1693" s="65"/>
      <c r="C1693" s="78"/>
      <c r="D1693" s="100"/>
      <c r="E1693" s="101"/>
      <c r="F1693" s="77"/>
      <c r="G1693" s="311"/>
      <c r="H1693" s="321"/>
      <c r="I1693" s="313"/>
      <c r="J1693" s="352"/>
      <c r="K1693" s="69"/>
      <c r="L1693" s="322"/>
      <c r="M1693" s="82"/>
      <c r="N1693" s="323"/>
    </row>
    <row r="1694" spans="2:14" x14ac:dyDescent="0.3">
      <c r="B1694" s="65"/>
      <c r="C1694" s="78"/>
      <c r="D1694" s="100"/>
      <c r="E1694" s="101"/>
      <c r="F1694" s="77"/>
      <c r="G1694" s="311"/>
      <c r="H1694" s="321"/>
      <c r="I1694" s="107"/>
      <c r="J1694" s="351"/>
      <c r="K1694" s="69"/>
      <c r="L1694" s="84"/>
      <c r="M1694" s="82"/>
      <c r="N1694" s="323"/>
    </row>
    <row r="1695" spans="2:14" x14ac:dyDescent="0.3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x14ac:dyDescent="0.3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x14ac:dyDescent="0.3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x14ac:dyDescent="0.3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x14ac:dyDescent="0.3">
      <c r="B1699" s="91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23"/>
    </row>
    <row r="1700" spans="2:14" x14ac:dyDescent="0.3">
      <c r="B1700" s="91"/>
      <c r="C1700" s="66"/>
      <c r="D1700" s="100"/>
      <c r="E1700" s="101"/>
      <c r="F1700" s="68"/>
      <c r="G1700" s="104"/>
      <c r="H1700" s="106"/>
      <c r="I1700" s="107"/>
      <c r="J1700" s="351"/>
      <c r="K1700" s="69"/>
      <c r="L1700" s="84"/>
      <c r="M1700" s="82"/>
      <c r="N1700" s="323"/>
    </row>
    <row r="1701" spans="2:14" x14ac:dyDescent="0.3">
      <c r="B1701" s="91"/>
      <c r="C1701" s="78"/>
      <c r="D1701" s="100"/>
      <c r="E1701" s="101"/>
      <c r="F1701" s="77"/>
      <c r="G1701" s="311"/>
      <c r="H1701" s="321"/>
      <c r="I1701" s="107"/>
      <c r="J1701" s="351"/>
      <c r="K1701" s="69"/>
      <c r="L1701" s="84"/>
      <c r="M1701" s="82"/>
      <c r="N1701" s="323"/>
    </row>
    <row r="1702" spans="2:14" x14ac:dyDescent="0.3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23"/>
    </row>
    <row r="1703" spans="2:14" x14ac:dyDescent="0.3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70"/>
      <c r="L1703" s="84"/>
      <c r="M1703" s="82"/>
      <c r="N1703" s="323"/>
    </row>
    <row r="1704" spans="2:14" x14ac:dyDescent="0.3">
      <c r="B1704" s="91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23"/>
    </row>
    <row r="1705" spans="2:14" x14ac:dyDescent="0.3">
      <c r="B1705" s="91"/>
      <c r="C1705" s="78"/>
      <c r="D1705" s="100"/>
      <c r="E1705" s="101"/>
      <c r="F1705" s="68"/>
      <c r="G1705" s="311"/>
      <c r="H1705" s="321"/>
      <c r="I1705" s="107"/>
      <c r="J1705" s="351"/>
      <c r="K1705" s="69"/>
      <c r="L1705" s="84"/>
      <c r="M1705" s="82"/>
      <c r="N1705" s="323"/>
    </row>
    <row r="1706" spans="2:14" x14ac:dyDescent="0.3">
      <c r="B1706" s="91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23"/>
    </row>
    <row r="1707" spans="2:14" x14ac:dyDescent="0.3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x14ac:dyDescent="0.3">
      <c r="B1708" s="65"/>
      <c r="C1708" s="66"/>
      <c r="D1708" s="100"/>
      <c r="E1708" s="101"/>
      <c r="F1708" s="68"/>
      <c r="G1708" s="104"/>
      <c r="H1708" s="106"/>
      <c r="I1708" s="107"/>
      <c r="J1708" s="351"/>
      <c r="K1708" s="69"/>
      <c r="L1708" s="84"/>
      <c r="M1708" s="82"/>
      <c r="N1708" s="323"/>
    </row>
    <row r="1709" spans="2:14" x14ac:dyDescent="0.3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84"/>
      <c r="M1709" s="82"/>
      <c r="N1709" s="323"/>
    </row>
    <row r="1710" spans="2:14" x14ac:dyDescent="0.3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322"/>
      <c r="M1710" s="82"/>
      <c r="N1710" s="323"/>
    </row>
    <row r="1711" spans="2:14" x14ac:dyDescent="0.3">
      <c r="B1711" s="65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322"/>
      <c r="M1711" s="82"/>
      <c r="N1711" s="323"/>
    </row>
    <row r="1712" spans="2:14" x14ac:dyDescent="0.3">
      <c r="B1712" s="65"/>
      <c r="C1712" s="78"/>
      <c r="D1712" s="100"/>
      <c r="E1712" s="101"/>
      <c r="F1712" s="77"/>
      <c r="G1712" s="311"/>
      <c r="H1712" s="321"/>
      <c r="I1712" s="324"/>
      <c r="J1712" s="354"/>
      <c r="K1712" s="69"/>
      <c r="L1712" s="84"/>
      <c r="M1712" s="82"/>
      <c r="N1712" s="323"/>
    </row>
    <row r="1713" spans="2:14" x14ac:dyDescent="0.3">
      <c r="B1713" s="65"/>
      <c r="C1713" s="78"/>
      <c r="D1713" s="100"/>
      <c r="E1713" s="101"/>
      <c r="F1713" s="77"/>
      <c r="G1713" s="311"/>
      <c r="H1713" s="321"/>
      <c r="I1713" s="324"/>
      <c r="J1713" s="354"/>
      <c r="K1713" s="69"/>
      <c r="L1713" s="84"/>
      <c r="M1713" s="82"/>
      <c r="N1713" s="323"/>
    </row>
    <row r="1714" spans="2:14" x14ac:dyDescent="0.3">
      <c r="B1714" s="65"/>
      <c r="C1714" s="78"/>
      <c r="D1714" s="100"/>
      <c r="E1714" s="101"/>
      <c r="F1714" s="77"/>
      <c r="G1714" s="311"/>
      <c r="H1714" s="321"/>
      <c r="I1714" s="313"/>
      <c r="J1714" s="352"/>
      <c r="K1714" s="69"/>
      <c r="L1714" s="322"/>
      <c r="M1714" s="82"/>
      <c r="N1714" s="323"/>
    </row>
    <row r="1715" spans="2:14" x14ac:dyDescent="0.3">
      <c r="B1715" s="65"/>
      <c r="C1715" s="78"/>
      <c r="D1715" s="100"/>
      <c r="E1715" s="102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x14ac:dyDescent="0.3">
      <c r="B1716" s="65"/>
      <c r="C1716" s="78"/>
      <c r="D1716" s="97"/>
      <c r="E1716" s="67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x14ac:dyDescent="0.3">
      <c r="B1717" s="65"/>
      <c r="C1717" s="78"/>
      <c r="D1717" s="97"/>
      <c r="E1717" s="67"/>
      <c r="F1717" s="77"/>
      <c r="G1717" s="325"/>
      <c r="H1717" s="321"/>
      <c r="I1717" s="313"/>
      <c r="J1717" s="352"/>
      <c r="K1717" s="69"/>
      <c r="L1717" s="322"/>
      <c r="M1717" s="82"/>
      <c r="N1717" s="323"/>
    </row>
    <row r="1718" spans="2:14" x14ac:dyDescent="0.3">
      <c r="B1718" s="65"/>
      <c r="C1718" s="78"/>
      <c r="D1718" s="97"/>
      <c r="E1718" s="67"/>
      <c r="F1718" s="77"/>
      <c r="G1718" s="325"/>
      <c r="H1718" s="321"/>
      <c r="I1718" s="326"/>
      <c r="J1718" s="355"/>
      <c r="K1718" s="69"/>
      <c r="L1718" s="322"/>
      <c r="M1718" s="82"/>
      <c r="N1718" s="323"/>
    </row>
    <row r="1719" spans="2:14" x14ac:dyDescent="0.3">
      <c r="B1719" s="65"/>
      <c r="C1719" s="78"/>
      <c r="D1719" s="97"/>
      <c r="E1719" s="67"/>
      <c r="F1719" s="77"/>
      <c r="G1719" s="325"/>
      <c r="H1719" s="321"/>
      <c r="I1719" s="326"/>
      <c r="J1719" s="355"/>
      <c r="K1719" s="69"/>
      <c r="L1719" s="322"/>
      <c r="M1719" s="82"/>
      <c r="N1719" s="323"/>
    </row>
    <row r="1720" spans="2:14" x14ac:dyDescent="0.3">
      <c r="B1720" s="65"/>
      <c r="C1720" s="66"/>
      <c r="D1720" s="90"/>
      <c r="E1720" s="67"/>
      <c r="F1720" s="77"/>
      <c r="G1720" s="77"/>
      <c r="H1720" s="106"/>
      <c r="I1720" s="94"/>
      <c r="J1720" s="356"/>
      <c r="K1720" s="80"/>
      <c r="L1720" s="84"/>
      <c r="M1720" s="82"/>
      <c r="N1720" s="327"/>
    </row>
    <row r="1721" spans="2:14" x14ac:dyDescent="0.3">
      <c r="B1721" s="65"/>
      <c r="C1721" s="78"/>
      <c r="D1721" s="90"/>
      <c r="E1721" s="67"/>
      <c r="F1721" s="77"/>
      <c r="G1721" s="328"/>
      <c r="H1721" s="321"/>
      <c r="I1721" s="326"/>
      <c r="J1721" s="355"/>
      <c r="K1721" s="69"/>
      <c r="L1721" s="322"/>
      <c r="M1721" s="82"/>
      <c r="N1721" s="327"/>
    </row>
    <row r="1722" spans="2:14" x14ac:dyDescent="0.3">
      <c r="B1722" s="65"/>
      <c r="C1722" s="66"/>
      <c r="D1722" s="90"/>
      <c r="E1722" s="67"/>
      <c r="F1722" s="77"/>
      <c r="G1722" s="77"/>
      <c r="H1722" s="106"/>
      <c r="I1722" s="95"/>
      <c r="J1722" s="357"/>
      <c r="K1722" s="80"/>
      <c r="L1722" s="84"/>
      <c r="M1722" s="82"/>
      <c r="N1722" s="327"/>
    </row>
    <row r="1723" spans="2:14" x14ac:dyDescent="0.3">
      <c r="B1723" s="91"/>
      <c r="C1723" s="66"/>
      <c r="D1723" s="90"/>
      <c r="E1723" s="67"/>
      <c r="F1723" s="77"/>
      <c r="G1723" s="77"/>
      <c r="H1723" s="106"/>
      <c r="I1723" s="95"/>
      <c r="J1723" s="357"/>
      <c r="K1723" s="69"/>
      <c r="L1723" s="84"/>
      <c r="M1723" s="82"/>
      <c r="N1723" s="327"/>
    </row>
    <row r="1724" spans="2:14" x14ac:dyDescent="0.3">
      <c r="B1724" s="91"/>
      <c r="C1724" s="66"/>
      <c r="D1724" s="90"/>
      <c r="E1724" s="67"/>
      <c r="F1724" s="77"/>
      <c r="G1724" s="77"/>
      <c r="H1724" s="106"/>
      <c r="I1724" s="94"/>
      <c r="J1724" s="356"/>
      <c r="K1724" s="69"/>
      <c r="L1724" s="84"/>
      <c r="M1724" s="82"/>
      <c r="N1724" s="327"/>
    </row>
    <row r="1725" spans="2:14" x14ac:dyDescent="0.3">
      <c r="B1725" s="91"/>
      <c r="C1725" s="66"/>
      <c r="D1725" s="90"/>
      <c r="E1725" s="67"/>
      <c r="F1725" s="77"/>
      <c r="G1725" s="77"/>
      <c r="H1725" s="106"/>
      <c r="I1725" s="94"/>
      <c r="J1725" s="356"/>
      <c r="K1725" s="69"/>
      <c r="L1725" s="84"/>
      <c r="M1725" s="82"/>
      <c r="N1725" s="327"/>
    </row>
    <row r="1726" spans="2:14" x14ac:dyDescent="0.3">
      <c r="B1726" s="91"/>
      <c r="C1726" s="66"/>
      <c r="D1726" s="90"/>
      <c r="E1726" s="67"/>
      <c r="F1726" s="77"/>
      <c r="G1726" s="77"/>
      <c r="H1726" s="106"/>
      <c r="I1726" s="95"/>
      <c r="J1726" s="357"/>
      <c r="K1726" s="80"/>
      <c r="L1726" s="84"/>
      <c r="M1726" s="82"/>
      <c r="N1726" s="327"/>
    </row>
    <row r="1727" spans="2:14" x14ac:dyDescent="0.3">
      <c r="B1727" s="91"/>
      <c r="C1727" s="66"/>
      <c r="D1727" s="90"/>
      <c r="E1727" s="67"/>
      <c r="F1727" s="77"/>
      <c r="G1727" s="77"/>
      <c r="H1727" s="106"/>
      <c r="I1727" s="95"/>
      <c r="J1727" s="357"/>
      <c r="K1727" s="69"/>
      <c r="L1727" s="84"/>
      <c r="M1727" s="82"/>
      <c r="N1727" s="327"/>
    </row>
    <row r="1728" spans="2:14" x14ac:dyDescent="0.3">
      <c r="B1728" s="91"/>
      <c r="C1728" s="78"/>
      <c r="D1728" s="90"/>
      <c r="E1728" s="67"/>
      <c r="F1728" s="77"/>
      <c r="G1728" s="328"/>
      <c r="H1728" s="321"/>
      <c r="I1728" s="326"/>
      <c r="J1728" s="355"/>
      <c r="K1728" s="69"/>
      <c r="L1728" s="84"/>
      <c r="M1728" s="82"/>
      <c r="N1728" s="327"/>
    </row>
    <row r="1729" spans="2:14" x14ac:dyDescent="0.3">
      <c r="B1729" s="91"/>
      <c r="C1729" s="66"/>
      <c r="D1729" s="90"/>
      <c r="E1729" s="67"/>
      <c r="F1729" s="77"/>
      <c r="G1729" s="77"/>
      <c r="H1729" s="106"/>
      <c r="I1729" s="94"/>
      <c r="J1729" s="356"/>
      <c r="K1729" s="69"/>
      <c r="L1729" s="84"/>
      <c r="M1729" s="82"/>
      <c r="N1729" s="327"/>
    </row>
    <row r="1730" spans="2:14" x14ac:dyDescent="0.3">
      <c r="B1730" s="91"/>
      <c r="C1730" s="66"/>
      <c r="D1730" s="90"/>
      <c r="E1730" s="67"/>
      <c r="F1730" s="77"/>
      <c r="G1730" s="77"/>
      <c r="H1730" s="106"/>
      <c r="I1730" s="95"/>
      <c r="J1730" s="357"/>
      <c r="K1730" s="69"/>
      <c r="L1730" s="84"/>
      <c r="M1730" s="82"/>
      <c r="N1730" s="327"/>
    </row>
    <row r="1731" spans="2:14" x14ac:dyDescent="0.3">
      <c r="B1731" s="91"/>
      <c r="C1731" s="66"/>
      <c r="D1731" s="90"/>
      <c r="E1731" s="67"/>
      <c r="F1731" s="77"/>
      <c r="G1731" s="77"/>
      <c r="H1731" s="106"/>
      <c r="I1731" s="95"/>
      <c r="J1731" s="357"/>
      <c r="K1731" s="80"/>
      <c r="L1731" s="84"/>
      <c r="M1731" s="82"/>
      <c r="N1731" s="327"/>
    </row>
    <row r="1732" spans="2:14" x14ac:dyDescent="0.3">
      <c r="B1732" s="91"/>
      <c r="C1732" s="66"/>
      <c r="D1732" s="90"/>
      <c r="E1732" s="67"/>
      <c r="F1732" s="77"/>
      <c r="G1732" s="77"/>
      <c r="H1732" s="106"/>
      <c r="I1732" s="94"/>
      <c r="J1732" s="356"/>
      <c r="K1732" s="69"/>
      <c r="L1732" s="84"/>
      <c r="M1732" s="82"/>
      <c r="N1732" s="323"/>
    </row>
    <row r="1733" spans="2:14" x14ac:dyDescent="0.3">
      <c r="B1733" s="91"/>
      <c r="C1733" s="66"/>
      <c r="D1733" s="90"/>
      <c r="E1733" s="67"/>
      <c r="F1733" s="77"/>
      <c r="G1733" s="77"/>
      <c r="H1733" s="106"/>
      <c r="I1733" s="95"/>
      <c r="J1733" s="357"/>
      <c r="K1733" s="69"/>
      <c r="L1733" s="322"/>
      <c r="M1733" s="82"/>
      <c r="N1733" s="323"/>
    </row>
    <row r="1734" spans="2:14" x14ac:dyDescent="0.3">
      <c r="B1734" s="91"/>
      <c r="C1734" s="66"/>
      <c r="D1734" s="90"/>
      <c r="E1734" s="67"/>
      <c r="F1734" s="77"/>
      <c r="G1734" s="77"/>
      <c r="H1734" s="106"/>
      <c r="I1734" s="95"/>
      <c r="J1734" s="357"/>
      <c r="K1734" s="69"/>
      <c r="L1734" s="84"/>
      <c r="M1734" s="82"/>
      <c r="N1734" s="323"/>
    </row>
    <row r="1735" spans="2:14" x14ac:dyDescent="0.3">
      <c r="B1735" s="65"/>
      <c r="C1735" s="78"/>
      <c r="D1735" s="90"/>
      <c r="E1735" s="67"/>
      <c r="F1735" s="77"/>
      <c r="G1735" s="328"/>
      <c r="H1735" s="321"/>
      <c r="I1735" s="326"/>
      <c r="J1735" s="355"/>
      <c r="K1735" s="69"/>
      <c r="L1735" s="322"/>
      <c r="M1735" s="82"/>
      <c r="N1735" s="323"/>
    </row>
    <row r="1736" spans="2:14" x14ac:dyDescent="0.3">
      <c r="B1736" s="37"/>
      <c r="C1736" s="52"/>
      <c r="D1736" s="24"/>
      <c r="E1736" s="25"/>
      <c r="F1736" s="26"/>
      <c r="G1736" s="26"/>
      <c r="H1736" s="329"/>
      <c r="I1736" s="41"/>
      <c r="J1736" s="358"/>
      <c r="K1736" s="27"/>
      <c r="L1736" s="330"/>
      <c r="M1736" s="34"/>
      <c r="N1736" s="331"/>
    </row>
    <row r="1737" spans="2:14" x14ac:dyDescent="0.3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"/>
      <c r="M1737" s="34"/>
      <c r="N1737" s="331"/>
    </row>
    <row r="1738" spans="2:14" x14ac:dyDescent="0.3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x14ac:dyDescent="0.3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x14ac:dyDescent="0.3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x14ac:dyDescent="0.3">
      <c r="B1741" s="30"/>
      <c r="C1741" s="52"/>
      <c r="D1741" s="24"/>
      <c r="E1741" s="25"/>
      <c r="F1741" s="26"/>
      <c r="G1741" s="26"/>
      <c r="H1741" s="329"/>
      <c r="I1741" s="41"/>
      <c r="J1741" s="358"/>
      <c r="K1741" s="27"/>
      <c r="L1741" s="330"/>
      <c r="M1741" s="34"/>
      <c r="N1741" s="331"/>
    </row>
    <row r="1742" spans="2:14" x14ac:dyDescent="0.3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x14ac:dyDescent="0.3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31"/>
    </row>
    <row r="1744" spans="2:14" x14ac:dyDescent="0.3">
      <c r="B1744" s="37"/>
      <c r="C1744" s="5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5"/>
    </row>
    <row r="1745" spans="2:14" x14ac:dyDescent="0.3">
      <c r="B1745" s="30"/>
      <c r="C1745" s="23"/>
      <c r="D1745" s="24"/>
      <c r="E1745" s="25"/>
      <c r="F1745" s="26"/>
      <c r="G1745" s="325"/>
      <c r="H1745" s="332"/>
      <c r="I1745" s="333"/>
      <c r="J1745" s="359"/>
      <c r="K1745" s="27"/>
      <c r="L1745" s="330"/>
      <c r="M1745" s="34"/>
      <c r="N1745" s="35"/>
    </row>
    <row r="1746" spans="2:14" x14ac:dyDescent="0.3">
      <c r="B1746" s="30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x14ac:dyDescent="0.3">
      <c r="B1747" s="37"/>
      <c r="C1747" s="52"/>
      <c r="D1747" s="24"/>
      <c r="E1747" s="25"/>
      <c r="F1747" s="26"/>
      <c r="G1747" s="26"/>
      <c r="H1747" s="329"/>
      <c r="I1747" s="41"/>
      <c r="J1747" s="358"/>
      <c r="K1747" s="27"/>
      <c r="L1747" s="33"/>
      <c r="M1747" s="34"/>
      <c r="N1747" s="35"/>
    </row>
    <row r="1748" spans="2:14" x14ac:dyDescent="0.3">
      <c r="B1748" s="37"/>
      <c r="C1748" s="52"/>
      <c r="D1748" s="24"/>
      <c r="E1748" s="25"/>
      <c r="F1748" s="60"/>
      <c r="G1748" s="26"/>
      <c r="H1748" s="329"/>
      <c r="I1748" s="41"/>
      <c r="J1748" s="358"/>
      <c r="K1748" s="27"/>
      <c r="L1748" s="33"/>
      <c r="M1748" s="34"/>
      <c r="N1748" s="35"/>
    </row>
    <row r="1749" spans="2:14" x14ac:dyDescent="0.3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x14ac:dyDescent="0.3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x14ac:dyDescent="0.3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x14ac:dyDescent="0.3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x14ac:dyDescent="0.3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x14ac:dyDescent="0.3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"/>
      <c r="M1754" s="34"/>
      <c r="N1754" s="35"/>
    </row>
    <row r="1755" spans="2:14" x14ac:dyDescent="0.3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5"/>
    </row>
    <row r="1756" spans="2:14" x14ac:dyDescent="0.3">
      <c r="B1756" s="37"/>
      <c r="C1756" s="23"/>
      <c r="D1756" s="24"/>
      <c r="E1756" s="25"/>
      <c r="F1756" s="60"/>
      <c r="G1756" s="26"/>
      <c r="H1756" s="329"/>
      <c r="I1756" s="42"/>
      <c r="J1756" s="360"/>
      <c r="K1756" s="27"/>
      <c r="L1756" s="33"/>
      <c r="M1756" s="34"/>
      <c r="N1756" s="35"/>
    </row>
    <row r="1757" spans="2:14" x14ac:dyDescent="0.3">
      <c r="B1757" s="37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"/>
      <c r="M1757" s="34"/>
      <c r="N1757" s="35"/>
    </row>
    <row r="1758" spans="2:14" x14ac:dyDescent="0.3">
      <c r="B1758" s="37"/>
      <c r="C1758" s="52"/>
      <c r="D1758" s="24"/>
      <c r="E1758" s="25"/>
      <c r="F1758" s="60"/>
      <c r="G1758" s="26"/>
      <c r="H1758" s="329"/>
      <c r="I1758" s="41"/>
      <c r="J1758" s="358"/>
      <c r="K1758" s="27"/>
      <c r="L1758" s="33"/>
      <c r="M1758" s="34"/>
      <c r="N1758" s="35"/>
    </row>
    <row r="1759" spans="2:14" x14ac:dyDescent="0.3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x14ac:dyDescent="0.3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"/>
      <c r="M1760" s="34"/>
      <c r="N1760" s="35"/>
    </row>
    <row r="1761" spans="2:14" x14ac:dyDescent="0.3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x14ac:dyDescent="0.3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x14ac:dyDescent="0.3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x14ac:dyDescent="0.3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x14ac:dyDescent="0.3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x14ac:dyDescent="0.3">
      <c r="B1766" s="30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x14ac:dyDescent="0.3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x14ac:dyDescent="0.3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x14ac:dyDescent="0.3">
      <c r="B1769" s="37"/>
      <c r="C1769" s="53"/>
      <c r="D1769" s="24"/>
      <c r="E1769" s="25"/>
      <c r="F1769" s="26"/>
      <c r="G1769" s="325"/>
      <c r="H1769" s="332"/>
      <c r="I1769" s="333"/>
      <c r="J1769" s="359"/>
      <c r="K1769" s="27"/>
      <c r="L1769" s="330"/>
      <c r="M1769" s="34"/>
      <c r="N1769" s="35"/>
    </row>
    <row r="1770" spans="2:14" x14ac:dyDescent="0.3">
      <c r="B1770" s="30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x14ac:dyDescent="0.3">
      <c r="B1771" s="30"/>
      <c r="C1771" s="23"/>
      <c r="D1771" s="24"/>
      <c r="E1771" s="25"/>
      <c r="F1771" s="26"/>
      <c r="G1771" s="26"/>
      <c r="H1771" s="329"/>
      <c r="I1771" s="41"/>
      <c r="J1771" s="358"/>
      <c r="K1771" s="36"/>
      <c r="L1771" s="33"/>
      <c r="M1771" s="34"/>
      <c r="N1771" s="35"/>
    </row>
    <row r="1772" spans="2:14" x14ac:dyDescent="0.3">
      <c r="B1772" s="30"/>
      <c r="C1772" s="23"/>
      <c r="D1772" s="24"/>
      <c r="E1772" s="25"/>
      <c r="F1772" s="26"/>
      <c r="G1772" s="325"/>
      <c r="H1772" s="332"/>
      <c r="I1772" s="333"/>
      <c r="J1772" s="359"/>
      <c r="K1772" s="27"/>
      <c r="L1772" s="33"/>
      <c r="M1772" s="34"/>
      <c r="N1772" s="35"/>
    </row>
    <row r="1773" spans="2:14" x14ac:dyDescent="0.3">
      <c r="B1773" s="30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x14ac:dyDescent="0.3">
      <c r="B1774" s="37"/>
      <c r="C1774" s="52"/>
      <c r="D1774" s="24"/>
      <c r="E1774" s="25"/>
      <c r="F1774" s="26"/>
      <c r="G1774" s="26"/>
      <c r="H1774" s="329"/>
      <c r="I1774" s="42"/>
      <c r="J1774" s="360"/>
      <c r="K1774" s="27"/>
      <c r="L1774" s="33"/>
      <c r="M1774" s="34"/>
      <c r="N1774" s="35"/>
    </row>
    <row r="1775" spans="2:14" x14ac:dyDescent="0.3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3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x14ac:dyDescent="0.3">
      <c r="B1777" s="37"/>
      <c r="C1777" s="52"/>
      <c r="D1777" s="24"/>
      <c r="E1777" s="25"/>
      <c r="F1777" s="26"/>
      <c r="G1777" s="26"/>
      <c r="H1777" s="329"/>
      <c r="I1777" s="42"/>
      <c r="J1777" s="360"/>
      <c r="K1777" s="27"/>
      <c r="L1777" s="33"/>
      <c r="M1777" s="34"/>
      <c r="N1777" s="35"/>
    </row>
    <row r="1778" spans="2:14" x14ac:dyDescent="0.3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x14ac:dyDescent="0.3">
      <c r="B1779" s="37"/>
      <c r="C1779" s="52"/>
      <c r="D1779" s="24"/>
      <c r="E1779" s="25"/>
      <c r="F1779" s="26"/>
      <c r="G1779" s="26"/>
      <c r="H1779" s="329"/>
      <c r="I1779" s="42"/>
      <c r="J1779" s="360"/>
      <c r="K1779" s="27"/>
      <c r="L1779" s="33"/>
      <c r="M1779" s="34"/>
      <c r="N1779" s="35"/>
    </row>
    <row r="1780" spans="2:14" x14ac:dyDescent="0.3">
      <c r="B1780" s="37"/>
      <c r="C1780" s="23"/>
      <c r="D1780" s="24"/>
      <c r="E1780" s="25"/>
      <c r="F1780" s="26"/>
      <c r="G1780" s="325"/>
      <c r="H1780" s="332"/>
      <c r="I1780" s="334"/>
      <c r="J1780" s="361"/>
      <c r="K1780" s="27"/>
      <c r="L1780" s="33"/>
      <c r="M1780" s="34"/>
      <c r="N1780" s="35"/>
    </row>
    <row r="1781" spans="2:14" x14ac:dyDescent="0.3">
      <c r="B1781" s="37"/>
      <c r="C1781" s="52"/>
      <c r="D1781" s="24"/>
      <c r="E1781" s="25"/>
      <c r="F1781" s="26"/>
      <c r="G1781" s="26"/>
      <c r="H1781" s="329"/>
      <c r="I1781" s="42"/>
      <c r="J1781" s="360"/>
      <c r="K1781" s="36"/>
      <c r="L1781" s="33"/>
      <c r="M1781" s="34"/>
      <c r="N1781" s="35"/>
    </row>
    <row r="1782" spans="2:14" x14ac:dyDescent="0.3">
      <c r="B1782" s="37"/>
      <c r="C1782" s="53"/>
      <c r="D1782" s="24"/>
      <c r="E1782" s="25"/>
      <c r="F1782" s="26"/>
      <c r="G1782" s="26"/>
      <c r="H1782" s="329"/>
      <c r="I1782" s="334"/>
      <c r="J1782" s="361"/>
      <c r="K1782" s="36"/>
      <c r="L1782" s="330"/>
      <c r="M1782" s="34"/>
      <c r="N1782" s="35"/>
    </row>
    <row r="1783" spans="2:14" x14ac:dyDescent="0.3">
      <c r="B1783" s="37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0"/>
      <c r="M1783" s="34"/>
      <c r="N1783" s="35"/>
    </row>
    <row r="1784" spans="2:14" x14ac:dyDescent="0.3">
      <c r="B1784" s="37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x14ac:dyDescent="0.3">
      <c r="B1785" s="37"/>
      <c r="C1785" s="53"/>
      <c r="D1785" s="24"/>
      <c r="E1785" s="25"/>
      <c r="F1785" s="26"/>
      <c r="G1785" s="26"/>
      <c r="H1785" s="329"/>
      <c r="I1785" s="333"/>
      <c r="J1785" s="359"/>
      <c r="K1785" s="36"/>
      <c r="L1785" s="33"/>
      <c r="M1785" s="34"/>
      <c r="N1785" s="35"/>
    </row>
    <row r="1786" spans="2:14" x14ac:dyDescent="0.3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x14ac:dyDescent="0.3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x14ac:dyDescent="0.3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x14ac:dyDescent="0.3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3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x14ac:dyDescent="0.3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x14ac:dyDescent="0.3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x14ac:dyDescent="0.3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x14ac:dyDescent="0.3">
      <c r="B1794" s="30"/>
      <c r="C1794" s="52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x14ac:dyDescent="0.3">
      <c r="B1795" s="30"/>
      <c r="C1795" s="52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x14ac:dyDescent="0.3">
      <c r="B1796" s="30"/>
      <c r="C1796" s="23"/>
      <c r="D1796" s="24"/>
      <c r="E1796" s="25"/>
      <c r="F1796" s="26"/>
      <c r="G1796" s="26"/>
      <c r="H1796" s="329"/>
      <c r="I1796" s="41"/>
      <c r="J1796" s="358"/>
      <c r="K1796" s="36"/>
      <c r="L1796" s="33"/>
      <c r="M1796" s="34"/>
      <c r="N1796" s="35"/>
    </row>
    <row r="1797" spans="2:14" x14ac:dyDescent="0.3">
      <c r="B1797" s="30"/>
      <c r="C1797" s="23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x14ac:dyDescent="0.3">
      <c r="B1798" s="30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x14ac:dyDescent="0.3">
      <c r="B1799" s="30"/>
      <c r="C1799" s="23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x14ac:dyDescent="0.3">
      <c r="B1800" s="30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x14ac:dyDescent="0.3">
      <c r="B1801" s="30"/>
      <c r="C1801" s="53"/>
      <c r="D1801" s="24"/>
      <c r="E1801" s="25"/>
      <c r="F1801" s="26"/>
      <c r="G1801" s="325"/>
      <c r="H1801" s="332"/>
      <c r="I1801" s="333"/>
      <c r="J1801" s="359"/>
      <c r="K1801" s="36"/>
      <c r="L1801" s="33"/>
      <c r="M1801" s="34"/>
      <c r="N1801" s="35"/>
    </row>
    <row r="1802" spans="2:14" x14ac:dyDescent="0.3">
      <c r="B1802" s="30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x14ac:dyDescent="0.3">
      <c r="B1803" s="30"/>
      <c r="C1803" s="52"/>
      <c r="D1803" s="24"/>
      <c r="E1803" s="25"/>
      <c r="F1803" s="26"/>
      <c r="G1803" s="26"/>
      <c r="H1803" s="329"/>
      <c r="I1803" s="41"/>
      <c r="J1803" s="358"/>
      <c r="K1803" s="36"/>
      <c r="L1803" s="33"/>
      <c r="M1803" s="34"/>
      <c r="N1803" s="35"/>
    </row>
    <row r="1804" spans="2:14" x14ac:dyDescent="0.3">
      <c r="B1804" s="37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x14ac:dyDescent="0.3">
      <c r="B1805" s="37"/>
      <c r="C1805" s="23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x14ac:dyDescent="0.3">
      <c r="B1806" s="37"/>
      <c r="C1806" s="23"/>
      <c r="D1806" s="24"/>
      <c r="E1806" s="25"/>
      <c r="F1806" s="26"/>
      <c r="G1806" s="26"/>
      <c r="H1806" s="329"/>
      <c r="I1806" s="42"/>
      <c r="J1806" s="360"/>
      <c r="K1806" s="36"/>
      <c r="L1806" s="33"/>
      <c r="M1806" s="34"/>
      <c r="N1806" s="35"/>
    </row>
    <row r="1807" spans="2:14" x14ac:dyDescent="0.3">
      <c r="B1807" s="37"/>
      <c r="C1807" s="23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x14ac:dyDescent="0.3">
      <c r="B1808" s="37"/>
      <c r="C1808" s="52"/>
      <c r="D1808" s="24"/>
      <c r="E1808" s="25"/>
      <c r="F1808" s="26"/>
      <c r="G1808" s="26"/>
      <c r="H1808" s="329"/>
      <c r="I1808" s="42"/>
      <c r="J1808" s="360"/>
      <c r="K1808" s="36"/>
      <c r="L1808" s="33"/>
      <c r="M1808" s="34"/>
      <c r="N1808" s="35"/>
    </row>
    <row r="1809" spans="2:14" x14ac:dyDescent="0.3">
      <c r="B1809" s="37"/>
      <c r="C1809" s="52"/>
      <c r="D1809" s="24"/>
      <c r="E1809" s="25"/>
      <c r="F1809" s="26"/>
      <c r="G1809" s="26"/>
      <c r="H1809" s="329"/>
      <c r="I1809" s="41"/>
      <c r="J1809" s="358"/>
      <c r="K1809" s="27"/>
      <c r="L1809" s="33"/>
      <c r="M1809" s="34"/>
      <c r="N1809" s="35"/>
    </row>
    <row r="1810" spans="2:14" x14ac:dyDescent="0.3">
      <c r="B1810" s="37"/>
      <c r="C1810" s="52"/>
      <c r="D1810" s="24"/>
      <c r="E1810" s="25"/>
      <c r="F1810" s="26"/>
      <c r="G1810" s="26"/>
      <c r="H1810" s="329"/>
      <c r="I1810" s="42"/>
      <c r="J1810" s="360"/>
      <c r="K1810" s="36"/>
      <c r="L1810" s="330"/>
      <c r="M1810" s="34"/>
      <c r="N1810" s="35"/>
    </row>
    <row r="1811" spans="2:14" x14ac:dyDescent="0.3">
      <c r="B1811" s="37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0"/>
      <c r="M1811" s="34"/>
      <c r="N1811" s="35"/>
    </row>
    <row r="1812" spans="2:14" x14ac:dyDescent="0.3">
      <c r="B1812" s="37"/>
      <c r="C1812" s="23"/>
      <c r="D1812" s="24"/>
      <c r="E1812" s="25"/>
      <c r="F1812" s="26"/>
      <c r="G1812" s="26"/>
      <c r="H1812" s="329"/>
      <c r="I1812" s="41"/>
      <c r="J1812" s="358"/>
      <c r="K1812" s="27"/>
      <c r="L1812" s="330"/>
      <c r="M1812" s="34"/>
      <c r="N1812" s="35"/>
    </row>
    <row r="1813" spans="2:14" x14ac:dyDescent="0.3">
      <c r="B1813" s="37"/>
      <c r="C1813" s="23"/>
      <c r="D1813" s="24"/>
      <c r="E1813" s="25"/>
      <c r="F1813" s="26"/>
      <c r="G1813" s="325"/>
      <c r="H1813" s="332"/>
      <c r="I1813" s="334"/>
      <c r="J1813" s="361"/>
      <c r="K1813" s="27"/>
      <c r="L1813" s="33"/>
      <c r="M1813" s="34"/>
      <c r="N1813" s="35"/>
    </row>
    <row r="1814" spans="2:14" x14ac:dyDescent="0.3">
      <c r="B1814" s="37"/>
      <c r="C1814" s="53"/>
      <c r="D1814" s="24"/>
      <c r="E1814" s="25"/>
      <c r="F1814" s="26"/>
      <c r="G1814" s="325"/>
      <c r="H1814" s="332"/>
      <c r="I1814" s="333"/>
      <c r="J1814" s="359"/>
      <c r="K1814" s="27"/>
      <c r="L1814" s="330"/>
      <c r="M1814" s="34"/>
      <c r="N1814" s="35"/>
    </row>
    <row r="1815" spans="2:14" x14ac:dyDescent="0.3">
      <c r="B1815" s="37"/>
      <c r="C1815" s="53"/>
      <c r="D1815" s="24"/>
      <c r="E1815" s="25"/>
      <c r="F1815" s="26"/>
      <c r="G1815" s="325"/>
      <c r="H1815" s="332"/>
      <c r="I1815" s="333"/>
      <c r="J1815" s="359"/>
      <c r="K1815" s="27"/>
      <c r="L1815" s="330"/>
      <c r="M1815" s="34"/>
      <c r="N1815" s="35"/>
    </row>
    <row r="1816" spans="2:14" x14ac:dyDescent="0.3">
      <c r="B1816" s="37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x14ac:dyDescent="0.3">
      <c r="B1817" s="37"/>
      <c r="C1817" s="23"/>
      <c r="D1817" s="24"/>
      <c r="E1817" s="25"/>
      <c r="F1817" s="26"/>
      <c r="G1817" s="325"/>
      <c r="H1817" s="332"/>
      <c r="I1817" s="334"/>
      <c r="J1817" s="361"/>
      <c r="K1817" s="27"/>
      <c r="L1817" s="33"/>
      <c r="M1817" s="34"/>
      <c r="N1817" s="35"/>
    </row>
    <row r="1818" spans="2:14" x14ac:dyDescent="0.3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x14ac:dyDescent="0.3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x14ac:dyDescent="0.3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x14ac:dyDescent="0.3">
      <c r="B1821" s="37"/>
      <c r="C1821" s="53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x14ac:dyDescent="0.3">
      <c r="B1822" s="37"/>
      <c r="D1822" s="24"/>
      <c r="E1822" s="25"/>
      <c r="F1822" s="26"/>
      <c r="G1822" s="325"/>
      <c r="H1822" s="332"/>
      <c r="I1822" s="333"/>
      <c r="J1822" s="359"/>
      <c r="K1822" s="27"/>
      <c r="L1822" s="330"/>
      <c r="M1822" s="34"/>
      <c r="N1822" s="35"/>
    </row>
    <row r="1823" spans="2:14" x14ac:dyDescent="0.3">
      <c r="B1823" s="30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3">
      <c r="B1824" s="30"/>
      <c r="C1824" s="23"/>
      <c r="D1824" s="24"/>
      <c r="E1824" s="25"/>
      <c r="F1824" s="26"/>
      <c r="G1824" s="26"/>
      <c r="H1824" s="329"/>
      <c r="I1824" s="41"/>
      <c r="J1824" s="358"/>
      <c r="K1824" s="36"/>
      <c r="L1824" s="33"/>
      <c r="M1824" s="34"/>
      <c r="N1824" s="35"/>
    </row>
    <row r="1825" spans="2:14" x14ac:dyDescent="0.3">
      <c r="B1825" s="30"/>
      <c r="C1825" s="23"/>
      <c r="D1825" s="24"/>
      <c r="E1825" s="25"/>
      <c r="F1825" s="26"/>
      <c r="G1825" s="325"/>
      <c r="H1825" s="332"/>
      <c r="I1825" s="333"/>
      <c r="J1825" s="359"/>
      <c r="K1825" s="27"/>
      <c r="L1825" s="33"/>
      <c r="M1825" s="34"/>
      <c r="N1825" s="35"/>
    </row>
    <row r="1826" spans="2:14" x14ac:dyDescent="0.3">
      <c r="B1826" s="30"/>
      <c r="C1826" s="23"/>
      <c r="D1826" s="24"/>
      <c r="E1826" s="25"/>
      <c r="F1826" s="26"/>
      <c r="G1826" s="26"/>
      <c r="H1826" s="329"/>
      <c r="I1826" s="42"/>
      <c r="J1826" s="360"/>
      <c r="K1826" s="27"/>
      <c r="L1826" s="33"/>
      <c r="M1826" s="34"/>
      <c r="N1826" s="35"/>
    </row>
    <row r="1827" spans="2:14" x14ac:dyDescent="0.3">
      <c r="B1827" s="37"/>
      <c r="C1827" s="23"/>
      <c r="D1827" s="24"/>
      <c r="E1827" s="25"/>
      <c r="F1827" s="26"/>
      <c r="G1827" s="26"/>
      <c r="H1827" s="329"/>
      <c r="I1827" s="42"/>
      <c r="J1827" s="360"/>
      <c r="K1827" s="27"/>
      <c r="L1827" s="33"/>
      <c r="M1827" s="34"/>
      <c r="N1827" s="35"/>
    </row>
    <row r="1828" spans="2:14" x14ac:dyDescent="0.3">
      <c r="B1828" s="37"/>
      <c r="C1828" s="23"/>
      <c r="D1828" s="24"/>
      <c r="E1828" s="25"/>
      <c r="F1828" s="26"/>
      <c r="G1828" s="26"/>
      <c r="H1828" s="329"/>
      <c r="I1828" s="42"/>
      <c r="J1828" s="360"/>
      <c r="K1828" s="36"/>
      <c r="L1828" s="33"/>
      <c r="M1828" s="34"/>
      <c r="N1828" s="35"/>
    </row>
    <row r="1829" spans="2:14" x14ac:dyDescent="0.3">
      <c r="B1829" s="30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"/>
      <c r="M1829" s="34"/>
      <c r="N1829" s="35"/>
    </row>
    <row r="1830" spans="2:14" x14ac:dyDescent="0.3">
      <c r="B1830" s="30"/>
      <c r="C1830" s="23"/>
      <c r="D1830" s="24"/>
      <c r="E1830" s="25"/>
      <c r="F1830" s="26"/>
      <c r="G1830" s="26"/>
      <c r="H1830" s="329"/>
      <c r="I1830" s="42"/>
      <c r="J1830" s="360"/>
      <c r="K1830" s="27"/>
      <c r="L1830" s="33"/>
      <c r="M1830" s="34"/>
      <c r="N1830" s="35"/>
    </row>
    <row r="1831" spans="2:14" x14ac:dyDescent="0.3">
      <c r="B1831" s="30"/>
      <c r="C1831" s="23"/>
      <c r="D1831" s="24"/>
      <c r="E1831" s="25"/>
      <c r="F1831" s="26"/>
      <c r="G1831" s="325"/>
      <c r="H1831" s="332"/>
      <c r="I1831" s="333"/>
      <c r="J1831" s="359"/>
      <c r="K1831" s="27"/>
      <c r="L1831" s="33"/>
      <c r="M1831" s="34"/>
      <c r="N1831" s="35"/>
    </row>
    <row r="1832" spans="2:14" x14ac:dyDescent="0.3">
      <c r="B1832" s="37"/>
      <c r="C1832" s="23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3">
      <c r="B1833" s="37"/>
      <c r="C1833" s="23"/>
      <c r="D1833" s="24"/>
      <c r="E1833" s="25"/>
      <c r="F1833" s="26"/>
      <c r="G1833" s="26"/>
      <c r="H1833" s="329"/>
      <c r="I1833" s="334"/>
      <c r="J1833" s="361"/>
      <c r="K1833" s="27"/>
      <c r="L1833" s="33"/>
      <c r="M1833" s="34"/>
      <c r="N1833" s="35"/>
    </row>
    <row r="1834" spans="2:14" x14ac:dyDescent="0.3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0"/>
      <c r="M1834" s="34"/>
      <c r="N1834" s="35"/>
    </row>
    <row r="1835" spans="2:14" x14ac:dyDescent="0.3">
      <c r="B1835" s="37"/>
      <c r="C1835" s="23"/>
      <c r="D1835" s="24"/>
      <c r="E1835" s="25"/>
      <c r="F1835" s="26"/>
      <c r="G1835" s="26"/>
      <c r="H1835" s="329"/>
      <c r="I1835" s="41"/>
      <c r="J1835" s="358"/>
      <c r="K1835" s="27"/>
      <c r="L1835" s="330"/>
      <c r="M1835" s="34"/>
      <c r="N1835" s="35"/>
    </row>
    <row r="1836" spans="2:14" x14ac:dyDescent="0.3">
      <c r="B1836" s="37"/>
      <c r="C1836" s="23"/>
      <c r="D1836" s="24"/>
      <c r="E1836" s="25"/>
      <c r="F1836" s="26"/>
      <c r="G1836" s="26"/>
      <c r="H1836" s="329"/>
      <c r="I1836" s="42"/>
      <c r="J1836" s="360"/>
      <c r="K1836" s="27"/>
      <c r="L1836" s="33"/>
      <c r="M1836" s="34"/>
      <c r="N1836" s="35"/>
    </row>
    <row r="1837" spans="2:14" x14ac:dyDescent="0.3">
      <c r="B1837" s="30"/>
      <c r="C1837" s="23"/>
      <c r="D1837" s="24"/>
      <c r="E1837" s="25"/>
      <c r="F1837" s="26"/>
      <c r="G1837" s="26"/>
      <c r="H1837" s="329"/>
      <c r="I1837" s="42"/>
      <c r="J1837" s="360"/>
      <c r="K1837" s="27"/>
      <c r="L1837" s="33"/>
      <c r="M1837" s="34"/>
      <c r="N1837" s="35"/>
    </row>
    <row r="1838" spans="2:14" x14ac:dyDescent="0.3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x14ac:dyDescent="0.3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x14ac:dyDescent="0.3">
      <c r="B1840" s="37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x14ac:dyDescent="0.3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x14ac:dyDescent="0.3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0"/>
      <c r="M1842" s="34"/>
      <c r="N1842" s="35"/>
    </row>
    <row r="1843" spans="2:14" x14ac:dyDescent="0.3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x14ac:dyDescent="0.3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x14ac:dyDescent="0.3">
      <c r="B1845" s="37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0"/>
      <c r="M1845" s="34"/>
      <c r="N1845" s="35"/>
    </row>
    <row r="1846" spans="2:14" x14ac:dyDescent="0.3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3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x14ac:dyDescent="0.3">
      <c r="B1848" s="37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x14ac:dyDescent="0.3">
      <c r="B1849" s="37"/>
      <c r="C1849" s="23"/>
      <c r="D1849" s="24"/>
      <c r="E1849" s="25"/>
      <c r="F1849" s="26"/>
      <c r="G1849" s="26"/>
      <c r="H1849" s="329"/>
      <c r="I1849" s="41"/>
      <c r="J1849" s="358"/>
      <c r="K1849" s="36"/>
      <c r="L1849" s="33"/>
      <c r="M1849" s="34"/>
      <c r="N1849" s="35"/>
    </row>
  </sheetData>
  <sortState xmlns:xlrd2="http://schemas.microsoft.com/office/spreadsheetml/2017/richdata2" ref="B7:I1048557">
    <sortCondition ref="C7:C28"/>
  </sortState>
  <mergeCells count="3">
    <mergeCell ref="D1:H1"/>
    <mergeCell ref="D2:K2"/>
    <mergeCell ref="B3:F4"/>
  </mergeCells>
  <phoneticPr fontId="19" type="noConversion"/>
  <conditionalFormatting sqref="H1822:H1845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2:H1844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2:H1843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2:E1849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2:E1849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2:E1849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2:E1849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2:E1849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2:E1849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2:E1849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2:E1849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2:H1849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2:H1849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2:H1849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2:E1849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2:H1849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2:E1849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2:H1849">
    <cfRule type="iconSet" priority="282941">
      <iconSet>
        <cfvo type="percent" val="0"/>
        <cfvo type="percent" val="23"/>
        <cfvo type="percent" val="70"/>
      </iconSet>
    </cfRule>
  </conditionalFormatting>
  <conditionalFormatting sqref="H1822:H1849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2:H1849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2:H1849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2:H1849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2:E1849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2:H1849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2:H1849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2:H1849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2:H1849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2:H1849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2:E1849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2:H1849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2:H1849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2:E1849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2:E1849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2:H1849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2:H1849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2:H1849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2:E1849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2:H1849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2:H1849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2:H1849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2:H1849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2:H1849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2:H1849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2:E1849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2:H1849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2:H1849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2:H1849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2:H1849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2:H1849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2:H1849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2:H1849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2:H1849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2:E1849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2:H1849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2:E1849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2:H1849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2:E1849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2:H1849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2:H1849">
    <cfRule type="iconSet" priority="283409">
      <iconSet>
        <cfvo type="percent" val="0"/>
        <cfvo type="num" val="22"/>
        <cfvo type="num" val="26"/>
      </iconSet>
    </cfRule>
  </conditionalFormatting>
  <conditionalFormatting sqref="H1822:H1849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2:H1849">
    <cfRule type="iconSet" priority="283415">
      <iconSet>
        <cfvo type="percent" val="0"/>
        <cfvo type="num" val="21"/>
        <cfvo type="num" val="25"/>
      </iconSet>
    </cfRule>
  </conditionalFormatting>
  <conditionalFormatting sqref="H1822:H1849">
    <cfRule type="iconSet" priority="283417">
      <iconSet>
        <cfvo type="percent" val="0"/>
        <cfvo type="num" val="19"/>
        <cfvo type="num" val="23"/>
      </iconSet>
    </cfRule>
  </conditionalFormatting>
  <conditionalFormatting sqref="H1822:H1849">
    <cfRule type="iconSet" priority="283419">
      <iconSet>
        <cfvo type="percent" val="0"/>
        <cfvo type="num" val="23"/>
        <cfvo type="num" val="27"/>
      </iconSet>
    </cfRule>
  </conditionalFormatting>
  <conditionalFormatting sqref="E1736:E1738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1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30:E1159 E7:E28">
    <cfRule type="cellIs" dxfId="19" priority="170" operator="greaterThan">
      <formula>7</formula>
    </cfRule>
  </conditionalFormatting>
  <conditionalFormatting sqref="E1469:E4747">
    <cfRule type="cellIs" dxfId="18" priority="137" operator="greaterThan">
      <formula>7</formula>
    </cfRule>
  </conditionalFormatting>
  <conditionalFormatting sqref="I30:I1231 G30:G32 I7:I28">
    <cfRule type="cellIs" dxfId="17" priority="41" operator="lessThan">
      <formula>E7</formula>
    </cfRule>
  </conditionalFormatting>
  <conditionalFormatting sqref="I1822:I1849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2:I1849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2:I1849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2:I1849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2:I1849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2:I1849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2:I1849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2:I1849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2:I1849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2:I1849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2:I1849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2:I1849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2:I1849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2:I1849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8:H1455 H1242:H1416 H30:H1231 H7:H28">
    <cfRule type="cellIs" dxfId="16" priority="297758" operator="greaterThan">
      <formula>$H$29</formula>
    </cfRule>
  </conditionalFormatting>
  <conditionalFormatting sqref="L7:L1231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6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E1736:E1738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H1822:H1849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H1822:H1849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H1822:H1849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E1716:E1735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$H$29</xm:f>
              </x14:cfvo>
              <x14:cfIcon iconSet="NoIcons" iconId="0"/>
              <x14:cfIcon iconSet="NoIcons" iconId="0"/>
              <x14:cfIcon iconSet="3Stars" iconId="2"/>
            </x14:iconSet>
          </x14:cfRule>
          <xm:sqref>H1242:H1252 H30:H1231 H7:H28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6.5" x14ac:dyDescent="0.3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3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3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35">
      <c r="I5" s="20"/>
    </row>
    <row r="6" spans="2:75" ht="45" customHeight="1" x14ac:dyDescent="0.3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x14ac:dyDescent="0.3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x14ac:dyDescent="0.3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x14ac:dyDescent="0.3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x14ac:dyDescent="0.3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3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3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3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3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3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3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3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3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x14ac:dyDescent="0.3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x14ac:dyDescent="0.3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x14ac:dyDescent="0.3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x14ac:dyDescent="0.3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x14ac:dyDescent="0.3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x14ac:dyDescent="0.3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x14ac:dyDescent="0.3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x14ac:dyDescent="0.3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x14ac:dyDescent="0.3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x14ac:dyDescent="0.3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x14ac:dyDescent="0.3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x14ac:dyDescent="0.3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x14ac:dyDescent="0.3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x14ac:dyDescent="0.3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x14ac:dyDescent="0.3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x14ac:dyDescent="0.3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x14ac:dyDescent="0.3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x14ac:dyDescent="0.3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x14ac:dyDescent="0.3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x14ac:dyDescent="0.3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x14ac:dyDescent="0.3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x14ac:dyDescent="0.3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x14ac:dyDescent="0.3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x14ac:dyDescent="0.3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3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x14ac:dyDescent="0.3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x14ac:dyDescent="0.3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x14ac:dyDescent="0.3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x14ac:dyDescent="0.3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x14ac:dyDescent="0.3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x14ac:dyDescent="0.3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x14ac:dyDescent="0.3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x14ac:dyDescent="0.3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x14ac:dyDescent="0.3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x14ac:dyDescent="0.3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x14ac:dyDescent="0.3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x14ac:dyDescent="0.3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x14ac:dyDescent="0.3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x14ac:dyDescent="0.3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x14ac:dyDescent="0.3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x14ac:dyDescent="0.3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x14ac:dyDescent="0.3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x14ac:dyDescent="0.3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x14ac:dyDescent="0.3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x14ac:dyDescent="0.3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x14ac:dyDescent="0.3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x14ac:dyDescent="0.3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x14ac:dyDescent="0.3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x14ac:dyDescent="0.3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x14ac:dyDescent="0.3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x14ac:dyDescent="0.3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x14ac:dyDescent="0.3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x14ac:dyDescent="0.3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x14ac:dyDescent="0.3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x14ac:dyDescent="0.3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x14ac:dyDescent="0.3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x14ac:dyDescent="0.3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x14ac:dyDescent="0.3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x14ac:dyDescent="0.3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x14ac:dyDescent="0.3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x14ac:dyDescent="0.3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x14ac:dyDescent="0.3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x14ac:dyDescent="0.3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x14ac:dyDescent="0.3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x14ac:dyDescent="0.3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x14ac:dyDescent="0.3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x14ac:dyDescent="0.3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x14ac:dyDescent="0.3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x14ac:dyDescent="0.3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x14ac:dyDescent="0.3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x14ac:dyDescent="0.3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x14ac:dyDescent="0.3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x14ac:dyDescent="0.3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x14ac:dyDescent="0.3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x14ac:dyDescent="0.3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x14ac:dyDescent="0.3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x14ac:dyDescent="0.3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x14ac:dyDescent="0.3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x14ac:dyDescent="0.3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x14ac:dyDescent="0.3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x14ac:dyDescent="0.3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x14ac:dyDescent="0.3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x14ac:dyDescent="0.3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x14ac:dyDescent="0.3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x14ac:dyDescent="0.3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x14ac:dyDescent="0.3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x14ac:dyDescent="0.3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x14ac:dyDescent="0.3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x14ac:dyDescent="0.3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x14ac:dyDescent="0.3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x14ac:dyDescent="0.3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x14ac:dyDescent="0.3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x14ac:dyDescent="0.3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x14ac:dyDescent="0.3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x14ac:dyDescent="0.3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x14ac:dyDescent="0.3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x14ac:dyDescent="0.3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x14ac:dyDescent="0.3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x14ac:dyDescent="0.3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x14ac:dyDescent="0.3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x14ac:dyDescent="0.3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x14ac:dyDescent="0.3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x14ac:dyDescent="0.3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x14ac:dyDescent="0.3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x14ac:dyDescent="0.3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x14ac:dyDescent="0.3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x14ac:dyDescent="0.3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x14ac:dyDescent="0.3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x14ac:dyDescent="0.3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x14ac:dyDescent="0.3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x14ac:dyDescent="0.3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x14ac:dyDescent="0.3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x14ac:dyDescent="0.3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x14ac:dyDescent="0.3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x14ac:dyDescent="0.3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x14ac:dyDescent="0.3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x14ac:dyDescent="0.3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x14ac:dyDescent="0.3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x14ac:dyDescent="0.3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x14ac:dyDescent="0.3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x14ac:dyDescent="0.3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x14ac:dyDescent="0.3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x14ac:dyDescent="0.3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x14ac:dyDescent="0.3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x14ac:dyDescent="0.3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x14ac:dyDescent="0.3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x14ac:dyDescent="0.3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x14ac:dyDescent="0.3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x14ac:dyDescent="0.3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x14ac:dyDescent="0.3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x14ac:dyDescent="0.3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x14ac:dyDescent="0.3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x14ac:dyDescent="0.3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x14ac:dyDescent="0.3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x14ac:dyDescent="0.3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x14ac:dyDescent="0.3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x14ac:dyDescent="0.3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x14ac:dyDescent="0.3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x14ac:dyDescent="0.3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x14ac:dyDescent="0.3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x14ac:dyDescent="0.3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x14ac:dyDescent="0.3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x14ac:dyDescent="0.3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x14ac:dyDescent="0.3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x14ac:dyDescent="0.3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x14ac:dyDescent="0.3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x14ac:dyDescent="0.3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x14ac:dyDescent="0.3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x14ac:dyDescent="0.3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x14ac:dyDescent="0.3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x14ac:dyDescent="0.3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x14ac:dyDescent="0.3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x14ac:dyDescent="0.3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x14ac:dyDescent="0.3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x14ac:dyDescent="0.3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x14ac:dyDescent="0.3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x14ac:dyDescent="0.3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x14ac:dyDescent="0.3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x14ac:dyDescent="0.3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x14ac:dyDescent="0.3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x14ac:dyDescent="0.3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x14ac:dyDescent="0.3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x14ac:dyDescent="0.3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x14ac:dyDescent="0.3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x14ac:dyDescent="0.3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x14ac:dyDescent="0.3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x14ac:dyDescent="0.3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x14ac:dyDescent="0.3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x14ac:dyDescent="0.3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x14ac:dyDescent="0.3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x14ac:dyDescent="0.3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x14ac:dyDescent="0.3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x14ac:dyDescent="0.3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x14ac:dyDescent="0.3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x14ac:dyDescent="0.3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x14ac:dyDescent="0.3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x14ac:dyDescent="0.3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x14ac:dyDescent="0.3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x14ac:dyDescent="0.3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x14ac:dyDescent="0.3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x14ac:dyDescent="0.3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x14ac:dyDescent="0.3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x14ac:dyDescent="0.3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x14ac:dyDescent="0.3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x14ac:dyDescent="0.3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x14ac:dyDescent="0.3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x14ac:dyDescent="0.3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x14ac:dyDescent="0.3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x14ac:dyDescent="0.3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x14ac:dyDescent="0.3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x14ac:dyDescent="0.3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x14ac:dyDescent="0.3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3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3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x14ac:dyDescent="0.3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x14ac:dyDescent="0.3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x14ac:dyDescent="0.3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x14ac:dyDescent="0.3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x14ac:dyDescent="0.3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x14ac:dyDescent="0.3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3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x14ac:dyDescent="0.3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x14ac:dyDescent="0.3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x14ac:dyDescent="0.3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3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3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x14ac:dyDescent="0.3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x14ac:dyDescent="0.3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x14ac:dyDescent="0.3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3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x14ac:dyDescent="0.3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x14ac:dyDescent="0.3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3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x14ac:dyDescent="0.3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x14ac:dyDescent="0.3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x14ac:dyDescent="0.3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x14ac:dyDescent="0.3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x14ac:dyDescent="0.3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x14ac:dyDescent="0.3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x14ac:dyDescent="0.3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x14ac:dyDescent="0.3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x14ac:dyDescent="0.3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x14ac:dyDescent="0.3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x14ac:dyDescent="0.3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x14ac:dyDescent="0.3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x14ac:dyDescent="0.3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x14ac:dyDescent="0.3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x14ac:dyDescent="0.3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x14ac:dyDescent="0.3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x14ac:dyDescent="0.3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x14ac:dyDescent="0.3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x14ac:dyDescent="0.3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x14ac:dyDescent="0.3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x14ac:dyDescent="0.3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x14ac:dyDescent="0.3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x14ac:dyDescent="0.3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3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x14ac:dyDescent="0.3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x14ac:dyDescent="0.3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x14ac:dyDescent="0.3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x14ac:dyDescent="0.3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x14ac:dyDescent="0.3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x14ac:dyDescent="0.3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x14ac:dyDescent="0.3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x14ac:dyDescent="0.3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x14ac:dyDescent="0.3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x14ac:dyDescent="0.3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x14ac:dyDescent="0.3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x14ac:dyDescent="0.3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x14ac:dyDescent="0.3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x14ac:dyDescent="0.3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x14ac:dyDescent="0.3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x14ac:dyDescent="0.3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x14ac:dyDescent="0.3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3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x14ac:dyDescent="0.3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x14ac:dyDescent="0.3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3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x14ac:dyDescent="0.3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3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3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3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3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x14ac:dyDescent="0.3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x14ac:dyDescent="0.3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x14ac:dyDescent="0.3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x14ac:dyDescent="0.3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x14ac:dyDescent="0.3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x14ac:dyDescent="0.3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x14ac:dyDescent="0.3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x14ac:dyDescent="0.3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x14ac:dyDescent="0.3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x14ac:dyDescent="0.3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x14ac:dyDescent="0.3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x14ac:dyDescent="0.3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x14ac:dyDescent="0.3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x14ac:dyDescent="0.3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x14ac:dyDescent="0.3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x14ac:dyDescent="0.3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x14ac:dyDescent="0.3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x14ac:dyDescent="0.3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x14ac:dyDescent="0.3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x14ac:dyDescent="0.3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x14ac:dyDescent="0.3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x14ac:dyDescent="0.3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3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3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x14ac:dyDescent="0.3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3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x14ac:dyDescent="0.3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3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x14ac:dyDescent="0.3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x14ac:dyDescent="0.3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3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x14ac:dyDescent="0.3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x14ac:dyDescent="0.3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x14ac:dyDescent="0.3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3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x14ac:dyDescent="0.3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x14ac:dyDescent="0.3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x14ac:dyDescent="0.3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x14ac:dyDescent="0.3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x14ac:dyDescent="0.3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x14ac:dyDescent="0.3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x14ac:dyDescent="0.3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x14ac:dyDescent="0.3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3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3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3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x14ac:dyDescent="0.3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3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x14ac:dyDescent="0.3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x14ac:dyDescent="0.3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3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x14ac:dyDescent="0.3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x14ac:dyDescent="0.3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3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3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x14ac:dyDescent="0.3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x14ac:dyDescent="0.3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x14ac:dyDescent="0.3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x14ac:dyDescent="0.3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x14ac:dyDescent="0.3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x14ac:dyDescent="0.3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x14ac:dyDescent="0.3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x14ac:dyDescent="0.3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3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3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3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x14ac:dyDescent="0.3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3"/>
  <sheetData>
    <row r="3" spans="2:9" ht="16.5" x14ac:dyDescent="0.3">
      <c r="B3" s="4" t="s">
        <v>0</v>
      </c>
      <c r="C3" s="5" t="s">
        <v>7</v>
      </c>
      <c r="D3" s="5" t="s">
        <v>8</v>
      </c>
      <c r="F3" s="14" t="s">
        <v>74</v>
      </c>
    </row>
    <row r="4" spans="2:9" ht="16.5" x14ac:dyDescent="0.3">
      <c r="B4" s="6">
        <v>1</v>
      </c>
      <c r="C4" s="7" t="s">
        <v>9</v>
      </c>
      <c r="D4" s="8" t="s">
        <v>47</v>
      </c>
      <c r="F4" t="s">
        <v>73</v>
      </c>
    </row>
    <row r="5" spans="2:9" ht="16.5" x14ac:dyDescent="0.3">
      <c r="B5" s="9">
        <v>2</v>
      </c>
      <c r="C5" s="10" t="s">
        <v>10</v>
      </c>
      <c r="D5" s="10"/>
    </row>
    <row r="6" spans="2:9" ht="16.5" x14ac:dyDescent="0.3">
      <c r="B6" s="6">
        <v>3</v>
      </c>
      <c r="C6" s="8" t="s">
        <v>11</v>
      </c>
      <c r="D6" s="8" t="s">
        <v>47</v>
      </c>
    </row>
    <row r="7" spans="2:9" ht="16.5" x14ac:dyDescent="0.3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ht="16.5" x14ac:dyDescent="0.3">
      <c r="B8" s="6">
        <v>5</v>
      </c>
      <c r="C8" s="8" t="s">
        <v>13</v>
      </c>
      <c r="D8" s="8"/>
      <c r="F8" t="s">
        <v>71</v>
      </c>
      <c r="I8" t="s">
        <v>92</v>
      </c>
    </row>
    <row r="9" spans="2:9" ht="16.5" x14ac:dyDescent="0.3">
      <c r="B9" s="9">
        <v>6</v>
      </c>
      <c r="C9" s="10" t="s">
        <v>14</v>
      </c>
      <c r="D9" s="10" t="s">
        <v>47</v>
      </c>
    </row>
    <row r="10" spans="2:9" ht="16.5" x14ac:dyDescent="0.3">
      <c r="B10" s="6">
        <v>7</v>
      </c>
      <c r="C10" s="8" t="s">
        <v>15</v>
      </c>
      <c r="D10" s="8"/>
      <c r="I10" t="s">
        <v>93</v>
      </c>
    </row>
    <row r="11" spans="2:9" ht="16.5" x14ac:dyDescent="0.3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ht="16.5" x14ac:dyDescent="0.3">
      <c r="B12" s="6">
        <v>9</v>
      </c>
      <c r="C12" s="8" t="s">
        <v>17</v>
      </c>
      <c r="D12" s="8" t="s">
        <v>47</v>
      </c>
      <c r="F12" t="s">
        <v>70</v>
      </c>
    </row>
    <row r="13" spans="2:9" ht="16.5" x14ac:dyDescent="0.3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ht="16.5" x14ac:dyDescent="0.3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ht="16.5" x14ac:dyDescent="0.3">
      <c r="B15" s="9">
        <v>12</v>
      </c>
      <c r="C15" s="10" t="s">
        <v>147</v>
      </c>
      <c r="D15" s="10"/>
    </row>
    <row r="16" spans="2:9" ht="16.5" x14ac:dyDescent="0.3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ht="16.5" x14ac:dyDescent="0.3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ht="16.5" x14ac:dyDescent="0.3">
      <c r="B18" s="6">
        <v>15</v>
      </c>
      <c r="C18" s="8" t="s">
        <v>22</v>
      </c>
      <c r="D18" s="8"/>
    </row>
    <row r="19" spans="2:9" ht="16.5" x14ac:dyDescent="0.3">
      <c r="B19" s="9">
        <v>16</v>
      </c>
      <c r="C19" s="10" t="s">
        <v>23</v>
      </c>
      <c r="D19" s="10" t="s">
        <v>47</v>
      </c>
      <c r="F19" t="s">
        <v>55</v>
      </c>
    </row>
    <row r="20" spans="2:9" ht="16.5" x14ac:dyDescent="0.3">
      <c r="B20" s="6">
        <v>17</v>
      </c>
      <c r="C20" s="8" t="s">
        <v>24</v>
      </c>
      <c r="D20" s="8" t="s">
        <v>47</v>
      </c>
      <c r="F20" t="s">
        <v>56</v>
      </c>
    </row>
    <row r="21" spans="2:9" ht="16.5" x14ac:dyDescent="0.3">
      <c r="B21" s="9">
        <v>18</v>
      </c>
      <c r="C21" s="10" t="s">
        <v>25</v>
      </c>
      <c r="D21" s="10" t="s">
        <v>47</v>
      </c>
      <c r="F21" t="s">
        <v>58</v>
      </c>
    </row>
    <row r="22" spans="2:9" ht="16.5" x14ac:dyDescent="0.3">
      <c r="B22" s="6">
        <v>19</v>
      </c>
      <c r="C22" s="8" t="s">
        <v>26</v>
      </c>
      <c r="D22" s="8" t="s">
        <v>47</v>
      </c>
      <c r="F22" t="s">
        <v>57</v>
      </c>
    </row>
    <row r="23" spans="2:9" ht="16.5" x14ac:dyDescent="0.3">
      <c r="B23" s="9">
        <v>20</v>
      </c>
      <c r="C23" s="10" t="s">
        <v>27</v>
      </c>
      <c r="D23" s="10" t="s">
        <v>47</v>
      </c>
    </row>
    <row r="24" spans="2:9" ht="16.5" x14ac:dyDescent="0.3">
      <c r="B24" s="6">
        <v>21</v>
      </c>
      <c r="C24" s="8" t="s">
        <v>28</v>
      </c>
      <c r="D24" s="8" t="s">
        <v>47</v>
      </c>
      <c r="F24" t="s">
        <v>59</v>
      </c>
    </row>
    <row r="25" spans="2:9" ht="16.5" x14ac:dyDescent="0.3">
      <c r="B25" s="9">
        <v>22</v>
      </c>
      <c r="C25" s="10" t="s">
        <v>29</v>
      </c>
      <c r="D25" s="10"/>
      <c r="F25" t="s">
        <v>60</v>
      </c>
    </row>
    <row r="26" spans="2:9" ht="16.5" x14ac:dyDescent="0.3">
      <c r="B26" s="6">
        <v>23</v>
      </c>
      <c r="C26" s="8" t="s">
        <v>30</v>
      </c>
      <c r="D26" s="8" t="s">
        <v>52</v>
      </c>
    </row>
    <row r="27" spans="2:9" ht="16.5" x14ac:dyDescent="0.3">
      <c r="B27" s="9">
        <v>24</v>
      </c>
      <c r="C27" s="10" t="s">
        <v>31</v>
      </c>
      <c r="D27" s="10" t="s">
        <v>47</v>
      </c>
      <c r="F27" t="s">
        <v>61</v>
      </c>
    </row>
    <row r="28" spans="2:9" ht="16.5" x14ac:dyDescent="0.3">
      <c r="B28" s="6">
        <v>25</v>
      </c>
      <c r="C28" s="8" t="s">
        <v>32</v>
      </c>
      <c r="D28" s="8"/>
      <c r="F28" t="s">
        <v>62</v>
      </c>
    </row>
    <row r="29" spans="2:9" ht="16.5" x14ac:dyDescent="0.3">
      <c r="B29" s="9">
        <v>26</v>
      </c>
      <c r="C29" s="10" t="s">
        <v>33</v>
      </c>
      <c r="D29" s="10" t="s">
        <v>47</v>
      </c>
    </row>
    <row r="30" spans="2:9" ht="16.5" x14ac:dyDescent="0.3">
      <c r="B30" s="6">
        <v>27</v>
      </c>
      <c r="C30" s="8" t="s">
        <v>34</v>
      </c>
      <c r="D30" s="8"/>
      <c r="F30" t="s">
        <v>63</v>
      </c>
    </row>
    <row r="31" spans="2:9" ht="16.5" x14ac:dyDescent="0.3">
      <c r="B31" s="9">
        <v>28</v>
      </c>
      <c r="C31" s="10" t="s">
        <v>35</v>
      </c>
      <c r="D31" s="10" t="s">
        <v>47</v>
      </c>
      <c r="F31" t="s">
        <v>64</v>
      </c>
    </row>
    <row r="32" spans="2:9" ht="16.5" x14ac:dyDescent="0.3">
      <c r="B32" s="6">
        <v>29</v>
      </c>
      <c r="C32" s="8" t="s">
        <v>36</v>
      </c>
      <c r="D32" s="8" t="s">
        <v>47</v>
      </c>
    </row>
    <row r="33" spans="2:16" ht="16.5" x14ac:dyDescent="0.3">
      <c r="B33" s="9">
        <v>30</v>
      </c>
      <c r="C33" s="10" t="s">
        <v>146</v>
      </c>
      <c r="D33" s="10"/>
      <c r="F33" t="s">
        <v>75</v>
      </c>
    </row>
    <row r="34" spans="2:16" ht="16.5" x14ac:dyDescent="0.3">
      <c r="B34" s="6">
        <v>31</v>
      </c>
      <c r="C34" s="8" t="s">
        <v>37</v>
      </c>
      <c r="D34" s="10" t="s">
        <v>47</v>
      </c>
      <c r="F34" t="s">
        <v>78</v>
      </c>
    </row>
    <row r="35" spans="2:16" ht="16.5" x14ac:dyDescent="0.3">
      <c r="B35" s="9">
        <v>32</v>
      </c>
      <c r="C35" s="10" t="s">
        <v>38</v>
      </c>
      <c r="D35" s="10" t="s">
        <v>47</v>
      </c>
      <c r="F35" t="s">
        <v>65</v>
      </c>
    </row>
    <row r="36" spans="2:16" ht="16.5" x14ac:dyDescent="0.3">
      <c r="B36" s="6">
        <v>33</v>
      </c>
      <c r="C36" s="8" t="s">
        <v>39</v>
      </c>
      <c r="D36" s="8" t="s">
        <v>47</v>
      </c>
      <c r="F36" t="s">
        <v>66</v>
      </c>
    </row>
    <row r="37" spans="2:16" ht="16.5" x14ac:dyDescent="0.3">
      <c r="B37" s="9">
        <v>34</v>
      </c>
      <c r="C37" s="10" t="s">
        <v>40</v>
      </c>
      <c r="D37" s="10" t="s">
        <v>47</v>
      </c>
    </row>
    <row r="38" spans="2:16" ht="16.5" x14ac:dyDescent="0.3">
      <c r="B38" s="6">
        <v>35</v>
      </c>
      <c r="C38" s="8" t="s">
        <v>41</v>
      </c>
      <c r="D38" s="8"/>
    </row>
    <row r="39" spans="2:16" ht="16.5" x14ac:dyDescent="0.3">
      <c r="B39" s="9">
        <v>36</v>
      </c>
      <c r="C39" s="10" t="s">
        <v>42</v>
      </c>
      <c r="D39" s="10" t="s">
        <v>47</v>
      </c>
      <c r="F39" t="s">
        <v>67</v>
      </c>
    </row>
    <row r="40" spans="2:16" ht="16.5" x14ac:dyDescent="0.3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ht="16.5" x14ac:dyDescent="0.3">
      <c r="B41" s="9">
        <v>38</v>
      </c>
      <c r="C41" s="10" t="s">
        <v>44</v>
      </c>
      <c r="D41" s="10" t="s">
        <v>47</v>
      </c>
    </row>
    <row r="42" spans="2:16" ht="16.5" x14ac:dyDescent="0.3">
      <c r="B42" s="6">
        <v>39</v>
      </c>
      <c r="C42" s="8" t="s">
        <v>45</v>
      </c>
      <c r="D42" s="8" t="s">
        <v>47</v>
      </c>
      <c r="F42" t="s">
        <v>76</v>
      </c>
    </row>
    <row r="43" spans="2:16" ht="16.5" x14ac:dyDescent="0.3">
      <c r="B43" s="9">
        <v>40</v>
      </c>
      <c r="C43" s="10" t="s">
        <v>46</v>
      </c>
      <c r="D43" s="10" t="s">
        <v>47</v>
      </c>
      <c r="F43" t="s">
        <v>77</v>
      </c>
    </row>
    <row r="44" spans="2:16" ht="16.5" x14ac:dyDescent="0.3">
      <c r="B44" s="9">
        <v>41</v>
      </c>
      <c r="C44" t="s">
        <v>118</v>
      </c>
      <c r="D44" s="10"/>
    </row>
    <row r="45" spans="2:16" ht="16.5" x14ac:dyDescent="0.3">
      <c r="B45" s="9">
        <v>42</v>
      </c>
      <c r="C45" s="18" t="s">
        <v>102</v>
      </c>
      <c r="D45" s="10"/>
      <c r="F45" t="s">
        <v>79</v>
      </c>
    </row>
    <row r="46" spans="2:16" ht="16.5" x14ac:dyDescent="0.3">
      <c r="B46" s="365">
        <v>43</v>
      </c>
      <c r="C46" t="s">
        <v>145</v>
      </c>
      <c r="F46" t="s">
        <v>80</v>
      </c>
    </row>
    <row r="47" spans="2:16" ht="16.5" x14ac:dyDescent="0.3">
      <c r="B47" s="365">
        <v>44</v>
      </c>
    </row>
    <row r="48" spans="2:16" ht="16.5" x14ac:dyDescent="0.3">
      <c r="F48" t="s">
        <v>81</v>
      </c>
    </row>
    <row r="49" spans="6:6" ht="16.5" x14ac:dyDescent="0.3">
      <c r="F49" t="s">
        <v>82</v>
      </c>
    </row>
    <row r="51" spans="6:6" ht="16.5" x14ac:dyDescent="0.3">
      <c r="F51" t="s">
        <v>83</v>
      </c>
    </row>
    <row r="52" spans="6:6" ht="16.5" x14ac:dyDescent="0.3">
      <c r="F52" t="s">
        <v>84</v>
      </c>
    </row>
    <row r="54" spans="6:6" ht="16.5" x14ac:dyDescent="0.3">
      <c r="F54" t="s">
        <v>85</v>
      </c>
    </row>
    <row r="55" spans="6:6" ht="16.5" x14ac:dyDescent="0.3">
      <c r="F55" t="s">
        <v>86</v>
      </c>
    </row>
    <row r="57" spans="6:6" ht="16.5" x14ac:dyDescent="0.3">
      <c r="F57" t="s">
        <v>87</v>
      </c>
    </row>
    <row r="58" spans="6:6" ht="16.5" x14ac:dyDescent="0.3">
      <c r="F58" t="s">
        <v>88</v>
      </c>
    </row>
    <row r="60" spans="6:6" ht="16.5" x14ac:dyDescent="0.3">
      <c r="F60" t="s">
        <v>89</v>
      </c>
    </row>
    <row r="61" spans="6:6" ht="16.5" x14ac:dyDescent="0.3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F11" sqref="F11"/>
    </sheetView>
  </sheetViews>
  <sheetFormatPr baseColWidth="10" defaultColWidth="11.375" defaultRowHeight="16.5" x14ac:dyDescent="0.3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3"/>
    <row r="6" spans="3:42" x14ac:dyDescent="0.3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3">
      <c r="C7" s="153" t="s">
        <v>121</v>
      </c>
      <c r="D7" s="375">
        <v>4246</v>
      </c>
      <c r="E7" s="375">
        <v>91828</v>
      </c>
      <c r="AN7" t="s">
        <v>137</v>
      </c>
      <c r="AO7" s="228" t="e">
        <f>#REF!/12</f>
        <v>#REF!</v>
      </c>
    </row>
    <row r="8" spans="3:42" x14ac:dyDescent="0.3">
      <c r="C8" s="153" t="s">
        <v>122</v>
      </c>
      <c r="D8" s="375">
        <v>4275</v>
      </c>
      <c r="E8" s="375">
        <v>92105</v>
      </c>
    </row>
    <row r="9" spans="3:42" x14ac:dyDescent="0.3">
      <c r="C9" s="153" t="s">
        <v>148</v>
      </c>
      <c r="D9" s="375">
        <v>799</v>
      </c>
      <c r="E9" s="375">
        <v>16062</v>
      </c>
      <c r="I9" t="s">
        <v>138</v>
      </c>
    </row>
    <row r="10" spans="3:42" x14ac:dyDescent="0.3">
      <c r="C10" s="153" t="s">
        <v>117</v>
      </c>
      <c r="D10" s="375">
        <v>9320</v>
      </c>
      <c r="E10" s="375">
        <v>199995</v>
      </c>
      <c r="F10">
        <f>E10/D10</f>
        <v>21.458690987124463</v>
      </c>
      <c r="H10" s="229">
        <f>7267*3200</f>
        <v>23254400</v>
      </c>
      <c r="J10" s="231"/>
    </row>
    <row r="11" spans="3:42" x14ac:dyDescent="0.3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3">
      <c r="D12">
        <f>(GETPIVOTDATA("Suma de Viajes",$C$6,"Ruta","87TR")*20)/140</f>
        <v>606.57142857142856</v>
      </c>
      <c r="E12">
        <f>(GETPIVOTDATA("Suma de Usuarios",$C$6,"Ruta","87TR")*500)/3000</f>
        <v>15304.666666666666</v>
      </c>
      <c r="H12" s="230" t="e">
        <f>SUM(H10:H11)</f>
        <v>#REF!</v>
      </c>
      <c r="I12" s="230" t="e">
        <f>H12-G12</f>
        <v>#REF!</v>
      </c>
    </row>
    <row r="13" spans="3:42" x14ac:dyDescent="0.3">
      <c r="D13">
        <f>(GETPIVOTDATA("Suma de Viajes",$C$6,"Ruta","88VILL")*20)/140</f>
        <v>610.71428571428567</v>
      </c>
      <c r="E13">
        <f>(GETPIVOTDATA("Suma de Usuarios",$C$6,"Ruta","88VILL")*500)/3000</f>
        <v>15350.833333333334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6.5" x14ac:dyDescent="0.3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3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3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3">
      <c r="B16" s="153">
        <v>29</v>
      </c>
      <c r="C16">
        <v>8</v>
      </c>
      <c r="D16">
        <v>217</v>
      </c>
      <c r="E16" s="189">
        <v>27.125</v>
      </c>
    </row>
    <row r="17" spans="2:5" x14ac:dyDescent="0.3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3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3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3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3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3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3">
      <c r="B30" s="153">
        <v>39</v>
      </c>
      <c r="C30">
        <v>7</v>
      </c>
      <c r="D30">
        <v>126</v>
      </c>
      <c r="E30" s="189">
        <v>18</v>
      </c>
    </row>
    <row r="31" spans="2:5" x14ac:dyDescent="0.3">
      <c r="B31" s="153">
        <v>37</v>
      </c>
      <c r="C31">
        <v>4</v>
      </c>
      <c r="D31">
        <v>57</v>
      </c>
      <c r="E31" s="189">
        <v>14.25</v>
      </c>
    </row>
    <row r="32" spans="2:5" x14ac:dyDescent="0.3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2026-02-02T05:31:40Z</cp:lastPrinted>
  <dcterms:created xsi:type="dcterms:W3CDTF">2021-05-05T13:25:05Z</dcterms:created>
  <dcterms:modified xsi:type="dcterms:W3CDTF">2026-02-02T05:32:48Z</dcterms:modified>
</cp:coreProperties>
</file>