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90EF17E3-6795-4DF1-A2A3-688BE2888CC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" l="1"/>
  <c r="O8" i="1"/>
  <c r="T8" i="1"/>
  <c r="M9" i="1"/>
  <c r="N9" i="1" s="1"/>
  <c r="O9" i="1"/>
  <c r="Q9" i="1"/>
  <c r="T9" i="1"/>
  <c r="M10" i="1"/>
  <c r="O10" i="1"/>
  <c r="T10" i="1"/>
  <c r="M11" i="1"/>
  <c r="N24" i="1" s="1"/>
  <c r="O11" i="1"/>
  <c r="Q11" i="1"/>
  <c r="T11" i="1"/>
  <c r="M12" i="1"/>
  <c r="O12" i="1"/>
  <c r="T12" i="1"/>
  <c r="M13" i="1"/>
  <c r="O13" i="1"/>
  <c r="Q13" i="1"/>
  <c r="T13" i="1"/>
  <c r="M14" i="1"/>
  <c r="O14" i="1"/>
  <c r="T14" i="1"/>
  <c r="M15" i="1"/>
  <c r="O15" i="1"/>
  <c r="Q15" i="1"/>
  <c r="T15" i="1"/>
  <c r="M16" i="1"/>
  <c r="O16" i="1"/>
  <c r="T16" i="1"/>
  <c r="M17" i="1"/>
  <c r="O17" i="1"/>
  <c r="Q17" i="1"/>
  <c r="T17" i="1"/>
  <c r="M18" i="1"/>
  <c r="O18" i="1"/>
  <c r="T18" i="1"/>
  <c r="M19" i="1"/>
  <c r="O19" i="1"/>
  <c r="Q19" i="1"/>
  <c r="T19" i="1"/>
  <c r="M20" i="1"/>
  <c r="O20" i="1"/>
  <c r="T20" i="1"/>
  <c r="M21" i="1"/>
  <c r="O21" i="1"/>
  <c r="Q21" i="1"/>
  <c r="T21" i="1"/>
  <c r="M22" i="1"/>
  <c r="O22" i="1"/>
  <c r="T22" i="1"/>
  <c r="M23" i="1"/>
  <c r="O23" i="1"/>
  <c r="Q23" i="1"/>
  <c r="T23" i="1"/>
  <c r="M24" i="1"/>
  <c r="O24" i="1"/>
  <c r="T24" i="1"/>
  <c r="M25" i="1"/>
  <c r="O25" i="1"/>
  <c r="Q25" i="1"/>
  <c r="T25" i="1"/>
  <c r="M26" i="1"/>
  <c r="O26" i="1"/>
  <c r="T26" i="1"/>
  <c r="M27" i="1"/>
  <c r="O27" i="1"/>
  <c r="Q27" i="1"/>
  <c r="T2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C28" i="1"/>
  <c r="G28" i="1"/>
  <c r="I8" i="1" s="1"/>
  <c r="J8" i="1" s="1"/>
  <c r="F28" i="1"/>
  <c r="E28" i="1"/>
  <c r="G11" i="6"/>
  <c r="F11" i="6"/>
  <c r="E11" i="6"/>
  <c r="T7" i="1"/>
  <c r="O7" i="1"/>
  <c r="Q7" i="1" s="1"/>
  <c r="M7" i="1"/>
  <c r="H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T45" i="1"/>
  <c r="O45" i="1"/>
  <c r="Q45" i="1" s="1"/>
  <c r="T46" i="1"/>
  <c r="O46" i="1"/>
  <c r="Q46" i="1" s="1"/>
  <c r="T47" i="1"/>
  <c r="O47" i="1"/>
  <c r="Q47" i="1" s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AP6" i="3"/>
  <c r="E13" i="3"/>
  <c r="D13" i="3"/>
  <c r="H11" i="3"/>
  <c r="D12" i="3"/>
  <c r="E12" i="3"/>
  <c r="I14" i="1" l="1"/>
  <c r="J14" i="1" s="1"/>
  <c r="I11" i="1"/>
  <c r="J11" i="1" s="1"/>
  <c r="I27" i="1"/>
  <c r="J27" i="1" s="1"/>
  <c r="I7" i="1"/>
  <c r="P7" i="1" s="1"/>
  <c r="L7" i="1" s="1"/>
  <c r="I22" i="1"/>
  <c r="J22" i="1" s="1"/>
  <c r="I19" i="1"/>
  <c r="J19" i="1" s="1"/>
  <c r="P11" i="1"/>
  <c r="L11" i="1" s="1"/>
  <c r="P8" i="1"/>
  <c r="L8" i="1" s="1"/>
  <c r="I20" i="1"/>
  <c r="J20" i="1" s="1"/>
  <c r="I17" i="1"/>
  <c r="I9" i="1"/>
  <c r="P22" i="1"/>
  <c r="L22" i="1" s="1"/>
  <c r="I26" i="1"/>
  <c r="J26" i="1" s="1"/>
  <c r="I23" i="1"/>
  <c r="I18" i="1"/>
  <c r="J18" i="1" s="1"/>
  <c r="I15" i="1"/>
  <c r="I10" i="1"/>
  <c r="J10" i="1" s="1"/>
  <c r="I25" i="1"/>
  <c r="I12" i="1"/>
  <c r="J12" i="1" s="1"/>
  <c r="P26" i="1"/>
  <c r="L26" i="1" s="1"/>
  <c r="P14" i="1"/>
  <c r="L14" i="1" s="1"/>
  <c r="I24" i="1"/>
  <c r="J24" i="1" s="1"/>
  <c r="I21" i="1"/>
  <c r="I16" i="1"/>
  <c r="J16" i="1" s="1"/>
  <c r="I13" i="1"/>
  <c r="N20" i="1"/>
  <c r="N18" i="1"/>
  <c r="N14" i="1"/>
  <c r="N8" i="1"/>
  <c r="Q22" i="1"/>
  <c r="Q18" i="1"/>
  <c r="Q16" i="1"/>
  <c r="Q14" i="1"/>
  <c r="Q12" i="1"/>
  <c r="Q10" i="1"/>
  <c r="Q8" i="1"/>
  <c r="N26" i="1"/>
  <c r="N22" i="1"/>
  <c r="N16" i="1"/>
  <c r="N12" i="1"/>
  <c r="N10" i="1"/>
  <c r="Q26" i="1"/>
  <c r="Q24" i="1"/>
  <c r="Q20" i="1"/>
  <c r="N27" i="1"/>
  <c r="N25" i="1"/>
  <c r="N23" i="1"/>
  <c r="N21" i="1"/>
  <c r="N19" i="1"/>
  <c r="N17" i="1"/>
  <c r="N15" i="1"/>
  <c r="N13" i="1"/>
  <c r="N11" i="1"/>
  <c r="N7" i="1"/>
  <c r="H28" i="1"/>
  <c r="U28" i="1" s="1"/>
  <c r="U32" i="1"/>
  <c r="U36" i="1"/>
  <c r="U40" i="1"/>
  <c r="U44" i="1"/>
  <c r="U29" i="1"/>
  <c r="U33" i="1"/>
  <c r="U37" i="1"/>
  <c r="U41" i="1"/>
  <c r="U30" i="1"/>
  <c r="U34" i="1"/>
  <c r="U38" i="1"/>
  <c r="U42" i="1"/>
  <c r="U31" i="1"/>
  <c r="U35" i="1"/>
  <c r="U39" i="1"/>
  <c r="U43" i="1"/>
  <c r="P41" i="1"/>
  <c r="P33" i="1"/>
  <c r="P44" i="1"/>
  <c r="P40" i="1"/>
  <c r="P36" i="1"/>
  <c r="P32" i="1"/>
  <c r="P43" i="1"/>
  <c r="P39" i="1"/>
  <c r="P35" i="1"/>
  <c r="P31" i="1"/>
  <c r="P37" i="1"/>
  <c r="P29" i="1"/>
  <c r="P42" i="1"/>
  <c r="P38" i="1"/>
  <c r="P34" i="1"/>
  <c r="P30" i="1"/>
  <c r="P45" i="1"/>
  <c r="U45" i="1"/>
  <c r="U46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27" i="1" l="1"/>
  <c r="L27" i="1" s="1"/>
  <c r="P24" i="1"/>
  <c r="L24" i="1" s="1"/>
  <c r="J7" i="1"/>
  <c r="P10" i="1"/>
  <c r="L10" i="1" s="1"/>
  <c r="P18" i="1"/>
  <c r="L18" i="1" s="1"/>
  <c r="P16" i="1"/>
  <c r="L16" i="1" s="1"/>
  <c r="P19" i="1"/>
  <c r="L19" i="1" s="1"/>
  <c r="J15" i="1"/>
  <c r="P15" i="1"/>
  <c r="L15" i="1" s="1"/>
  <c r="P21" i="1"/>
  <c r="L21" i="1" s="1"/>
  <c r="J21" i="1"/>
  <c r="P25" i="1"/>
  <c r="L25" i="1" s="1"/>
  <c r="J25" i="1"/>
  <c r="P23" i="1"/>
  <c r="L23" i="1" s="1"/>
  <c r="J23" i="1"/>
  <c r="J9" i="1"/>
  <c r="P9" i="1"/>
  <c r="L9" i="1" s="1"/>
  <c r="U13" i="1"/>
  <c r="U16" i="1"/>
  <c r="U17" i="1"/>
  <c r="U20" i="1"/>
  <c r="U21" i="1"/>
  <c r="U24" i="1"/>
  <c r="U25" i="1"/>
  <c r="U15" i="1"/>
  <c r="U18" i="1"/>
  <c r="U22" i="1"/>
  <c r="U27" i="1"/>
  <c r="U9" i="1"/>
  <c r="U14" i="1"/>
  <c r="U19" i="1"/>
  <c r="U23" i="1"/>
  <c r="U26" i="1"/>
  <c r="U8" i="1"/>
  <c r="U11" i="1"/>
  <c r="U12" i="1"/>
  <c r="P20" i="1"/>
  <c r="L20" i="1" s="1"/>
  <c r="P13" i="1"/>
  <c r="L13" i="1" s="1"/>
  <c r="J13" i="1"/>
  <c r="P12" i="1"/>
  <c r="L12" i="1" s="1"/>
  <c r="J17" i="1"/>
  <c r="P17" i="1"/>
  <c r="L17" i="1" s="1"/>
  <c r="U10" i="1"/>
  <c r="P28" i="1"/>
  <c r="I28" i="1"/>
  <c r="U7" i="1"/>
  <c r="M11" i="6"/>
  <c r="N28" i="1"/>
  <c r="U48" i="1"/>
  <c r="U4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28" i="1" l="1"/>
  <c r="R8" i="1"/>
  <c r="S8" i="1" s="1"/>
  <c r="R9" i="1"/>
  <c r="S9" i="1" s="1"/>
  <c r="R19" i="1"/>
  <c r="S19" i="1" s="1"/>
  <c r="R22" i="1"/>
  <c r="S22" i="1" s="1"/>
  <c r="R23" i="1"/>
  <c r="S23" i="1" s="1"/>
  <c r="R26" i="1"/>
  <c r="S26" i="1" s="1"/>
  <c r="R27" i="1"/>
  <c r="S27" i="1" s="1"/>
  <c r="R10" i="1"/>
  <c r="S10" i="1" s="1"/>
  <c r="R11" i="1"/>
  <c r="S11" i="1" s="1"/>
  <c r="R16" i="1"/>
  <c r="S16" i="1" s="1"/>
  <c r="R17" i="1"/>
  <c r="S17" i="1" s="1"/>
  <c r="R20" i="1"/>
  <c r="S20" i="1" s="1"/>
  <c r="R21" i="1"/>
  <c r="S21" i="1" s="1"/>
  <c r="R24" i="1"/>
  <c r="S24" i="1" s="1"/>
  <c r="R25" i="1"/>
  <c r="S25" i="1" s="1"/>
  <c r="R12" i="1"/>
  <c r="S12" i="1" s="1"/>
  <c r="R13" i="1"/>
  <c r="S13" i="1" s="1"/>
  <c r="R14" i="1"/>
  <c r="S14" i="1" s="1"/>
  <c r="R15" i="1"/>
  <c r="S15" i="1" s="1"/>
  <c r="R18" i="1"/>
  <c r="S18" i="1" s="1"/>
  <c r="R7" i="1"/>
  <c r="S7" i="1" s="1"/>
  <c r="R30" i="1"/>
  <c r="S30" i="1" s="1"/>
  <c r="R34" i="1"/>
  <c r="S34" i="1" s="1"/>
  <c r="R38" i="1"/>
  <c r="S38" i="1" s="1"/>
  <c r="R42" i="1"/>
  <c r="S42" i="1" s="1"/>
  <c r="R33" i="1"/>
  <c r="S33" i="1" s="1"/>
  <c r="R41" i="1"/>
  <c r="S41" i="1" s="1"/>
  <c r="R31" i="1"/>
  <c r="S31" i="1" s="1"/>
  <c r="R35" i="1"/>
  <c r="S35" i="1" s="1"/>
  <c r="R39" i="1"/>
  <c r="S39" i="1" s="1"/>
  <c r="R43" i="1"/>
  <c r="S43" i="1" s="1"/>
  <c r="R28" i="1"/>
  <c r="S28" i="1" s="1"/>
  <c r="R32" i="1"/>
  <c r="S32" i="1" s="1"/>
  <c r="R36" i="1"/>
  <c r="S36" i="1" s="1"/>
  <c r="R40" i="1"/>
  <c r="S40" i="1" s="1"/>
  <c r="R44" i="1"/>
  <c r="S44" i="1" s="1"/>
  <c r="R29" i="1"/>
  <c r="S29" i="1" s="1"/>
  <c r="R37" i="1"/>
  <c r="S37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<sst xmlns="http://schemas.openxmlformats.org/spreadsheetml/2006/main" count="266" uniqueCount="176">
  <si>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</si>
  <si>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</si>
  <si>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</si>
  <si>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</si>
  <si>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</si>
  <si>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</si>
  <si>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</si>
  <si>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</si>
  <si>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</si>
  <si>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</si>
  <si>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</si>
  <si>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</si>
  <si>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</si>
  <si>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</si>
  <si>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</si>
  <si>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</si>
  <si>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</si>
  <si>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</si>
  <si>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</si>
  <si>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</si>
  <si>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</si>
  <si>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</si>
  <si>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</si>
  <si>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</si>
  <si>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</si>
  <si>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</si>
  <si>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</si>
  <si>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</si>
  <si>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</si>
  <si>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</si>
  <si>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</si>
  <si>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</si>
  <si>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</si>
  <si>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</si>
  <si>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</si>
  <si>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</si>
  <si>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</si>
  <si>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</si>
  <si>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</si>
  <si>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</si>
  <si>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</si>
  <si>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</si>
  <si>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</si>
  <si>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</si>
  <si>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</si>
  <si>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</si>
  <si>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</si>
  <si>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</si>
  <si>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</si>
  <si>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</si>
  <si>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</si>
  <si>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</si>
  <si>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</si>
  <si>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</si>
  <si>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</si>
  <si>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</si>
  <si>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</si>
  <si>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</si>
  <si>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</si>
  <si>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</si>
  <si>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</si>
  <si>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</si>
  <si>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</si>
  <si>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</si>
  <si>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</si>
  <si>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</si>
  <si>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</si>
  <si>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</si>
  <si>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</si>
  <si>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</si>
  <si>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</si>
  <si>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</si>
  <si>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</si>
  <si>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</si>
  <si>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</si>
  <si>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</si>
  <si>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</si>
  <si>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</si>
  <si>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</si>
  <si>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</si>
  <si>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</si>
  <si>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</si>
  <si>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</si>
  <si>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</si>
  <si>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</si>
  <si>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</si>
  <si>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</si>
  <si>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</si>
  <si>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</si>
  <si>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</si>
  <si>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</si>
  <si>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</si>
  <si>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</si>
  <si>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</si>
  <si>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</si>
  <si>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</si>
  <si>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</si>
  <si>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</si>
  <si>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</si>
  <si>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</si>
  <si>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</si>
  <si>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</si>
  <si>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</si>
  <si>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</si>
  <si>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</si>
  <si>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</si>
  <si>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</si>
  <si>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</si>
  <si>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</si>
  <si>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</si>
  <si>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</si>
  <si>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</si>
  <si>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</si>
  <si>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</si>
  <si>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</si>
  <si>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</si>
  <si>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</si>
  <si>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</si>
  <si>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</si>
  <si>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</si>
  <si>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</si>
  <si>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</si>
  <si>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</si>
  <si>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</si>
  <si>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</si>
  <si>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</si>
  <si>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</si>
  <si>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</si>
  <si>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</si>
  <si>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</si>
  <si>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</si>
  <si>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</si>
  <si>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</si>
  <si>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</si>
  <si>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</si>
  <si>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</si>
  <si>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</si>
  <si>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</si>
  <si>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</si>
  <si>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</si>
  <si>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</si>
  <si>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</si>
  <si>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</si>
  <si>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</si>
  <si>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</si>
  <si>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</si>
  <si>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SANCHEZ BETANCOURT FRANSCISCO</t>
  </si>
  <si>
    <t>PALMAR PANA EDIXON JOSUE</t>
  </si>
  <si>
    <t>ALBERTO ARISTIZABAL RAFAEL</t>
  </si>
  <si>
    <t>MURILLO  YORMAN ANDRES</t>
  </si>
  <si>
    <t>DAVID  HENRY GIOVANNY</t>
  </si>
  <si>
    <t>GONZALEZ PEREZ RAFAEL JOSE</t>
  </si>
  <si>
    <t>JIMENEZ HERNANDEZ ESTEBAN CAMILO</t>
  </si>
  <si>
    <t>CIRO MARIN RODRIGO ALBERTO</t>
  </si>
  <si>
    <t>AGUDELO GARCIA DENIN ANGELO</t>
  </si>
  <si>
    <t>PEREZ GARCIA JUAN ESTEBAN</t>
  </si>
  <si>
    <t>LOPEZ PINEDA DANIEL ESTIVEN</t>
  </si>
  <si>
    <t>GONZALEZ IPUANA RENE</t>
  </si>
  <si>
    <t>AGUDELO GARCIA LLORDIN ELIAS</t>
  </si>
  <si>
    <t>OSORIO URREGO SANTIAGO</t>
  </si>
  <si>
    <t>FRANCO CARVAJAL GERARDO ANTONIO</t>
  </si>
  <si>
    <t>TSJ935</t>
  </si>
  <si>
    <t>TSJ338</t>
  </si>
  <si>
    <t>OCAMPO OCAMPO ANTONIO JOSE</t>
  </si>
  <si>
    <t>DURANGO DAVID JOSE</t>
  </si>
  <si>
    <t>FLORES RINCON JORGE ALBERTO</t>
  </si>
  <si>
    <t>MARTINEZ CHAVERRA LUIS NORBERTO</t>
  </si>
  <si>
    <t>GUTIERREZ ARICAPA DANIEL HUMBERTO</t>
  </si>
  <si>
    <t xml:space="preserve">LAYOS JIMENEZ JOHAN CAMILO </t>
  </si>
  <si>
    <t>88XM</t>
  </si>
  <si>
    <t xml:space="preserve">2 Descuentos (Usuarios desubicados) </t>
  </si>
  <si>
    <t xml:space="preserve">2 Descuentos (Conducts) </t>
  </si>
  <si>
    <t xml:space="preserve">2 Descuentos (Despachador y usuario desubicado) </t>
  </si>
  <si>
    <t xml:space="preserve">3 Descuentos (Despachador y usuarios desubicados)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</si>
  <si>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19.5 USUARIOS</t>
    </r>
  </si>
  <si>
    <t xml:space="preserve">Se descuenta 0.5 viaje de 9 10 am ya que NO va a la minorista luego de ingresar al recaudo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</si>
</sst>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Import!$C$7:$C$28</c:f>
              <c:numCache>
                <c:formatCode>0</c:formatCode>
                <c:ptCount val="21"/>
                <c:pt idx="0">
                  <c:v>4</c:v>
                </c:pt>
                <c:pt idx="1">
                  <c:v>6</c:v>
                </c:pt>
                <c:pt idx="2" formatCode="General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18</c:v>
                </c:pt>
                <c:pt idx="6">
                  <c:v>20</c:v>
                </c:pt>
                <c:pt idx="7">
                  <c:v>21</c:v>
                </c:pt>
                <c:pt idx="8" formatCode="General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 formatCode="General">
                  <c:v>33</c:v>
                </c:pt>
                <c:pt idx="15">
                  <c:v>36</c:v>
                </c:pt>
                <c:pt idx="16">
                  <c:v>37</c:v>
                </c:pt>
                <c:pt idx="17">
                  <c:v>38</c:v>
                </c:pt>
                <c:pt idx="18">
                  <c:v>39</c:v>
                </c:pt>
                <c:pt idx="19">
                  <c:v>40</c:v>
                </c:pt>
                <c:pt idx="20">
                  <c:v>42</c:v>
                </c:pt>
              </c:numCache>
            </c:numRef>
          </c:cat>
          <c:val>
            <c:numRef>
              <c:f>Import!$H$7:$H$28</c:f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28" totalsRowCount="1" headerRowDxfId="62" dataDxfId="61" totalsRowDxfId="60">
  <sortState xmlns:xlrd2="http://schemas.microsoft.com/office/spreadsheetml/2017/richdata2" ref="B7:N27">
    <sortCondition ref="C26:C27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9.5 USUARIOS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+(SUMIFS(G:G,M:M,"MICRO",E:E,"&gt;0")*100)/COUNTIF($E$7:$E$27,"&gt;0")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8"/>
  <sheetViews>
    <sheetView showGridLines="0" tabSelected="1" showWhiteSpace="0" zoomScaleNormal="100" workbookViewId="0">
      <selection activeCell="B28" sqref="B28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customWidth="1"/>
    <col min="11" max="11" width="50.25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+SUM(G6:G1839)/2</f>
        <v>3845</v>
      </c>
      <c r="R3" s="55">
        <f>+SUM(E6:E1839)/2</f>
        <v>196.5</v>
      </c>
      <c r="S3" s="55">
        <f>+Q3-R3</f>
        <v>3648.5</v>
      </c>
      <c r="T3" s="56">
        <f>+S3/R3</f>
        <v>18.567430025445294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45984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169</v>
      </c>
      <c r="C7" s="166">
        <v>4</v>
      </c>
      <c r="D7" s="151" t="s">
        <v>146</v>
      </c>
      <c r="E7" s="150">
        <v>9</v>
      </c>
      <c r="F7" s="150">
        <v>0</v>
      </c>
      <c r="G7" s="165">
        <v>151</v>
      </c>
      <c r="H7" s="226">
        <f>+G7/E7</f>
        <v>16.777777777777779</v>
      </c>
      <c r="I7" s="227">
        <f>+(SUM($G$7:$G$1048576)/SUM($E$7:$E$1048576))*E7</f>
        <v>176.10687022900765</v>
      </c>
      <c r="J7" s="363">
        <f>+Tabla2[[#This Row],[PROM DE USUARIOS]]-Tabla2[[#This Row],[USUARIOS]]</f>
        <v>25.106870229007654</v>
      </c>
      <c r="K7" s="151"/>
      <c r="L7" s="163">
        <f>P7*585</f>
        <v>97757.519083969484</v>
      </c>
      <c r="M7" s="162" t="str">
        <f>+VLOOKUP(C7,Lista!B:D,3,0)</f>
        <v>MICRO</v>
      </c>
      <c r="N7" s="365">
        <f>+(SUMIFS(G:G,M:M,"MICRO",E:E,"&gt;0")*100)/COUNTIF($E$7:$E$27,"&gt;0")</f>
        <v>12952.380952380952</v>
      </c>
      <c r="O7" s="50">
        <f t="shared" ref="O7:O9" si="0">+(E7*1)-V7</f>
        <v>9</v>
      </c>
      <c r="P7" s="47">
        <f t="shared" ref="P7:P9" si="1">+I7-O7-W7</f>
        <v>167.10687022900765</v>
      </c>
      <c r="Q7" s="49">
        <f t="shared" ref="Q7:Q9" si="2">+G7-O7</f>
        <v>142</v>
      </c>
      <c r="R7" s="51">
        <f t="shared" ref="R7:R9" si="3">+E7*$T$3</f>
        <v>167.10687022900765</v>
      </c>
      <c r="S7" s="46">
        <f t="shared" ref="S7:S27" si="4">+R7*550</f>
        <v>91908.778625954204</v>
      </c>
      <c r="T7" t="str">
        <f t="shared" ref="T7:T9" si="5">+IF(K7&lt;&gt;"",K7,"")</f>
        <v/>
      </c>
      <c r="U7">
        <f>+RANK(H7,$H$6:$H$1048576,1)</f>
        <v>4</v>
      </c>
      <c r="V7"/>
      <c r="W7"/>
      <c r="Y7" t="str">
        <f>TRIM(Tabla2[[#This Row],[CONDUCTOR]])</f>
        <v>SANCHEZ BETANCOURT FRANSCISCO</v>
      </c>
    </row>
    <row r="8" spans="1:32" x14ac:dyDescent="0.2">
      <c r="B8" s="136" t="s">
        <v>169</v>
      </c>
      <c r="C8" s="166">
        <v>6</v>
      </c>
      <c r="D8" s="151" t="s">
        <v>156</v>
      </c>
      <c r="E8" s="150">
        <v>9</v>
      </c>
      <c r="F8" s="150">
        <v>0</v>
      </c>
      <c r="G8" s="146">
        <v>142</v>
      </c>
      <c r="H8" s="226">
        <f t="shared" ref="H8:H27" si="6">+G8/E8</f>
        <v>15.777777777777779</v>
      </c>
      <c r="I8" s="227">
        <f t="shared" ref="I8:I27" si="7">+(SUM($G$7:$G$1048576)/SUM($E$7:$E$1048576))*E8</f>
        <v>176.10687022900765</v>
      </c>
      <c r="J8" s="363">
        <f>+Tabla2[[#This Row],[PROM DE USUARIOS]]-Tabla2[[#This Row],[USUARIOS]]</f>
        <v>34.106870229007654</v>
      </c>
      <c r="K8" s="151"/>
      <c r="L8" s="163">
        <f t="shared" ref="L8:L27" si="8">P8*585</f>
        <v>97757.519083969484</v>
      </c>
      <c r="M8" s="162" t="str">
        <f>+VLOOKUP(C8,Lista!B:D,3,0)</f>
        <v>MICRO</v>
      </c>
      <c r="N8" s="365">
        <f t="shared" ref="N8:N27" si="9">+(SUMIFS(G:G,M:M,"MICRO",E:E,"&gt;0")*100)/COUNTIF($E$7:$E$27,"&gt;0")</f>
        <v>12952.380952380952</v>
      </c>
      <c r="O8" s="50">
        <f t="shared" ref="O8:O27" si="10">+(E8*1)-V8</f>
        <v>9</v>
      </c>
      <c r="P8" s="47">
        <f t="shared" ref="P8:P27" si="11">+I8-O8-W8</f>
        <v>167.10687022900765</v>
      </c>
      <c r="Q8" s="49">
        <f t="shared" ref="Q8:Q27" si="12">+G8-O8</f>
        <v>133</v>
      </c>
      <c r="R8" s="51">
        <f t="shared" ref="R8:R27" si="13">+E8*$T$3</f>
        <v>167.10687022900765</v>
      </c>
      <c r="S8" s="46">
        <f t="shared" ref="S8:S27" si="14">+R8*550</f>
        <v>91908.778625954204</v>
      </c>
      <c r="T8" t="str">
        <f t="shared" ref="T8:T27" si="15">+IF(K8&lt;&gt;"",K8,"")</f>
        <v/>
      </c>
      <c r="U8">
        <f t="shared" ref="U8:U27" si="16">+RANK(H8,$H$6:$H$1048576,1)</f>
        <v>1</v>
      </c>
      <c r="Y8" t="str">
        <f>TRIM(Tabla2[[#This Row],[CONDUCTOR]])</f>
        <v>LOPEZ PINEDA DANIEL ESTIVEN</v>
      </c>
    </row>
    <row r="9" spans="1:32" x14ac:dyDescent="0.2">
      <c r="B9" s="136" t="s">
        <v>169</v>
      </c>
      <c r="C9" s="137">
        <v>8</v>
      </c>
      <c r="D9" s="151" t="s">
        <v>151</v>
      </c>
      <c r="E9" s="150">
        <v>10</v>
      </c>
      <c r="F9" s="150">
        <v>0</v>
      </c>
      <c r="G9" s="165">
        <v>238</v>
      </c>
      <c r="H9" s="226">
        <f t="shared" si="6"/>
        <v>23.8</v>
      </c>
      <c r="I9" s="227">
        <f t="shared" si="7"/>
        <v>195.67430025445293</v>
      </c>
      <c r="J9" s="363">
        <f>+Tabla2[[#This Row],[PROM DE USUARIOS]]-Tabla2[[#This Row],[USUARIOS]]</f>
        <v>-42.32569974554707</v>
      </c>
      <c r="K9" s="151"/>
      <c r="L9" s="163">
        <f t="shared" si="8"/>
        <v>108619.46564885497</v>
      </c>
      <c r="M9" s="162">
        <f>+VLOOKUP(C9,Lista!B:D,3,0)</f>
        <v>0</v>
      </c>
      <c r="N9" s="365">
        <f t="shared" si="9"/>
        <v>12952.380952380952</v>
      </c>
      <c r="O9" s="50">
        <f t="shared" si="10"/>
        <v>10</v>
      </c>
      <c r="P9" s="47">
        <f t="shared" si="11"/>
        <v>185.67430025445293</v>
      </c>
      <c r="Q9" s="49">
        <f t="shared" si="12"/>
        <v>228</v>
      </c>
      <c r="R9" s="51">
        <f t="shared" si="13"/>
        <v>185.67430025445293</v>
      </c>
      <c r="S9" s="46">
        <f t="shared" si="14"/>
        <v>102120.86513994911</v>
      </c>
      <c r="T9" t="str">
        <f t="shared" si="15"/>
        <v/>
      </c>
      <c r="U9">
        <f t="shared" si="16"/>
        <v>21</v>
      </c>
      <c r="Y9" t="str">
        <f>TRIM(Tabla2[[#This Row],[CONDUCTOR]])</f>
        <v>GONZALEZ PEREZ RAFAEL JOSE</v>
      </c>
    </row>
    <row r="10" spans="1:32" x14ac:dyDescent="0.2">
      <c r="B10" s="136" t="s">
        <v>169</v>
      </c>
      <c r="C10" s="166">
        <v>12</v>
      </c>
      <c r="D10" s="151" t="s">
        <v>150</v>
      </c>
      <c r="E10" s="150">
        <v>9</v>
      </c>
      <c r="F10" s="150">
        <v>0</v>
      </c>
      <c r="G10" s="165">
        <v>221</v>
      </c>
      <c r="H10" s="226">
        <f t="shared" si="6"/>
        <v>24.555555555555557</v>
      </c>
      <c r="I10" s="227">
        <f t="shared" si="7"/>
        <v>176.10687022900765</v>
      </c>
      <c r="J10" s="363">
        <f>+Tabla2[[#This Row],[PROM DE USUARIOS]]-Tabla2[[#This Row],[USUARIOS]]</f>
        <v>-44.893129770992346</v>
      </c>
      <c r="K10" s="151" t="s">
        <v>129</v>
      </c>
      <c r="L10" s="163">
        <f t="shared" si="8"/>
        <v>97757.519083969484</v>
      </c>
      <c r="M10" s="162">
        <f>+VLOOKUP(C10,Lista!B:D,3,0)</f>
        <v>0</v>
      </c>
      <c r="N10" s="365">
        <f t="shared" si="9"/>
        <v>12952.380952380952</v>
      </c>
      <c r="O10" s="50">
        <f t="shared" si="10"/>
        <v>9</v>
      </c>
      <c r="P10" s="47">
        <f t="shared" si="11"/>
        <v>167.10687022900765</v>
      </c>
      <c r="Q10" s="49">
        <f t="shared" si="12"/>
        <v>212</v>
      </c>
      <c r="R10" s="51">
        <f t="shared" si="13"/>
        <v>167.10687022900765</v>
      </c>
      <c r="S10" s="46">
        <f t="shared" si="14"/>
        <v>91908.778625954204</v>
      </c>
      <c r="T10" t="str">
        <f t="shared" si="15"/>
        <v xml:space="preserve">1 Descuento (Conduct) </v>
      </c>
      <c r="U10">
        <f t="shared" si="16"/>
        <v>22</v>
      </c>
      <c r="Y10" t="str">
        <f>TRIM(Tabla2[[#This Row],[CONDUCTOR]])</f>
        <v>DAVID HENRY GIOVANNY</v>
      </c>
    </row>
    <row r="11" spans="1:32" x14ac:dyDescent="0.2">
      <c r="B11" s="136" t="s">
        <v>169</v>
      </c>
      <c r="C11" s="166">
        <v>16</v>
      </c>
      <c r="D11" s="151" t="s">
        <v>155</v>
      </c>
      <c r="E11" s="150">
        <v>11</v>
      </c>
      <c r="F11" s="150">
        <v>0</v>
      </c>
      <c r="G11" s="165">
        <v>199</v>
      </c>
      <c r="H11" s="226">
        <f t="shared" si="6"/>
        <v>18.09090909090909</v>
      </c>
      <c r="I11" s="227">
        <f t="shared" si="7"/>
        <v>215.24173027989823</v>
      </c>
      <c r="J11" s="363">
        <f>+Tabla2[[#This Row],[PROM DE USUARIOS]]-Tabla2[[#This Row],[USUARIOS]]</f>
        <v>16.241730279898235</v>
      </c>
      <c r="K11" s="151" t="s">
        <v>170</v>
      </c>
      <c r="L11" s="163">
        <f t="shared" si="8"/>
        <v>119481.41221374046</v>
      </c>
      <c r="M11" s="162" t="str">
        <f>+VLOOKUP(C11,Lista!B:D,3,0)</f>
        <v>MICRO</v>
      </c>
      <c r="N11" s="365">
        <f t="shared" si="9"/>
        <v>12952.380952380952</v>
      </c>
      <c r="O11" s="50">
        <f t="shared" si="10"/>
        <v>11</v>
      </c>
      <c r="P11" s="47">
        <f t="shared" si="11"/>
        <v>204.24173027989823</v>
      </c>
      <c r="Q11" s="49">
        <f t="shared" si="12"/>
        <v>188</v>
      </c>
      <c r="R11" s="51">
        <f t="shared" si="13"/>
        <v>204.24173027989823</v>
      </c>
      <c r="S11" s="46">
        <f t="shared" si="14"/>
        <v>112332.95165394402</v>
      </c>
      <c r="T11" t="str">
        <f t="shared" si="15"/>
        <v xml:space="preserve">2 Descuentos (Usuarios desubicados) </v>
      </c>
      <c r="U11">
        <f t="shared" si="16"/>
        <v>6</v>
      </c>
      <c r="Y11" t="str">
        <f>TRIM(Tabla2[[#This Row],[CONDUCTOR]])</f>
        <v>PEREZ GARCIA JUAN ESTEBAN</v>
      </c>
    </row>
    <row r="12" spans="1:32" x14ac:dyDescent="0.2">
      <c r="B12" s="136" t="s">
        <v>169</v>
      </c>
      <c r="C12" s="166">
        <v>18</v>
      </c>
      <c r="D12" s="151" t="s">
        <v>148</v>
      </c>
      <c r="E12" s="150">
        <v>9</v>
      </c>
      <c r="F12" s="150">
        <v>0</v>
      </c>
      <c r="G12" s="165">
        <v>186</v>
      </c>
      <c r="H12" s="226">
        <f t="shared" si="6"/>
        <v>20.666666666666668</v>
      </c>
      <c r="I12" s="227">
        <f t="shared" si="7"/>
        <v>176.10687022900765</v>
      </c>
      <c r="J12" s="363">
        <f>+Tabla2[[#This Row],[PROM DE USUARIOS]]-Tabla2[[#This Row],[USUARIOS]]</f>
        <v>-9.8931297709923456</v>
      </c>
      <c r="K12" s="151"/>
      <c r="L12" s="163">
        <f t="shared" si="8"/>
        <v>97757.519083969484</v>
      </c>
      <c r="M12" s="162" t="str">
        <f>+VLOOKUP(C12,Lista!B:D,3,0)</f>
        <v>MICRO</v>
      </c>
      <c r="N12" s="365">
        <f t="shared" si="9"/>
        <v>12952.380952380952</v>
      </c>
      <c r="O12" s="50">
        <f t="shared" si="10"/>
        <v>9</v>
      </c>
      <c r="P12" s="47">
        <f t="shared" si="11"/>
        <v>167.10687022900765</v>
      </c>
      <c r="Q12" s="49">
        <f t="shared" si="12"/>
        <v>177</v>
      </c>
      <c r="R12" s="51">
        <f t="shared" si="13"/>
        <v>167.10687022900765</v>
      </c>
      <c r="S12" s="46">
        <f t="shared" si="14"/>
        <v>91908.778625954204</v>
      </c>
      <c r="T12" t="str">
        <f t="shared" si="15"/>
        <v/>
      </c>
      <c r="U12">
        <f t="shared" si="16"/>
        <v>17</v>
      </c>
      <c r="Y12" t="str">
        <f>TRIM(Tabla2[[#This Row],[CONDUCTOR]])</f>
        <v>ALBERTO ARISTIZABAL RAFAEL</v>
      </c>
    </row>
    <row r="13" spans="1:32" x14ac:dyDescent="0.2">
      <c r="B13" s="136" t="s">
        <v>169</v>
      </c>
      <c r="C13" s="166">
        <v>20</v>
      </c>
      <c r="D13" s="151" t="s">
        <v>149</v>
      </c>
      <c r="E13" s="150">
        <v>9</v>
      </c>
      <c r="F13" s="150">
        <v>0</v>
      </c>
      <c r="G13" s="165">
        <v>148</v>
      </c>
      <c r="H13" s="226">
        <f t="shared" si="6"/>
        <v>16.444444444444443</v>
      </c>
      <c r="I13" s="227">
        <f t="shared" si="7"/>
        <v>176.10687022900765</v>
      </c>
      <c r="J13" s="363">
        <f>+Tabla2[[#This Row],[PROM DE USUARIOS]]-Tabla2[[#This Row],[USUARIOS]]</f>
        <v>28.106870229007654</v>
      </c>
      <c r="K13" s="151"/>
      <c r="L13" s="163">
        <f t="shared" si="8"/>
        <v>97757.519083969484</v>
      </c>
      <c r="M13" s="162" t="str">
        <f>+VLOOKUP(C13,Lista!B:D,3,0)</f>
        <v>MICRO</v>
      </c>
      <c r="N13" s="365">
        <f t="shared" si="9"/>
        <v>12952.380952380952</v>
      </c>
      <c r="O13" s="50">
        <f t="shared" si="10"/>
        <v>9</v>
      </c>
      <c r="P13" s="47">
        <f t="shared" si="11"/>
        <v>167.10687022900765</v>
      </c>
      <c r="Q13" s="49">
        <f t="shared" si="12"/>
        <v>139</v>
      </c>
      <c r="R13" s="51">
        <f t="shared" si="13"/>
        <v>167.10687022900765</v>
      </c>
      <c r="S13" s="46">
        <f t="shared" si="14"/>
        <v>91908.778625954204</v>
      </c>
      <c r="T13" t="str">
        <f t="shared" si="15"/>
        <v/>
      </c>
      <c r="U13">
        <f t="shared" si="16"/>
        <v>3</v>
      </c>
      <c r="Y13" t="str">
        <f>TRIM(Tabla2[[#This Row],[CONDUCTOR]])</f>
        <v>MURILLO YORMAN ANDRES</v>
      </c>
    </row>
    <row r="14" spans="1:32" x14ac:dyDescent="0.2">
      <c r="B14" s="136" t="s">
        <v>169</v>
      </c>
      <c r="C14" s="166">
        <v>21</v>
      </c>
      <c r="D14" s="151" t="s">
        <v>164</v>
      </c>
      <c r="E14" s="150">
        <v>6</v>
      </c>
      <c r="F14" s="150">
        <v>0</v>
      </c>
      <c r="G14" s="165">
        <v>121</v>
      </c>
      <c r="H14" s="226">
        <f t="shared" si="6"/>
        <v>20.166666666666668</v>
      </c>
      <c r="I14" s="227">
        <f t="shared" si="7"/>
        <v>117.40458015267177</v>
      </c>
      <c r="J14" s="363">
        <f>+Tabla2[[#This Row],[PROM DE USUARIOS]]-Tabla2[[#This Row],[USUARIOS]]</f>
        <v>-3.5954198473282304</v>
      </c>
      <c r="K14" s="151" t="s">
        <v>171</v>
      </c>
      <c r="L14" s="163">
        <f t="shared" si="8"/>
        <v>65171.679389312987</v>
      </c>
      <c r="M14" s="162" t="str">
        <f>+VLOOKUP(C14,Lista!B:D,3,0)</f>
        <v>MICRO</v>
      </c>
      <c r="N14" s="365">
        <f t="shared" si="9"/>
        <v>12952.380952380952</v>
      </c>
      <c r="O14" s="50">
        <f t="shared" si="10"/>
        <v>6</v>
      </c>
      <c r="P14" s="47">
        <f t="shared" si="11"/>
        <v>111.40458015267177</v>
      </c>
      <c r="Q14" s="49">
        <f t="shared" si="12"/>
        <v>115</v>
      </c>
      <c r="R14" s="51">
        <f t="shared" si="13"/>
        <v>111.40458015267177</v>
      </c>
      <c r="S14" s="46">
        <f t="shared" si="14"/>
        <v>61272.51908396947</v>
      </c>
      <c r="T14" t="str">
        <f t="shared" si="15"/>
        <v xml:space="preserve">2 Descuentos (Conducts) </v>
      </c>
      <c r="U14">
        <f t="shared" si="16"/>
        <v>15</v>
      </c>
      <c r="Y14" t="str">
        <f>TRIM(Tabla2[[#This Row],[CONDUCTOR]])</f>
        <v>DURANGO DAVID JOSE</v>
      </c>
    </row>
    <row r="15" spans="1:32" x14ac:dyDescent="0.2">
      <c r="B15" s="136" t="s">
        <v>169</v>
      </c>
      <c r="C15" s="137">
        <v>26</v>
      </c>
      <c r="D15" s="151" t="s">
        <v>153</v>
      </c>
      <c r="E15" s="150">
        <v>9</v>
      </c>
      <c r="F15" s="150">
        <v>0</v>
      </c>
      <c r="G15" s="146">
        <v>143</v>
      </c>
      <c r="H15" s="226">
        <f t="shared" si="6"/>
        <v>15.888888888888889</v>
      </c>
      <c r="I15" s="227">
        <f t="shared" si="7"/>
        <v>176.10687022900765</v>
      </c>
      <c r="J15" s="363">
        <f>+Tabla2[[#This Row],[PROM DE USUARIOS]]-Tabla2[[#This Row],[USUARIOS]]</f>
        <v>33.106870229007654</v>
      </c>
      <c r="K15" s="151" t="s">
        <v>170</v>
      </c>
      <c r="L15" s="163">
        <f t="shared" si="8"/>
        <v>97757.519083969484</v>
      </c>
      <c r="M15" s="162" t="str">
        <f>+VLOOKUP(C15,Lista!B:D,3,0)</f>
        <v>MICRO</v>
      </c>
      <c r="N15" s="365">
        <f t="shared" si="9"/>
        <v>12952.380952380952</v>
      </c>
      <c r="O15" s="50">
        <f t="shared" si="10"/>
        <v>9</v>
      </c>
      <c r="P15" s="47">
        <f t="shared" si="11"/>
        <v>167.10687022900765</v>
      </c>
      <c r="Q15" s="49">
        <f t="shared" si="12"/>
        <v>134</v>
      </c>
      <c r="R15" s="51">
        <f t="shared" si="13"/>
        <v>167.10687022900765</v>
      </c>
      <c r="S15" s="46">
        <f t="shared" si="14"/>
        <v>91908.778625954204</v>
      </c>
      <c r="T15" t="str">
        <f t="shared" si="15"/>
        <v xml:space="preserve">2 Descuentos (Usuarios desubicados) </v>
      </c>
      <c r="U15">
        <f t="shared" si="16"/>
        <v>2</v>
      </c>
      <c r="Y15" t="str">
        <f>TRIM(Tabla2[[#This Row],[CONDUCTOR]])</f>
        <v>CIRO MARIN RODRIGO ALBERTO</v>
      </c>
    </row>
    <row r="16" spans="1:32" x14ac:dyDescent="0.2">
      <c r="B16" s="136" t="s">
        <v>169</v>
      </c>
      <c r="C16" s="166">
        <v>27</v>
      </c>
      <c r="D16" s="151" t="s">
        <v>165</v>
      </c>
      <c r="E16" s="150">
        <v>11</v>
      </c>
      <c r="F16" s="150">
        <v>0</v>
      </c>
      <c r="G16" s="165">
        <v>196</v>
      </c>
      <c r="H16" s="226">
        <f t="shared" si="6"/>
        <v>17.818181818181817</v>
      </c>
      <c r="I16" s="227">
        <f t="shared" si="7"/>
        <v>215.24173027989823</v>
      </c>
      <c r="J16" s="363">
        <f>+Tabla2[[#This Row],[PROM DE USUARIOS]]-Tabla2[[#This Row],[USUARIOS]]</f>
        <v>19.241730279898235</v>
      </c>
      <c r="K16" s="151"/>
      <c r="L16" s="163">
        <f t="shared" si="8"/>
        <v>119481.41221374046</v>
      </c>
      <c r="M16" s="162">
        <f>+VLOOKUP(C16,Lista!B:D,3,0)</f>
        <v>0</v>
      </c>
      <c r="N16" s="365">
        <f t="shared" si="9"/>
        <v>12952.380952380952</v>
      </c>
      <c r="O16" s="50">
        <f t="shared" si="10"/>
        <v>11</v>
      </c>
      <c r="P16" s="47">
        <f t="shared" si="11"/>
        <v>204.24173027989823</v>
      </c>
      <c r="Q16" s="49">
        <f t="shared" si="12"/>
        <v>185</v>
      </c>
      <c r="R16" s="51">
        <f t="shared" si="13"/>
        <v>204.24173027989823</v>
      </c>
      <c r="S16" s="46">
        <f t="shared" si="14"/>
        <v>112332.95165394402</v>
      </c>
      <c r="T16" t="str">
        <f t="shared" si="15"/>
        <v/>
      </c>
      <c r="U16">
        <f t="shared" si="16"/>
        <v>5</v>
      </c>
      <c r="Y16" t="str">
        <f>TRIM(Tabla2[[#This Row],[CONDUCTOR]])</f>
        <v>FLORES RINCON JORGE ALBERTO</v>
      </c>
    </row>
    <row r="17" spans="2:25" x14ac:dyDescent="0.2">
      <c r="B17" s="136" t="s">
        <v>169</v>
      </c>
      <c r="C17" s="166">
        <v>28</v>
      </c>
      <c r="D17" s="151" t="s">
        <v>159</v>
      </c>
      <c r="E17" s="150">
        <v>10</v>
      </c>
      <c r="F17" s="150">
        <v>0</v>
      </c>
      <c r="G17" s="165">
        <v>226</v>
      </c>
      <c r="H17" s="226">
        <f t="shared" si="6"/>
        <v>22.6</v>
      </c>
      <c r="I17" s="227">
        <f t="shared" si="7"/>
        <v>195.67430025445293</v>
      </c>
      <c r="J17" s="363">
        <f>+Tabla2[[#This Row],[PROM DE USUARIOS]]-Tabla2[[#This Row],[USUARIOS]]</f>
        <v>-30.32569974554707</v>
      </c>
      <c r="K17" s="151" t="s">
        <v>170</v>
      </c>
      <c r="L17" s="163">
        <f t="shared" si="8"/>
        <v>108619.46564885497</v>
      </c>
      <c r="M17" s="162" t="str">
        <f>+VLOOKUP(C17,Lista!B:D,3,0)</f>
        <v>MICRO</v>
      </c>
      <c r="N17" s="365">
        <f t="shared" si="9"/>
        <v>12952.380952380952</v>
      </c>
      <c r="O17" s="50">
        <f t="shared" si="10"/>
        <v>10</v>
      </c>
      <c r="P17" s="47">
        <f t="shared" si="11"/>
        <v>185.67430025445293</v>
      </c>
      <c r="Q17" s="49">
        <f t="shared" si="12"/>
        <v>216</v>
      </c>
      <c r="R17" s="51">
        <f t="shared" si="13"/>
        <v>185.67430025445293</v>
      </c>
      <c r="S17" s="46">
        <f t="shared" si="14"/>
        <v>102120.86513994911</v>
      </c>
      <c r="T17" t="str">
        <f t="shared" si="15"/>
        <v xml:space="preserve">2 Descuentos (Usuarios desubicados) </v>
      </c>
      <c r="U17">
        <f t="shared" si="16"/>
        <v>20</v>
      </c>
      <c r="Y17" t="str">
        <f>TRIM(Tabla2[[#This Row],[CONDUCTOR]])</f>
        <v>OSORIO URREGO SANTIAGO</v>
      </c>
    </row>
    <row r="18" spans="2:25" x14ac:dyDescent="0.2">
      <c r="B18" s="136" t="s">
        <v>169</v>
      </c>
      <c r="C18" s="166">
        <v>30</v>
      </c>
      <c r="D18" s="151" t="s">
        <v>158</v>
      </c>
      <c r="E18" s="150">
        <v>3.5</v>
      </c>
      <c r="F18" s="150">
        <v>0.5</v>
      </c>
      <c r="G18" s="146">
        <v>67</v>
      </c>
      <c r="H18" s="226">
        <f t="shared" si="6"/>
        <v>19.142857142857142</v>
      </c>
      <c r="I18" s="227">
        <f t="shared" si="7"/>
        <v>68.486005089058523</v>
      </c>
      <c r="J18" s="363">
        <f>+Tabla2[[#This Row],[PROM DE USUARIOS]]-Tabla2[[#This Row],[USUARIOS]]</f>
        <v>1.4860050890585228</v>
      </c>
      <c r="K18" s="151"/>
      <c r="L18" s="163">
        <f t="shared" si="8"/>
        <v>38016.812977099238</v>
      </c>
      <c r="M18" s="162">
        <f>+VLOOKUP(C18,Lista!B:D,3,0)</f>
        <v>0</v>
      </c>
      <c r="N18" s="365">
        <f t="shared" si="9"/>
        <v>12952.380952380952</v>
      </c>
      <c r="O18" s="50">
        <f t="shared" si="10"/>
        <v>3.5</v>
      </c>
      <c r="P18" s="47">
        <f t="shared" si="11"/>
        <v>64.986005089058523</v>
      </c>
      <c r="Q18" s="49">
        <f t="shared" si="12"/>
        <v>63.5</v>
      </c>
      <c r="R18" s="51">
        <f t="shared" si="13"/>
        <v>64.986005089058523</v>
      </c>
      <c r="S18" s="46">
        <f t="shared" si="14"/>
        <v>35742.302798982186</v>
      </c>
      <c r="T18" t="str">
        <f t="shared" si="15"/>
        <v/>
      </c>
      <c r="U18">
        <f t="shared" si="16"/>
        <v>10</v>
      </c>
      <c r="Y18" t="str">
        <f>TRIM(Tabla2[[#This Row],[CONDUCTOR]])</f>
        <v>AGUDELO GARCIA LLORDIN ELIAS</v>
      </c>
    </row>
    <row r="19" spans="2:25" x14ac:dyDescent="0.2">
      <c r="B19" s="136" t="s">
        <v>169</v>
      </c>
      <c r="C19" s="166">
        <v>31</v>
      </c>
      <c r="D19" s="151" t="s">
        <v>160</v>
      </c>
      <c r="E19" s="150">
        <v>11</v>
      </c>
      <c r="F19" s="150">
        <v>0</v>
      </c>
      <c r="G19" s="165">
        <v>220</v>
      </c>
      <c r="H19" s="226">
        <f t="shared" si="6"/>
        <v>20</v>
      </c>
      <c r="I19" s="227">
        <f t="shared" si="7"/>
        <v>215.24173027989823</v>
      </c>
      <c r="J19" s="363">
        <f>+Tabla2[[#This Row],[PROM DE USUARIOS]]-Tabla2[[#This Row],[USUARIOS]]</f>
        <v>-4.7582697201017652</v>
      </c>
      <c r="K19" s="151" t="s">
        <v>172</v>
      </c>
      <c r="L19" s="163">
        <f t="shared" si="8"/>
        <v>119481.41221374046</v>
      </c>
      <c r="M19" s="162" t="str">
        <f>+VLOOKUP(C19,Lista!B:D,3,0)</f>
        <v>MICRO</v>
      </c>
      <c r="N19" s="365">
        <f t="shared" si="9"/>
        <v>12952.380952380952</v>
      </c>
      <c r="O19" s="50">
        <f t="shared" si="10"/>
        <v>11</v>
      </c>
      <c r="P19" s="47">
        <f t="shared" si="11"/>
        <v>204.24173027989823</v>
      </c>
      <c r="Q19" s="49">
        <f t="shared" si="12"/>
        <v>209</v>
      </c>
      <c r="R19" s="51">
        <f t="shared" si="13"/>
        <v>204.24173027989823</v>
      </c>
      <c r="S19" s="46">
        <f t="shared" si="14"/>
        <v>112332.95165394402</v>
      </c>
      <c r="T19" t="str">
        <f t="shared" si="15"/>
        <v xml:space="preserve">2 Descuentos (Despachador y usuario desubicado) </v>
      </c>
      <c r="U19">
        <f t="shared" si="16"/>
        <v>14</v>
      </c>
      <c r="Y19" t="str">
        <f>TRIM(Tabla2[[#This Row],[CONDUCTOR]])</f>
        <v>FRANCO CARVAJAL GERARDO ANTONIO</v>
      </c>
    </row>
    <row r="20" spans="2:25" x14ac:dyDescent="0.2">
      <c r="B20" s="136" t="s">
        <v>169</v>
      </c>
      <c r="C20" s="166">
        <v>32</v>
      </c>
      <c r="D20" s="151" t="s">
        <v>168</v>
      </c>
      <c r="E20" s="150">
        <v>10</v>
      </c>
      <c r="F20" s="150">
        <v>0</v>
      </c>
      <c r="G20" s="165">
        <v>196</v>
      </c>
      <c r="H20" s="226">
        <f t="shared" si="6"/>
        <v>19.600000000000001</v>
      </c>
      <c r="I20" s="227">
        <f t="shared" si="7"/>
        <v>195.67430025445293</v>
      </c>
      <c r="J20" s="363">
        <f>+Tabla2[[#This Row],[PROM DE USUARIOS]]-Tabla2[[#This Row],[USUARIOS]]</f>
        <v>-0.3256997455470696</v>
      </c>
      <c r="K20" s="151"/>
      <c r="L20" s="163">
        <f t="shared" si="8"/>
        <v>108619.46564885497</v>
      </c>
      <c r="M20" s="162" t="str">
        <f>+VLOOKUP(C20,Lista!B:D,3,0)</f>
        <v>MICRO</v>
      </c>
      <c r="N20" s="365">
        <f t="shared" si="9"/>
        <v>12952.380952380952</v>
      </c>
      <c r="O20" s="50">
        <f t="shared" si="10"/>
        <v>10</v>
      </c>
      <c r="P20" s="47">
        <f t="shared" si="11"/>
        <v>185.67430025445293</v>
      </c>
      <c r="Q20" s="49">
        <f t="shared" si="12"/>
        <v>186</v>
      </c>
      <c r="R20" s="51">
        <f t="shared" si="13"/>
        <v>185.67430025445293</v>
      </c>
      <c r="S20" s="46">
        <f t="shared" si="14"/>
        <v>102120.86513994911</v>
      </c>
      <c r="T20" t="str">
        <f t="shared" si="15"/>
        <v/>
      </c>
      <c r="U20">
        <f t="shared" si="16"/>
        <v>12</v>
      </c>
      <c r="Y20" t="str">
        <f>TRIM(Tabla2[[#This Row],[CONDUCTOR]])</f>
        <v>LAYOS JIMENEZ JOHAN CAMILO</v>
      </c>
    </row>
    <row r="21" spans="2:25" s="2" customFormat="1" ht="22.5" x14ac:dyDescent="0.2">
      <c r="B21" s="136" t="s">
        <v>169</v>
      </c>
      <c r="C21" s="137">
        <v>33</v>
      </c>
      <c r="D21" s="136" t="s">
        <v>152</v>
      </c>
      <c r="E21" s="150">
        <v>10</v>
      </c>
      <c r="F21" s="150">
        <v>0.5</v>
      </c>
      <c r="G21" s="374">
        <v>196</v>
      </c>
      <c r="H21" s="375">
        <f t="shared" si="6"/>
        <v>19.600000000000001</v>
      </c>
      <c r="I21" s="376">
        <f t="shared" si="7"/>
        <v>195.67430025445293</v>
      </c>
      <c r="J21" s="377">
        <f>+Tabla2[[#This Row],[PROM DE USUARIOS]]-Tabla2[[#This Row],[USUARIOS]]</f>
        <v>-0.3256997455470696</v>
      </c>
      <c r="K21" s="378" t="s">
        <v>175</v>
      </c>
      <c r="L21" s="163">
        <f t="shared" si="8"/>
        <v>103188.61814885496</v>
      </c>
      <c r="M21" s="162" t="str">
        <f>+VLOOKUP(C21,Lista!B:D,3,0)</f>
        <v>MICRO</v>
      </c>
      <c r="N21" s="365">
        <f t="shared" si="9"/>
        <v>12952.380952380952</v>
      </c>
      <c r="O21" s="50">
        <f t="shared" si="10"/>
        <v>9.5</v>
      </c>
      <c r="P21" s="47">
        <f t="shared" si="11"/>
        <v>176.39080025445293</v>
      </c>
      <c r="Q21" s="49">
        <f t="shared" si="12"/>
        <v>186.5</v>
      </c>
      <c r="R21" s="51">
        <f t="shared" si="13"/>
        <v>185.67430025445293</v>
      </c>
      <c r="S21" s="46">
        <f t="shared" si="14"/>
        <v>102120.86513994911</v>
      </c>
      <c r="T21" s="2" t="str">
        <f t="shared" si="15"/>
        <v xml:space="preserve">Se descuenta 0.5 viaje de 9 10 am ya que NO va a la minorista luego de ingresar al recaudo </v>
      </c>
      <c r="U21" s="2">
        <f t="shared" si="16"/>
        <v>12</v>
      </c>
      <c r="V21" s="2">
        <v>0.5</v>
      </c>
      <c r="W21" s="2">
        <v>9.7835000000000001</v>
      </c>
      <c r="Y21" s="2" t="str">
        <f>TRIM(Tabla2[[#This Row],[CONDUCTOR]])</f>
        <v>JIMENEZ HERNANDEZ ESTEBAN CAMILO</v>
      </c>
    </row>
    <row r="22" spans="2:25" x14ac:dyDescent="0.2">
      <c r="B22" s="136" t="s">
        <v>169</v>
      </c>
      <c r="C22" s="166">
        <v>36</v>
      </c>
      <c r="D22" s="151" t="s">
        <v>166</v>
      </c>
      <c r="E22" s="150">
        <v>11</v>
      </c>
      <c r="F22" s="150">
        <v>0</v>
      </c>
      <c r="G22" s="146">
        <v>223</v>
      </c>
      <c r="H22" s="226">
        <f t="shared" si="6"/>
        <v>20.272727272727273</v>
      </c>
      <c r="I22" s="227">
        <f t="shared" si="7"/>
        <v>215.24173027989823</v>
      </c>
      <c r="J22" s="363">
        <f>+Tabla2[[#This Row],[PROM DE USUARIOS]]-Tabla2[[#This Row],[USUARIOS]]</f>
        <v>-7.7582697201017652</v>
      </c>
      <c r="K22" s="151"/>
      <c r="L22" s="163">
        <f t="shared" si="8"/>
        <v>119481.41221374046</v>
      </c>
      <c r="M22" s="162" t="str">
        <f>+VLOOKUP(C22,Lista!B:D,3,0)</f>
        <v>MICRO</v>
      </c>
      <c r="N22" s="365">
        <f t="shared" si="9"/>
        <v>12952.380952380952</v>
      </c>
      <c r="O22" s="50">
        <f t="shared" si="10"/>
        <v>11</v>
      </c>
      <c r="P22" s="47">
        <f t="shared" si="11"/>
        <v>204.24173027989823</v>
      </c>
      <c r="Q22" s="49">
        <f t="shared" si="12"/>
        <v>212</v>
      </c>
      <c r="R22" s="51">
        <f t="shared" si="13"/>
        <v>204.24173027989823</v>
      </c>
      <c r="S22" s="46">
        <f t="shared" si="14"/>
        <v>112332.95165394402</v>
      </c>
      <c r="T22" t="str">
        <f t="shared" si="15"/>
        <v/>
      </c>
      <c r="U22">
        <f t="shared" si="16"/>
        <v>16</v>
      </c>
      <c r="Y22" t="str">
        <f>TRIM(Tabla2[[#This Row],[CONDUCTOR]])</f>
        <v>MARTINEZ CHAVERRA LUIS NORBERTO</v>
      </c>
    </row>
    <row r="23" spans="2:25" x14ac:dyDescent="0.2">
      <c r="B23" s="136" t="s">
        <v>169</v>
      </c>
      <c r="C23" s="166">
        <v>37</v>
      </c>
      <c r="D23" s="151" t="s">
        <v>167</v>
      </c>
      <c r="E23" s="150">
        <v>10</v>
      </c>
      <c r="F23" s="150">
        <v>0</v>
      </c>
      <c r="G23" s="165">
        <v>187</v>
      </c>
      <c r="H23" s="226">
        <f t="shared" si="6"/>
        <v>18.7</v>
      </c>
      <c r="I23" s="227">
        <f t="shared" si="7"/>
        <v>195.67430025445293</v>
      </c>
      <c r="J23" s="363">
        <f>+Tabla2[[#This Row],[PROM DE USUARIOS]]-Tabla2[[#This Row],[USUARIOS]]</f>
        <v>8.6743002544529304</v>
      </c>
      <c r="K23" s="151"/>
      <c r="L23" s="163">
        <f t="shared" si="8"/>
        <v>108619.46564885497</v>
      </c>
      <c r="M23" s="162">
        <f>+VLOOKUP(C23,Lista!B:D,3,0)</f>
        <v>0</v>
      </c>
      <c r="N23" s="365">
        <f t="shared" si="9"/>
        <v>12952.380952380952</v>
      </c>
      <c r="O23" s="50">
        <f t="shared" si="10"/>
        <v>10</v>
      </c>
      <c r="P23" s="47">
        <f t="shared" si="11"/>
        <v>185.67430025445293</v>
      </c>
      <c r="Q23" s="49">
        <f t="shared" si="12"/>
        <v>177</v>
      </c>
      <c r="R23" s="51">
        <f t="shared" si="13"/>
        <v>185.67430025445293</v>
      </c>
      <c r="S23" s="46">
        <f t="shared" si="14"/>
        <v>102120.86513994911</v>
      </c>
      <c r="T23" t="str">
        <f t="shared" si="15"/>
        <v/>
      </c>
      <c r="U23">
        <f t="shared" si="16"/>
        <v>8</v>
      </c>
      <c r="Y23" t="str">
        <f>TRIM(Tabla2[[#This Row],[CONDUCTOR]])</f>
        <v>GUTIERREZ ARICAPA DANIEL HUMBERTO</v>
      </c>
    </row>
    <row r="24" spans="2:25" x14ac:dyDescent="0.2">
      <c r="B24" s="136" t="s">
        <v>169</v>
      </c>
      <c r="C24" s="166">
        <v>38</v>
      </c>
      <c r="D24" s="151" t="s">
        <v>157</v>
      </c>
      <c r="E24" s="150">
        <v>9</v>
      </c>
      <c r="F24" s="150">
        <v>0</v>
      </c>
      <c r="G24" s="165">
        <v>165</v>
      </c>
      <c r="H24" s="226">
        <f t="shared" si="6"/>
        <v>18.333333333333332</v>
      </c>
      <c r="I24" s="227">
        <f t="shared" si="7"/>
        <v>176.10687022900765</v>
      </c>
      <c r="J24" s="363">
        <f>+Tabla2[[#This Row],[PROM DE USUARIOS]]-Tabla2[[#This Row],[USUARIOS]]</f>
        <v>11.106870229007654</v>
      </c>
      <c r="K24" s="151" t="s">
        <v>173</v>
      </c>
      <c r="L24" s="163">
        <f t="shared" si="8"/>
        <v>97757.519083969484</v>
      </c>
      <c r="M24" s="162" t="str">
        <f>+VLOOKUP(C24,Lista!B:D,3,0)</f>
        <v>MICRO</v>
      </c>
      <c r="N24" s="365">
        <f t="shared" si="9"/>
        <v>12952.380952380952</v>
      </c>
      <c r="O24" s="50">
        <f t="shared" si="10"/>
        <v>9</v>
      </c>
      <c r="P24" s="47">
        <f t="shared" si="11"/>
        <v>167.10687022900765</v>
      </c>
      <c r="Q24" s="49">
        <f t="shared" si="12"/>
        <v>156</v>
      </c>
      <c r="R24" s="51">
        <f t="shared" si="13"/>
        <v>167.10687022900765</v>
      </c>
      <c r="S24" s="46">
        <f t="shared" si="14"/>
        <v>91908.778625954204</v>
      </c>
      <c r="T24" t="str">
        <f t="shared" si="15"/>
        <v xml:space="preserve">3 Descuentos (Despachador y usuarios desubicados) </v>
      </c>
      <c r="U24">
        <f t="shared" si="16"/>
        <v>7</v>
      </c>
      <c r="Y24" t="str">
        <f>TRIM(Tabla2[[#This Row],[CONDUCTOR]])</f>
        <v>GONZALEZ IPUANA RENE</v>
      </c>
    </row>
    <row r="25" spans="2:25" x14ac:dyDescent="0.2">
      <c r="B25" s="136" t="s">
        <v>169</v>
      </c>
      <c r="C25" s="166">
        <v>39</v>
      </c>
      <c r="D25" s="151" t="s">
        <v>147</v>
      </c>
      <c r="E25" s="150">
        <v>9</v>
      </c>
      <c r="F25" s="150">
        <v>0</v>
      </c>
      <c r="G25" s="165">
        <v>197</v>
      </c>
      <c r="H25" s="226">
        <f t="shared" si="6"/>
        <v>21.888888888888889</v>
      </c>
      <c r="I25" s="227">
        <f t="shared" si="7"/>
        <v>176.10687022900765</v>
      </c>
      <c r="J25" s="363">
        <f>+Tabla2[[#This Row],[PROM DE USUARIOS]]-Tabla2[[#This Row],[USUARIOS]]</f>
        <v>-20.893129770992346</v>
      </c>
      <c r="K25" s="151"/>
      <c r="L25" s="163">
        <f t="shared" si="8"/>
        <v>97757.519083969484</v>
      </c>
      <c r="M25" s="162" t="str">
        <f>+VLOOKUP(C25,Lista!B:D,3,0)</f>
        <v>MICRO</v>
      </c>
      <c r="N25" s="365">
        <f t="shared" si="9"/>
        <v>12952.380952380952</v>
      </c>
      <c r="O25" s="50">
        <f t="shared" si="10"/>
        <v>9</v>
      </c>
      <c r="P25" s="47">
        <f t="shared" si="11"/>
        <v>167.10687022900765</v>
      </c>
      <c r="Q25" s="49">
        <f t="shared" si="12"/>
        <v>188</v>
      </c>
      <c r="R25" s="51">
        <f t="shared" si="13"/>
        <v>167.10687022900765</v>
      </c>
      <c r="S25" s="46">
        <f t="shared" si="14"/>
        <v>91908.778625954204</v>
      </c>
      <c r="T25" t="str">
        <f t="shared" si="15"/>
        <v/>
      </c>
      <c r="U25">
        <f t="shared" si="16"/>
        <v>19</v>
      </c>
      <c r="Y25" t="str">
        <f>TRIM(Tabla2[[#This Row],[CONDUCTOR]])</f>
        <v>PALMAR PANA EDIXON JOSUE</v>
      </c>
    </row>
    <row r="26" spans="2:25" x14ac:dyDescent="0.2">
      <c r="B26" s="136" t="s">
        <v>169</v>
      </c>
      <c r="C26" s="166">
        <v>40</v>
      </c>
      <c r="D26" s="151" t="s">
        <v>163</v>
      </c>
      <c r="E26" s="150">
        <v>11</v>
      </c>
      <c r="F26" s="150">
        <v>0</v>
      </c>
      <c r="G26" s="165">
        <v>207</v>
      </c>
      <c r="H26" s="226">
        <f t="shared" si="6"/>
        <v>18.818181818181817</v>
      </c>
      <c r="I26" s="227">
        <f t="shared" si="7"/>
        <v>215.24173027989823</v>
      </c>
      <c r="J26" s="363">
        <f>+Tabla2[[#This Row],[PROM DE USUARIOS]]-Tabla2[[#This Row],[USUARIOS]]</f>
        <v>8.2417302798982348</v>
      </c>
      <c r="K26" s="151"/>
      <c r="L26" s="163">
        <f t="shared" si="8"/>
        <v>119481.41221374046</v>
      </c>
      <c r="M26" s="162" t="str">
        <f>+VLOOKUP(C26,Lista!B:D,3,0)</f>
        <v>MICRO</v>
      </c>
      <c r="N26" s="365">
        <f t="shared" si="9"/>
        <v>12952.380952380952</v>
      </c>
      <c r="O26" s="50">
        <f t="shared" si="10"/>
        <v>11</v>
      </c>
      <c r="P26" s="47">
        <f t="shared" si="11"/>
        <v>204.24173027989823</v>
      </c>
      <c r="Q26" s="49">
        <f t="shared" si="12"/>
        <v>196</v>
      </c>
      <c r="R26" s="51">
        <f t="shared" si="13"/>
        <v>204.24173027989823</v>
      </c>
      <c r="S26" s="46">
        <f t="shared" si="14"/>
        <v>112332.95165394402</v>
      </c>
      <c r="T26" t="str">
        <f t="shared" si="15"/>
        <v/>
      </c>
      <c r="U26">
        <f t="shared" si="16"/>
        <v>9</v>
      </c>
      <c r="Y26" t="str">
        <f>TRIM(Tabla2[[#This Row],[CONDUCTOR]])</f>
        <v>OCAMPO OCAMPO ANTONIO JOSE</v>
      </c>
    </row>
    <row r="27" spans="2:25" x14ac:dyDescent="0.2">
      <c r="B27" s="136" t="s">
        <v>169</v>
      </c>
      <c r="C27" s="166">
        <v>42</v>
      </c>
      <c r="D27" s="151" t="s">
        <v>154</v>
      </c>
      <c r="E27" s="150">
        <v>10</v>
      </c>
      <c r="F27" s="150">
        <v>0</v>
      </c>
      <c r="G27" s="165">
        <v>216</v>
      </c>
      <c r="H27" s="226">
        <f t="shared" si="6"/>
        <v>21.6</v>
      </c>
      <c r="I27" s="227">
        <f t="shared" si="7"/>
        <v>195.67430025445293</v>
      </c>
      <c r="J27" s="363">
        <f>+Tabla2[[#This Row],[PROM DE USUARIOS]]-Tabla2[[#This Row],[USUARIOS]]</f>
        <v>-20.32569974554707</v>
      </c>
      <c r="K27" s="151"/>
      <c r="L27" s="163">
        <f t="shared" si="8"/>
        <v>108619.46564885497</v>
      </c>
      <c r="M27" s="162">
        <f>+VLOOKUP(C27,Lista!B:D,3,0)</f>
        <v>0</v>
      </c>
      <c r="N27" s="365">
        <f t="shared" si="9"/>
        <v>12952.380952380952</v>
      </c>
      <c r="O27" s="50">
        <f t="shared" si="10"/>
        <v>10</v>
      </c>
      <c r="P27" s="47">
        <f t="shared" si="11"/>
        <v>185.67430025445293</v>
      </c>
      <c r="Q27" s="49">
        <f t="shared" si="12"/>
        <v>206</v>
      </c>
      <c r="R27" s="51">
        <f t="shared" si="13"/>
        <v>185.67430025445293</v>
      </c>
      <c r="S27" s="46">
        <f t="shared" si="14"/>
        <v>102120.86513994911</v>
      </c>
      <c r="T27" t="str">
        <f t="shared" si="15"/>
        <v/>
      </c>
      <c r="U27">
        <f t="shared" si="16"/>
        <v>18</v>
      </c>
      <c r="Y27" t="str">
        <f>TRIM(Tabla2[[#This Row],[CONDUCTOR]])</f>
        <v>AGUDELO GARCIA DENIN ANGELO</v>
      </c>
    </row>
    <row r="28" spans="2:25" x14ac:dyDescent="0.2">
      <c r="B28" s="232"/>
      <c r="C28" s="239">
        <f>SUBTOTAL(102,Tabla2[VEH])</f>
        <v>21</v>
      </c>
      <c r="D28" s="233" t="s">
        <v>127</v>
      </c>
      <c r="E28" s="234">
        <f>SUBTOTAL(109,Tabla2[VIAJES])</f>
        <v>196.5</v>
      </c>
      <c r="F28" s="234">
        <f>SUBTOTAL(109,Tabla2[VIAJES PERD.])</f>
        <v>1</v>
      </c>
      <c r="G28" s="240">
        <f>SUBTOTAL(109,Tabla2[USUARIOS])</f>
        <v>3845</v>
      </c>
      <c r="H28" s="373">
        <f>+Tabla2[[#Totals],[USUARIOS]]/Tabla2[[#Totals],[VIAJES]]</f>
        <v>19.567430025445294</v>
      </c>
      <c r="I28" s="240">
        <f>SUBTOTAL(109,Tabla2[PROM DE USUARIOS])</f>
        <v>3845.0000000000005</v>
      </c>
      <c r="J28" s="372">
        <f>SUBTOTAL(109,Tabla2[RECIBE / ENTREGA])</f>
        <v>2.8421709430404007E-13</v>
      </c>
      <c r="K28" s="235" t="s">
        <v>174</v>
      </c>
      <c r="L28" s="236"/>
      <c r="M28" s="237"/>
      <c r="N28" s="238">
        <f>SUBTOTAL(109,Tabla2[DIFER. MICRO - BUS ])</f>
        <v>271999.99999999994</v>
      </c>
      <c r="O28" s="50">
        <f>+(E27*1)-V28</f>
        <v>10</v>
      </c>
      <c r="P28" s="47">
        <f>+I27-O28-W28</f>
        <v>185.67430025445293</v>
      </c>
      <c r="Q28" s="49">
        <f>+G27-O28</f>
        <v>206</v>
      </c>
      <c r="R28" s="51">
        <f>+E27*$T$3</f>
        <v>185.67430025445293</v>
      </c>
      <c r="S28" s="46">
        <f t="shared" ref="S28:S44" si="17">+R28*550</f>
        <v>102120.86513994911</v>
      </c>
      <c r="T28" t="str">
        <f>+IF(K27&lt;&gt;"",K27,"")</f>
        <v/>
      </c>
      <c r="U28">
        <f>+RANK(H27,$H$6:$H$1048576,1)</f>
        <v>18</v>
      </c>
      <c r="Y28" t="e">
        <f>TRIM(Tabla2[[#This Row],[CONDUCTOR]])</f>
        <v>#VALUE!</v>
      </c>
    </row>
    <row r="29" spans="2:25" x14ac:dyDescent="0.2">
      <c r="B29" s="245"/>
      <c r="C29" s="246"/>
      <c r="D29" s="247"/>
      <c r="E29" s="248"/>
      <c r="F29" s="248"/>
      <c r="G29" s="249"/>
      <c r="H29" s="250"/>
      <c r="I29" s="251"/>
      <c r="J29" s="341"/>
      <c r="K29" s="247"/>
      <c r="L29" s="252"/>
      <c r="M29" s="253"/>
      <c r="N29" s="203"/>
      <c r="O29" s="50" t="e">
        <f>+(#REF!*1)-V29</f>
        <v>#REF!</v>
      </c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17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5" s="2" customFormat="1" x14ac:dyDescent="0.2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17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2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17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2">
      <c r="B32" s="245"/>
      <c r="C32" s="246"/>
      <c r="D32" s="247"/>
      <c r="E32" s="248"/>
      <c r="F32" s="248"/>
      <c r="G32" s="254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17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46"/>
      <c r="D33" s="247"/>
      <c r="E33" s="248"/>
      <c r="F33" s="248"/>
      <c r="G33" s="254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17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55"/>
      <c r="D34" s="247"/>
      <c r="E34" s="248"/>
      <c r="F34" s="248"/>
      <c r="G34" s="199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17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55"/>
      <c r="D35" s="247"/>
      <c r="E35" s="248"/>
      <c r="F35" s="248"/>
      <c r="G35" s="199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17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46"/>
      <c r="D36" s="247"/>
      <c r="E36" s="248"/>
      <c r="F36" s="248"/>
      <c r="G36" s="254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17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55"/>
      <c r="D37" s="247"/>
      <c r="E37" s="248"/>
      <c r="F37" s="248"/>
      <c r="G37" s="199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17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17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17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17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17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17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17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17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18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9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0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1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2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+(E91*1)-V50</f>
        <v>0</v>
      </c>
      <c r="P50" s="134">
        <f>+I91-O50-W50</f>
        <v>0</v>
      </c>
      <c r="Q50" s="11">
        <f>+G91-O50</f>
        <v>0</v>
      </c>
      <c r="R50">
        <f>+E91*$T$3</f>
        <v>0</v>
      </c>
      <c r="S50">
        <f t="shared" ref="S50:S55" si="23">+R50*550</f>
        <v>0</v>
      </c>
      <c r="T50" t="str">
        <f>+IF(K91&lt;&gt;"",K91,"")</f>
        <v/>
      </c>
      <c r="U50" t="e">
        <f>+RANK(H91,$H$6:$H$1048576,1)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+(E92*1)-V51</f>
        <v>0</v>
      </c>
      <c r="P51" s="134">
        <f>+I92-O51-W51</f>
        <v>0</v>
      </c>
      <c r="Q51" s="11">
        <f>+G92-O51</f>
        <v>0</v>
      </c>
      <c r="R51">
        <f>+E92*$T$3</f>
        <v>0</v>
      </c>
      <c r="S51">
        <f t="shared" si="23"/>
        <v>0</v>
      </c>
      <c r="T51" t="str">
        <f>+IF(K92&lt;&gt;"",K92,"")</f>
        <v/>
      </c>
      <c r="U51" t="e">
        <f>+RANK(H92,$H$6:$H$1048576,1)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+(E93*1)-V52</f>
        <v>0</v>
      </c>
      <c r="P52" s="134">
        <f>+I93-O52-W52</f>
        <v>0</v>
      </c>
      <c r="Q52" s="11">
        <f>+G93-O52</f>
        <v>0</v>
      </c>
      <c r="R52">
        <f>+E93*$T$3</f>
        <v>0</v>
      </c>
      <c r="S52">
        <f t="shared" si="23"/>
        <v>0</v>
      </c>
      <c r="T52" t="str">
        <f>+IF(K93&lt;&gt;"",K93,"")</f>
        <v/>
      </c>
      <c r="U52" t="e">
        <f>+RANK(H93,$H$6:$H$1048576,1)</f>
        <v>#N/A</v>
      </c>
    </row>
    <row r="53" spans="2:21" x14ac:dyDescent="0.2">
      <c r="B53" s="245"/>
      <c r="C53" s="255"/>
      <c r="D53" s="247"/>
      <c r="E53" s="248"/>
      <c r="F53" s="248"/>
      <c r="G53" s="256"/>
      <c r="H53" s="250"/>
      <c r="I53" s="221"/>
      <c r="J53" s="342"/>
      <c r="K53" s="247"/>
      <c r="L53" s="252"/>
      <c r="M53" s="253"/>
      <c r="N53" s="203"/>
      <c r="O53">
        <f>+(E94*1)-V53</f>
        <v>0</v>
      </c>
      <c r="P53" s="134">
        <f>+I94-O53-W53</f>
        <v>0</v>
      </c>
      <c r="Q53" s="11">
        <f>+G94-O53</f>
        <v>0</v>
      </c>
      <c r="R53">
        <f>+E94*$T$3</f>
        <v>0</v>
      </c>
      <c r="S53">
        <f t="shared" si="23"/>
        <v>0</v>
      </c>
      <c r="T53" t="str">
        <f>+IF(K94&lt;&gt;"",K94,"")</f>
        <v/>
      </c>
      <c r="U53" t="e">
        <f>+RANK(H94,$H$6:$H$1048576,1)</f>
        <v>#N/A</v>
      </c>
    </row>
    <row r="54" spans="2:21" x14ac:dyDescent="0.2">
      <c r="B54" s="245"/>
      <c r="C54" s="246"/>
      <c r="D54" s="247"/>
      <c r="E54" s="248"/>
      <c r="F54" s="248"/>
      <c r="G54" s="256"/>
      <c r="H54" s="250"/>
      <c r="I54" s="221"/>
      <c r="J54" s="342"/>
      <c r="K54" s="247"/>
      <c r="L54" s="252"/>
      <c r="M54" s="253"/>
      <c r="N54" s="203"/>
      <c r="O54">
        <f>+(E95*1)-V54</f>
        <v>0</v>
      </c>
      <c r="P54" s="134">
        <f>+I95-O54-W54</f>
        <v>0</v>
      </c>
      <c r="Q54" s="11">
        <f>+G95-O54</f>
        <v>0</v>
      </c>
      <c r="R54">
        <f>+E95*$T$3</f>
        <v>0</v>
      </c>
      <c r="S54">
        <f t="shared" si="23"/>
        <v>0</v>
      </c>
      <c r="T54" t="str">
        <f>+IF(K95&lt;&gt;"",K95,"")</f>
        <v/>
      </c>
      <c r="U54" t="e">
        <f>+RANK(H95,$H$6:$H$1048576,1)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21"/>
      <c r="J55" s="342"/>
      <c r="K55" s="247"/>
      <c r="L55" s="252"/>
      <c r="M55" s="253"/>
      <c r="N55" s="203"/>
      <c r="O55">
        <f>+(E96*1)-V55</f>
        <v>0</v>
      </c>
      <c r="P55" s="134">
        <f>+I96-O55-W55</f>
        <v>0</v>
      </c>
      <c r="Q55" s="11">
        <f>+G96-O55</f>
        <v>0</v>
      </c>
      <c r="R55">
        <f>+E96*$T$3</f>
        <v>0</v>
      </c>
      <c r="S55">
        <f t="shared" si="23"/>
        <v>0</v>
      </c>
      <c r="T55" t="str">
        <f>+IF(K96&lt;&gt;"",K96,"")</f>
        <v/>
      </c>
      <c r="U55" t="e">
        <f>+RANK(H96,$H$6:$H$1048576,1)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55"/>
      <c r="D58" s="247"/>
      <c r="E58" s="248"/>
      <c r="F58" s="248"/>
      <c r="G58" s="199"/>
      <c r="H58" s="257"/>
      <c r="I58" s="222"/>
      <c r="J58" s="343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21"/>
      <c r="J59" s="342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55"/>
      <c r="D60" s="247"/>
      <c r="E60" s="248"/>
      <c r="F60" s="248"/>
      <c r="G60" s="199"/>
      <c r="H60" s="257"/>
      <c r="I60" s="222"/>
      <c r="J60" s="343"/>
      <c r="K60" s="247"/>
      <c r="L60" s="252"/>
      <c r="M60" s="253"/>
      <c r="N60" s="25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55"/>
      <c r="D61" s="247"/>
      <c r="E61" s="248"/>
      <c r="F61" s="248"/>
      <c r="G61" s="254"/>
      <c r="H61" s="257"/>
      <c r="I61" s="222"/>
      <c r="J61" s="343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4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4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4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4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55"/>
      <c r="D65" s="247"/>
      <c r="E65" s="248"/>
      <c r="F65" s="248"/>
      <c r="G65" s="199"/>
      <c r="H65" s="257"/>
      <c r="I65" s="222"/>
      <c r="J65" s="343"/>
      <c r="K65" s="247"/>
      <c r="L65" s="203"/>
      <c r="M65" s="253"/>
      <c r="N65" s="258"/>
      <c r="O65">
        <f>+(E60*1)-V65</f>
        <v>0</v>
      </c>
      <c r="P65" s="134">
        <f>+I60-O65-W65</f>
        <v>0</v>
      </c>
      <c r="Q65" s="11">
        <f>+G60-O65</f>
        <v>0</v>
      </c>
      <c r="R65">
        <f>+E60*$T$3</f>
        <v>0</v>
      </c>
      <c r="S65">
        <f t="shared" si="24"/>
        <v>0</v>
      </c>
      <c r="T65" t="str">
        <f>+IF(K60&lt;&gt;"",K60,"")</f>
        <v/>
      </c>
      <c r="U65" t="e">
        <f>+RANK(H60,$H$6:$H$1048576,1)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+(E61*1)-V66</f>
        <v>0</v>
      </c>
      <c r="P66" s="134">
        <f>+I61-O66-W66</f>
        <v>0</v>
      </c>
      <c r="Q66" s="11">
        <f>+G61-O66</f>
        <v>0</v>
      </c>
      <c r="R66">
        <f>+E61*$T$3</f>
        <v>0</v>
      </c>
      <c r="S66">
        <f t="shared" si="24"/>
        <v>0</v>
      </c>
      <c r="T66" t="str">
        <f>+IF(K61&lt;&gt;"",K61,"")</f>
        <v/>
      </c>
      <c r="U66" t="e">
        <f>+RANK(H61,$H$6:$H$1048576,1)</f>
        <v>#N/A</v>
      </c>
    </row>
    <row r="67" spans="2:21" x14ac:dyDescent="0.2">
      <c r="B67" s="245"/>
      <c r="C67" s="246"/>
      <c r="D67" s="247"/>
      <c r="E67" s="248"/>
      <c r="F67" s="248"/>
      <c r="G67" s="256"/>
      <c r="H67" s="250"/>
      <c r="I67" s="221"/>
      <c r="J67" s="342"/>
      <c r="K67" s="247"/>
      <c r="L67" s="252"/>
      <c r="M67" s="253"/>
      <c r="N67" s="258"/>
      <c r="O67">
        <f>+(E62*1)-V67</f>
        <v>0</v>
      </c>
      <c r="P67" s="134">
        <f>+I62-O67-W67</f>
        <v>0</v>
      </c>
      <c r="Q67" s="11">
        <f>+G62-O67</f>
        <v>0</v>
      </c>
      <c r="R67">
        <f>+E62*$T$3</f>
        <v>0</v>
      </c>
      <c r="S67">
        <f t="shared" si="24"/>
        <v>0</v>
      </c>
      <c r="T67" t="str">
        <f>+IF(K62&lt;&gt;"",K62,"")</f>
        <v/>
      </c>
      <c r="U67" t="e">
        <f>+RANK(H62,$H$6:$H$1048576,1)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+(E63*1)-V68</f>
        <v>0</v>
      </c>
      <c r="P68" s="134">
        <f>+I63-O68-W68</f>
        <v>0</v>
      </c>
      <c r="Q68" s="11">
        <f>+G63-O68</f>
        <v>0</v>
      </c>
      <c r="R68">
        <f>+E63*$T$3</f>
        <v>0</v>
      </c>
      <c r="S68">
        <f t="shared" si="24"/>
        <v>0</v>
      </c>
      <c r="T68" t="str">
        <f>+IF(K63&lt;&gt;"",K63,"")</f>
        <v/>
      </c>
      <c r="U68" t="e">
        <f>+RANK(H63,$H$6:$H$1048576,1)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+(E64*1)-V69</f>
        <v>0</v>
      </c>
      <c r="P69" s="134">
        <f>+I64-O69-W69</f>
        <v>0</v>
      </c>
      <c r="Q69" s="11">
        <f>+G64-O69</f>
        <v>0</v>
      </c>
      <c r="R69">
        <f>+E64*$T$3</f>
        <v>0</v>
      </c>
      <c r="S69">
        <f t="shared" si="24"/>
        <v>0</v>
      </c>
      <c r="T69" t="str">
        <f>+IF(K64&lt;&gt;"",K64,"")</f>
        <v/>
      </c>
      <c r="U69" t="e">
        <f>+RANK(H64,$H$6:$H$1048576,1)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58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03"/>
      <c r="M73" s="253"/>
      <c r="N73" s="258"/>
    </row>
    <row r="74" spans="2:21" x14ac:dyDescent="0.2">
      <c r="B74" s="245"/>
      <c r="C74" s="255"/>
      <c r="D74" s="247"/>
      <c r="E74" s="248"/>
      <c r="F74" s="248"/>
      <c r="G74" s="199"/>
      <c r="H74" s="257"/>
      <c r="I74" s="222"/>
      <c r="J74" s="343"/>
      <c r="K74" s="247"/>
      <c r="L74" s="203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03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03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9"/>
      <c r="I79" s="260"/>
      <c r="J79" s="344"/>
      <c r="K79" s="247"/>
      <c r="L79" s="203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03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6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6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6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55"/>
      <c r="D98" s="247"/>
      <c r="E98" s="248"/>
      <c r="F98" s="248"/>
      <c r="G98" s="199"/>
      <c r="H98" s="257"/>
      <c r="I98" s="222"/>
      <c r="J98" s="343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03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03"/>
    </row>
    <row r="104" spans="2:14" x14ac:dyDescent="0.2">
      <c r="B104" s="245"/>
      <c r="C104" s="246"/>
      <c r="D104" s="245"/>
      <c r="E104" s="248"/>
      <c r="F104" s="248"/>
      <c r="G104" s="261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55"/>
      <c r="D109" s="247"/>
      <c r="E109" s="248"/>
      <c r="F109" s="248"/>
      <c r="G109" s="199"/>
      <c r="H109" s="257"/>
      <c r="I109" s="222"/>
      <c r="J109" s="343"/>
      <c r="K109" s="262"/>
      <c r="L109" s="252"/>
      <c r="M109" s="253"/>
      <c r="N109" s="203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55"/>
      <c r="D111" s="247"/>
      <c r="E111" s="248"/>
      <c r="F111" s="248"/>
      <c r="G111" s="199"/>
      <c r="H111" s="25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0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0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2">
      <c r="B118" s="245"/>
      <c r="C118" s="255"/>
      <c r="D118" s="247"/>
      <c r="E118" s="248"/>
      <c r="F118" s="248"/>
      <c r="G118" s="199"/>
      <c r="H118" s="20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0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55"/>
      <c r="D120" s="247"/>
      <c r="E120" s="248"/>
      <c r="F120" s="248"/>
      <c r="G120" s="199"/>
      <c r="H120" s="20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0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55"/>
      <c r="D122" s="247"/>
      <c r="E122" s="248"/>
      <c r="F122" s="248"/>
      <c r="G122" s="199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55"/>
      <c r="D123" s="247"/>
      <c r="E123" s="248"/>
      <c r="F123" s="248"/>
      <c r="G123" s="199"/>
      <c r="H123" s="20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55"/>
      <c r="D124" s="245"/>
      <c r="E124" s="248"/>
      <c r="F124" s="248"/>
      <c r="G124" s="201"/>
      <c r="H124" s="20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55"/>
      <c r="D132" s="247"/>
      <c r="E132" s="248"/>
      <c r="F132" s="248"/>
      <c r="G132" s="199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51"/>
      <c r="J138" s="341"/>
      <c r="K138" s="247"/>
      <c r="L138" s="252"/>
      <c r="M138" s="253"/>
      <c r="N138" s="203"/>
    </row>
    <row r="139" spans="2:14" x14ac:dyDescent="0.2">
      <c r="B139" s="245"/>
      <c r="C139" s="246"/>
      <c r="D139" s="247"/>
      <c r="E139" s="248"/>
      <c r="F139" s="248"/>
      <c r="G139" s="254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7"/>
      <c r="E144" s="248"/>
      <c r="F144" s="248"/>
      <c r="G144" s="199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58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03"/>
      <c r="M175" s="253"/>
      <c r="N175" s="258"/>
    </row>
    <row r="176" spans="2:14" x14ac:dyDescent="0.2">
      <c r="B176" s="245"/>
      <c r="C176" s="246"/>
      <c r="D176" s="247"/>
      <c r="E176" s="248"/>
      <c r="F176" s="248"/>
      <c r="G176" s="254"/>
      <c r="H176" s="250"/>
      <c r="I176" s="221"/>
      <c r="J176" s="342"/>
      <c r="K176" s="247"/>
      <c r="L176" s="252"/>
      <c r="M176" s="253"/>
      <c r="N176" s="258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44"/>
      <c r="I178" s="222"/>
      <c r="J178" s="343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44"/>
      <c r="I180" s="222"/>
      <c r="J180" s="343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44"/>
      <c r="I182" s="222"/>
      <c r="J182" s="343"/>
      <c r="K182" s="247"/>
      <c r="L182" s="203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03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44"/>
      <c r="I184" s="222"/>
      <c r="J184" s="343"/>
      <c r="K184" s="247"/>
      <c r="L184" s="203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03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55"/>
      <c r="D187" s="247"/>
      <c r="E187" s="248"/>
      <c r="F187" s="248"/>
      <c r="G187" s="199"/>
      <c r="H187" s="244"/>
      <c r="I187" s="222"/>
      <c r="J187" s="343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03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44"/>
      <c r="I193" s="222"/>
      <c r="J193" s="343"/>
      <c r="K193" s="247"/>
      <c r="L193" s="203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2">
      <c r="B200" s="245"/>
      <c r="C200" s="246"/>
      <c r="D200" s="245"/>
      <c r="E200" s="248"/>
      <c r="F200" s="248"/>
      <c r="G200" s="261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5"/>
      <c r="E204" s="248"/>
      <c r="F204" s="248"/>
      <c r="G204" s="261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5"/>
      <c r="E206" s="248"/>
      <c r="F206" s="248"/>
      <c r="G206" s="261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55"/>
      <c r="D209" s="247"/>
      <c r="E209" s="248"/>
      <c r="F209" s="248"/>
      <c r="G209" s="261"/>
      <c r="H209" s="263"/>
      <c r="I209" s="260"/>
      <c r="J209" s="344"/>
      <c r="K209" s="247"/>
      <c r="L209" s="252"/>
      <c r="M209" s="253"/>
      <c r="N209" s="203"/>
    </row>
    <row r="210" spans="2:14" x14ac:dyDescent="0.2">
      <c r="B210" s="245"/>
      <c r="C210" s="246"/>
      <c r="D210" s="245"/>
      <c r="E210" s="248"/>
      <c r="F210" s="248"/>
      <c r="G210" s="261"/>
      <c r="H210" s="200"/>
      <c r="I210" s="221"/>
      <c r="J210" s="342"/>
      <c r="K210" s="245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55"/>
      <c r="D219" s="247"/>
      <c r="E219" s="248"/>
      <c r="F219" s="248"/>
      <c r="G219" s="199"/>
      <c r="H219" s="244"/>
      <c r="I219" s="222"/>
      <c r="J219" s="343"/>
      <c r="K219" s="247"/>
      <c r="L219" s="252"/>
      <c r="M219" s="253"/>
      <c r="N219" s="203"/>
    </row>
    <row r="220" spans="2:14" x14ac:dyDescent="0.2">
      <c r="B220" s="245"/>
      <c r="C220" s="255"/>
      <c r="D220" s="247"/>
      <c r="E220" s="248"/>
      <c r="F220" s="248"/>
      <c r="G220" s="199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55"/>
      <c r="D243" s="247"/>
      <c r="E243" s="248"/>
      <c r="F243" s="248"/>
      <c r="G243" s="261"/>
      <c r="H243" s="200"/>
      <c r="I243" s="221"/>
      <c r="J243" s="342"/>
      <c r="K243" s="245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62"/>
      <c r="L244" s="252"/>
      <c r="M244" s="253"/>
      <c r="N244" s="203"/>
    </row>
    <row r="245" spans="2:14" x14ac:dyDescent="0.2">
      <c r="B245" s="245"/>
      <c r="C245" s="255"/>
      <c r="D245" s="245"/>
      <c r="E245" s="248"/>
      <c r="F245" s="248"/>
      <c r="G245" s="201"/>
      <c r="H245" s="200"/>
      <c r="I245" s="221"/>
      <c r="J245" s="342"/>
      <c r="K245" s="262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5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5"/>
      <c r="E249" s="248"/>
      <c r="F249" s="248"/>
      <c r="G249" s="261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55"/>
      <c r="D250" s="247"/>
      <c r="E250" s="248"/>
      <c r="F250" s="248"/>
      <c r="G250" s="199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55"/>
      <c r="D255" s="245"/>
      <c r="E255" s="248"/>
      <c r="F255" s="248"/>
      <c r="G255" s="201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55"/>
      <c r="D256" s="245"/>
      <c r="E256" s="248"/>
      <c r="F256" s="248"/>
      <c r="G256" s="261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199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5"/>
      <c r="E261" s="248"/>
      <c r="F261" s="248"/>
      <c r="G261" s="261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55"/>
      <c r="D264" s="247"/>
      <c r="E264" s="248"/>
      <c r="F264" s="248"/>
      <c r="G264" s="199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2"/>
      <c r="I269" s="223"/>
      <c r="J269" s="345"/>
      <c r="K269" s="264"/>
      <c r="L269" s="252"/>
      <c r="M269" s="253"/>
      <c r="N269" s="265"/>
    </row>
    <row r="270" spans="2:14" x14ac:dyDescent="0.2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6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4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5"/>
      <c r="E284" s="248"/>
      <c r="F284" s="248"/>
      <c r="G284" s="261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7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55"/>
      <c r="D357" s="247"/>
      <c r="E357" s="248"/>
      <c r="F357" s="248"/>
      <c r="G357" s="199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55"/>
      <c r="D361" s="247"/>
      <c r="E361" s="248"/>
      <c r="F361" s="248"/>
      <c r="G361" s="199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55"/>
      <c r="D368" s="247"/>
      <c r="E368" s="248"/>
      <c r="F368" s="248"/>
      <c r="G368" s="199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5"/>
      <c r="E384" s="248"/>
      <c r="F384" s="248"/>
      <c r="G384" s="261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5"/>
      <c r="E385" s="248"/>
      <c r="F385" s="248"/>
      <c r="G385" s="261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5"/>
      <c r="E388" s="248"/>
      <c r="F388" s="248"/>
      <c r="G388" s="261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5"/>
      <c r="E389" s="248"/>
      <c r="F389" s="248"/>
      <c r="G389" s="261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55"/>
      <c r="D397" s="247"/>
      <c r="E397" s="248"/>
      <c r="F397" s="248"/>
      <c r="G397" s="199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55"/>
      <c r="D399" s="247"/>
      <c r="E399" s="248"/>
      <c r="F399" s="248"/>
      <c r="G399" s="199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4"/>
      <c r="L410" s="252"/>
      <c r="M410" s="253"/>
      <c r="N410" s="265"/>
    </row>
    <row r="411" spans="2:14" x14ac:dyDescent="0.2">
      <c r="B411" s="245"/>
      <c r="C411" s="246"/>
      <c r="D411" s="245"/>
      <c r="E411" s="248"/>
      <c r="F411" s="248"/>
      <c r="G411" s="261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4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5"/>
      <c r="E419" s="248"/>
      <c r="F419" s="248"/>
      <c r="G419" s="261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55"/>
      <c r="D425" s="247"/>
      <c r="E425" s="248"/>
      <c r="F425" s="248"/>
      <c r="G425" s="199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55"/>
      <c r="D428" s="247"/>
      <c r="E428" s="248"/>
      <c r="F428" s="248"/>
      <c r="G428" s="199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68"/>
      <c r="F432" s="268"/>
      <c r="G432" s="269"/>
      <c r="H432" s="270"/>
      <c r="I432" s="271"/>
      <c r="J432" s="346"/>
      <c r="K432" s="266"/>
      <c r="L432" s="252"/>
      <c r="M432" s="253"/>
      <c r="N432" s="265"/>
    </row>
    <row r="433" spans="2:14" x14ac:dyDescent="0.2">
      <c r="B433" s="245"/>
      <c r="C433" s="255"/>
      <c r="D433" s="247"/>
      <c r="E433" s="248"/>
      <c r="F433" s="248"/>
      <c r="G433" s="261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55"/>
      <c r="D435" s="247"/>
      <c r="E435" s="248"/>
      <c r="F435" s="248"/>
      <c r="G435" s="199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4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5"/>
      <c r="E471" s="248"/>
      <c r="F471" s="248"/>
      <c r="G471" s="261"/>
      <c r="H471" s="202"/>
      <c r="I471" s="223"/>
      <c r="J471" s="345"/>
      <c r="K471" s="264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4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4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55"/>
      <c r="D484" s="247"/>
      <c r="E484" s="248"/>
      <c r="F484" s="248"/>
      <c r="G484" s="199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4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7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5"/>
      <c r="E504" s="248"/>
      <c r="F504" s="272"/>
      <c r="G504" s="261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55"/>
      <c r="D508" s="247"/>
      <c r="E508" s="248"/>
      <c r="F508" s="248"/>
      <c r="G508" s="199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55"/>
      <c r="D511" s="247"/>
      <c r="E511" s="248"/>
      <c r="F511" s="248"/>
      <c r="G511" s="199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48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55"/>
      <c r="D524" s="247"/>
      <c r="E524" s="248"/>
      <c r="F524" s="248"/>
      <c r="G524" s="199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5"/>
      <c r="E527" s="248"/>
      <c r="F527" s="248"/>
      <c r="G527" s="261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5"/>
      <c r="E547" s="248"/>
      <c r="F547" s="248"/>
      <c r="G547" s="20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55"/>
      <c r="D553" s="245"/>
      <c r="E553" s="248"/>
      <c r="F553" s="248"/>
      <c r="G553" s="201"/>
      <c r="H553" s="202"/>
      <c r="I553" s="223"/>
      <c r="J553" s="345"/>
      <c r="K553" s="264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55"/>
      <c r="D555" s="247"/>
      <c r="E555" s="248"/>
      <c r="F555" s="248"/>
      <c r="G555" s="199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55"/>
      <c r="D563" s="247"/>
      <c r="E563" s="248"/>
      <c r="F563" s="248"/>
      <c r="G563" s="199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7"/>
      <c r="E566" s="248"/>
      <c r="F566" s="248"/>
      <c r="G566" s="199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5"/>
      <c r="E575" s="248"/>
      <c r="F575" s="248"/>
      <c r="G575" s="261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5"/>
      <c r="E585" s="248"/>
      <c r="F585" s="248"/>
      <c r="G585" s="201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55"/>
      <c r="D591" s="247"/>
      <c r="E591" s="248"/>
      <c r="F591" s="248"/>
      <c r="G591" s="199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4"/>
      <c r="L595" s="252"/>
      <c r="M595" s="253"/>
      <c r="N595" s="265"/>
    </row>
    <row r="596" spans="2:14" x14ac:dyDescent="0.2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5"/>
      <c r="E597" s="248"/>
      <c r="F597" s="248"/>
      <c r="G597" s="261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4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7"/>
      <c r="E622" s="248"/>
      <c r="F622" s="248"/>
      <c r="G622" s="199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7"/>
      <c r="E623" s="248"/>
      <c r="F623" s="248"/>
      <c r="G623" s="199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55"/>
      <c r="D654" s="247"/>
      <c r="E654" s="248"/>
      <c r="F654" s="248"/>
      <c r="G654" s="199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5"/>
      <c r="E658" s="248"/>
      <c r="F658" s="248"/>
      <c r="G658" s="261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55"/>
      <c r="D663" s="247"/>
      <c r="E663" s="248"/>
      <c r="F663" s="248"/>
      <c r="G663" s="199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5"/>
      <c r="E666" s="248"/>
      <c r="F666" s="248"/>
      <c r="G666" s="261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4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5"/>
      <c r="E682" s="248"/>
      <c r="F682" s="248"/>
      <c r="G682" s="201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55"/>
      <c r="D686" s="247"/>
      <c r="E686" s="248"/>
      <c r="F686" s="248"/>
      <c r="G686" s="199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55"/>
      <c r="D687" s="247"/>
      <c r="E687" s="248"/>
      <c r="F687" s="248"/>
      <c r="G687" s="199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55"/>
      <c r="D689" s="247"/>
      <c r="E689" s="248"/>
      <c r="F689" s="248"/>
      <c r="G689" s="199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4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55"/>
      <c r="D721" s="247"/>
      <c r="E721" s="248"/>
      <c r="F721" s="248"/>
      <c r="G721" s="199"/>
      <c r="H721" s="202"/>
      <c r="I721" s="223"/>
      <c r="J721" s="345"/>
      <c r="K721" s="266"/>
      <c r="L721" s="252"/>
      <c r="M721" s="253"/>
      <c r="N721" s="273"/>
    </row>
    <row r="722" spans="2:14" x14ac:dyDescent="0.2">
      <c r="B722" s="245"/>
      <c r="C722" s="255"/>
      <c r="D722" s="245"/>
      <c r="E722" s="248"/>
      <c r="F722" s="248"/>
      <c r="G722" s="201"/>
      <c r="H722" s="202"/>
      <c r="I722" s="223"/>
      <c r="J722" s="345"/>
      <c r="K722" s="266"/>
      <c r="L722" s="252"/>
      <c r="M722" s="253"/>
      <c r="N722" s="203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03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4"/>
      <c r="L734" s="252"/>
      <c r="M734" s="253"/>
      <c r="N734" s="203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5"/>
      <c r="E741" s="248"/>
      <c r="F741" s="248"/>
      <c r="G741" s="26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5"/>
      <c r="E746" s="248"/>
      <c r="F746" s="248"/>
      <c r="G746" s="261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55"/>
      <c r="D747" s="245"/>
      <c r="E747" s="248"/>
      <c r="F747" s="248"/>
      <c r="G747" s="201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55"/>
      <c r="D759" s="247"/>
      <c r="E759" s="248"/>
      <c r="F759" s="248"/>
      <c r="G759" s="254"/>
      <c r="H759" s="202"/>
      <c r="I759" s="223"/>
      <c r="J759" s="345"/>
      <c r="K759" s="264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7"/>
      <c r="E766" s="248"/>
      <c r="F766" s="248"/>
      <c r="G766" s="199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7"/>
      <c r="E767" s="248"/>
      <c r="F767" s="248"/>
      <c r="G767" s="199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55"/>
      <c r="D772" s="247"/>
      <c r="E772" s="248"/>
      <c r="F772" s="248"/>
      <c r="G772" s="199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55"/>
      <c r="D773" s="247"/>
      <c r="E773" s="248"/>
      <c r="F773" s="248"/>
      <c r="G773" s="199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4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5"/>
      <c r="E786" s="248"/>
      <c r="F786" s="248"/>
      <c r="G786" s="261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5"/>
      <c r="E789" s="248"/>
      <c r="F789" s="248"/>
      <c r="G789" s="261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55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199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5"/>
      <c r="E818" s="248"/>
      <c r="F818" s="248"/>
      <c r="G818" s="261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4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5"/>
      <c r="E827" s="248"/>
      <c r="F827" s="248"/>
      <c r="G827" s="261"/>
      <c r="H827" s="202"/>
      <c r="I827" s="223"/>
      <c r="J827" s="345"/>
      <c r="K827" s="264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7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2">
      <c r="B837" s="245"/>
      <c r="C837" s="255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55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55"/>
      <c r="D849" s="247"/>
      <c r="E849" s="248"/>
      <c r="F849" s="248"/>
      <c r="G849" s="199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55"/>
      <c r="D850" s="247"/>
      <c r="E850" s="248"/>
      <c r="F850" s="248"/>
      <c r="G850" s="199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199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55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74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5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254"/>
      <c r="H883" s="202"/>
      <c r="I883" s="223"/>
      <c r="J883" s="345"/>
      <c r="K883" s="267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199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55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199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199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46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55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199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199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199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199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199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199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199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5"/>
      <c r="E995" s="248"/>
      <c r="F995" s="248"/>
      <c r="G995" s="261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5"/>
      <c r="E996" s="248"/>
      <c r="F996" s="248"/>
      <c r="G996" s="261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01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4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01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5"/>
      <c r="E1029" s="248"/>
      <c r="F1029" s="248"/>
      <c r="G1029" s="261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5"/>
      <c r="E1042" s="248"/>
      <c r="F1042" s="248"/>
      <c r="G1042" s="261"/>
      <c r="H1042" s="202"/>
      <c r="I1042" s="223"/>
      <c r="J1042" s="345"/>
      <c r="K1042" s="264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03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199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5"/>
      <c r="E1070" s="275"/>
      <c r="F1070" s="275"/>
      <c r="G1070" s="205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199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5"/>
      <c r="E1078" s="248"/>
      <c r="F1078" s="248"/>
      <c r="G1078" s="205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199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199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03"/>
      <c r="M1099" s="253"/>
      <c r="N1099" s="203"/>
    </row>
    <row r="1100" spans="2:14" x14ac:dyDescent="0.2">
      <c r="B1100" s="245"/>
      <c r="C1100" s="255"/>
      <c r="D1100" s="245"/>
      <c r="E1100" s="248"/>
      <c r="F1100" s="248"/>
      <c r="G1100" s="205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199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5"/>
      <c r="E1109" s="248"/>
      <c r="F1109" s="248"/>
      <c r="G1109" s="206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76"/>
      <c r="D1120" s="276"/>
      <c r="E1120" s="248"/>
      <c r="F1120" s="277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5"/>
      <c r="E1122" s="248"/>
      <c r="F1122" s="248"/>
      <c r="G1122" s="201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4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74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61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74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199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61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4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4"/>
    </row>
    <row r="1139" spans="2:14" x14ac:dyDescent="0.2">
      <c r="B1139" s="245"/>
      <c r="C1139" s="255"/>
      <c r="D1139" s="247"/>
      <c r="E1139" s="248"/>
      <c r="F1139" s="248"/>
      <c r="G1139" s="199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5"/>
      <c r="E1144" s="275"/>
      <c r="F1144" s="275"/>
      <c r="G1144" s="205"/>
      <c r="H1144" s="202"/>
      <c r="I1144" s="223"/>
      <c r="J1144" s="345"/>
      <c r="K1144" s="274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199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199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74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5"/>
      <c r="E1171" s="248"/>
      <c r="F1171" s="248"/>
      <c r="G1171" s="261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74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78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78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78"/>
      <c r="L1182" s="252"/>
      <c r="M1182" s="253"/>
      <c r="N1182" s="204"/>
    </row>
    <row r="1183" spans="2:14" x14ac:dyDescent="0.2">
      <c r="B1183" s="245"/>
      <c r="C1183" s="255"/>
      <c r="D1183" s="245"/>
      <c r="E1183" s="275"/>
      <c r="F1183" s="275"/>
      <c r="G1183" s="205"/>
      <c r="H1183" s="202"/>
      <c r="I1183" s="223"/>
      <c r="J1183" s="345"/>
      <c r="K1183" s="279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9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05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01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5"/>
      <c r="E1197" s="248"/>
      <c r="F1197" s="248"/>
      <c r="G1197" s="206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5"/>
      <c r="E1199" s="275"/>
      <c r="F1199" s="275"/>
      <c r="G1199" s="205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03"/>
      <c r="M1213" s="253"/>
      <c r="N1213" s="204"/>
    </row>
    <row r="1214" spans="2:14" x14ac:dyDescent="0.2">
      <c r="B1214" s="245"/>
      <c r="C1214" s="280"/>
      <c r="D1214" s="281"/>
      <c r="E1214" s="275"/>
      <c r="F1214" s="275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199"/>
      <c r="H1216" s="202"/>
      <c r="I1216" s="223"/>
      <c r="J1216" s="345"/>
      <c r="K1216" s="279"/>
      <c r="L1216" s="203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7"/>
      <c r="I1219" s="221"/>
      <c r="J1219" s="342"/>
      <c r="K1219" s="279"/>
      <c r="L1219" s="252"/>
      <c r="M1219" s="253"/>
      <c r="N1219" s="208"/>
    </row>
    <row r="1220" spans="2:14" x14ac:dyDescent="0.2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2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46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76"/>
      <c r="D1224" s="276"/>
      <c r="E1224" s="277"/>
      <c r="F1224" s="277"/>
      <c r="G1224" s="209"/>
      <c r="H1224" s="207"/>
      <c r="I1224" s="221"/>
      <c r="J1224" s="342"/>
      <c r="K1224" s="282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5"/>
      <c r="E1228" s="248"/>
      <c r="F1228" s="248"/>
      <c r="G1228" s="261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46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55"/>
      <c r="D1233" s="247"/>
      <c r="E1233" s="248"/>
      <c r="F1233" s="248"/>
      <c r="G1233" s="205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46"/>
      <c r="D1234" s="247"/>
      <c r="E1234" s="248"/>
      <c r="F1234" s="248"/>
      <c r="G1234" s="261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10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61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46"/>
      <c r="D1238" s="247"/>
      <c r="E1238" s="248"/>
      <c r="F1238" s="248"/>
      <c r="G1238" s="261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ht="15" x14ac:dyDescent="0.25">
      <c r="B1240" s="30"/>
      <c r="C1240" s="283"/>
      <c r="D1240" s="109"/>
      <c r="E1240" s="68"/>
      <c r="F1240" s="68"/>
      <c r="G1240" s="284"/>
      <c r="H1240" s="211"/>
      <c r="I1240" s="224"/>
      <c r="J1240" s="347"/>
      <c r="K1240" s="69"/>
      <c r="L1240" s="285"/>
      <c r="M1240" s="116"/>
      <c r="N1240" s="212"/>
    </row>
    <row r="1241" spans="2:14" ht="15" x14ac:dyDescent="0.25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ht="15" x14ac:dyDescent="0.25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7"/>
      <c r="C1243" s="78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7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7"/>
      <c r="C1245" s="78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283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x14ac:dyDescent="0.2">
      <c r="B1247" s="37"/>
      <c r="C1247" s="286"/>
      <c r="D1247" s="37"/>
      <c r="E1247" s="60"/>
      <c r="F1247" s="60"/>
      <c r="G1247" s="213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78"/>
      <c r="D1248" s="109"/>
      <c r="E1248" s="68"/>
      <c r="F1248" s="68"/>
      <c r="G1248" s="214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283"/>
      <c r="D1249" s="109"/>
      <c r="E1249" s="68"/>
      <c r="F1249" s="68"/>
      <c r="G1249" s="284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7"/>
      <c r="C1250" s="283"/>
      <c r="D1250" s="109"/>
      <c r="E1250" s="68"/>
      <c r="F1250" s="68"/>
      <c r="G1250" s="284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7"/>
      <c r="C1251" s="66"/>
      <c r="D1251" s="287"/>
      <c r="E1251" s="68"/>
      <c r="F1251" s="68"/>
      <c r="G1251" s="214"/>
      <c r="H1251" s="211"/>
      <c r="I1251" s="224"/>
      <c r="J1251" s="347"/>
      <c r="K1251" s="69"/>
      <c r="L1251" s="285"/>
      <c r="M1251" s="116"/>
      <c r="N1251" s="212"/>
    </row>
    <row r="1252" spans="2:14" ht="15" x14ac:dyDescent="0.25">
      <c r="B1252" s="30"/>
      <c r="C1252" s="283"/>
      <c r="D1252" s="109"/>
      <c r="E1252" s="68"/>
      <c r="F1252" s="68"/>
      <c r="G1252" s="288"/>
      <c r="H1252" s="215"/>
      <c r="I1252" s="224"/>
      <c r="J1252" s="347"/>
      <c r="K1252" s="69"/>
      <c r="L1252" s="285"/>
      <c r="M1252" s="116"/>
      <c r="N1252" s="212"/>
    </row>
    <row r="1253" spans="2:14" ht="15" x14ac:dyDescent="0.25">
      <c r="B1253" s="30"/>
      <c r="C1253" s="283"/>
      <c r="D1253" s="109"/>
      <c r="E1253" s="68"/>
      <c r="F1253" s="68"/>
      <c r="G1253" s="284"/>
      <c r="H1253" s="215"/>
      <c r="I1253" s="224"/>
      <c r="J1253" s="347"/>
      <c r="K1253" s="69"/>
      <c r="L1253" s="285"/>
      <c r="M1253" s="116"/>
      <c r="N1253" s="212"/>
    </row>
    <row r="1254" spans="2:14" ht="15" x14ac:dyDescent="0.25">
      <c r="B1254" s="30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65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65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78"/>
      <c r="D1257" s="109"/>
      <c r="E1257" s="68"/>
      <c r="F1257" s="68"/>
      <c r="G1257" s="21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78"/>
      <c r="D1263" s="109"/>
      <c r="E1263" s="68"/>
      <c r="F1263" s="68"/>
      <c r="G1263" s="21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78"/>
      <c r="D1264" s="109"/>
      <c r="E1264" s="68"/>
      <c r="F1264" s="68"/>
      <c r="G1264" s="21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30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16"/>
      <c r="M1268" s="116"/>
      <c r="N1268" s="212"/>
    </row>
    <row r="1269" spans="2:14" ht="15" x14ac:dyDescent="0.25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65"/>
      <c r="C1270" s="78"/>
      <c r="D1270" s="109"/>
      <c r="E1270" s="68"/>
      <c r="F1270" s="68"/>
      <c r="G1270" s="21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16"/>
      <c r="M1271" s="116"/>
      <c r="N1271" s="212"/>
    </row>
    <row r="1272" spans="2:14" ht="15" x14ac:dyDescent="0.25">
      <c r="B1272" s="65"/>
      <c r="C1272" s="78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16"/>
      <c r="M1276" s="116"/>
      <c r="N1276" s="212"/>
    </row>
    <row r="1277" spans="2:14" ht="15" x14ac:dyDescent="0.25">
      <c r="B1277" s="65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78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30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16"/>
      <c r="M1280" s="116"/>
      <c r="N1280" s="212"/>
    </row>
    <row r="1281" spans="2:14" ht="15" x14ac:dyDescent="0.25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9"/>
      <c r="D1285" s="290"/>
      <c r="E1285" s="291"/>
      <c r="F1285" s="291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x14ac:dyDescent="0.2">
      <c r="B1289" s="30"/>
      <c r="C1289" s="78"/>
      <c r="D1289" s="109"/>
      <c r="E1289" s="68"/>
      <c r="F1289" s="68"/>
      <c r="G1289" s="288"/>
      <c r="H1289" s="211"/>
      <c r="I1289" s="224"/>
      <c r="J1289" s="347"/>
      <c r="K1289" s="80"/>
      <c r="L1289" s="285"/>
      <c r="M1289" s="116"/>
      <c r="N1289" s="212"/>
    </row>
    <row r="1290" spans="2:14" ht="15" x14ac:dyDescent="0.25">
      <c r="B1290" s="30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65"/>
      <c r="C1308" s="78"/>
      <c r="D1308" s="109"/>
      <c r="E1308" s="68"/>
      <c r="F1308" s="68"/>
      <c r="G1308" s="21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292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1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1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93"/>
      <c r="J1327" s="348"/>
      <c r="K1327" s="69"/>
      <c r="L1327" s="285"/>
      <c r="M1327" s="116"/>
      <c r="N1327" s="212"/>
    </row>
    <row r="1328" spans="2:14" ht="15" x14ac:dyDescent="0.25">
      <c r="B1328" s="292"/>
      <c r="C1328" s="78"/>
      <c r="D1328" s="109"/>
      <c r="E1328" s="68"/>
      <c r="F1328" s="68"/>
      <c r="G1328" s="214"/>
      <c r="H1328" s="215"/>
      <c r="I1328" s="293"/>
      <c r="J1328" s="348"/>
      <c r="K1328" s="69"/>
      <c r="L1328" s="285"/>
      <c r="M1328" s="116"/>
      <c r="N1328" s="212"/>
    </row>
    <row r="1329" spans="2:14" ht="15" x14ac:dyDescent="0.25">
      <c r="B1329" s="292"/>
      <c r="C1329" s="78"/>
      <c r="D1329" s="109"/>
      <c r="E1329" s="68"/>
      <c r="F1329" s="68"/>
      <c r="G1329" s="284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1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8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8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4"/>
      <c r="H1333" s="215"/>
      <c r="I1333" s="293"/>
      <c r="J1333" s="348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13"/>
      <c r="H1334" s="215"/>
      <c r="I1334" s="293"/>
      <c r="J1334" s="348"/>
      <c r="K1334" s="69"/>
      <c r="L1334" s="285"/>
      <c r="M1334" s="116"/>
      <c r="N1334" s="212"/>
    </row>
    <row r="1335" spans="2:14" x14ac:dyDescent="0.2">
      <c r="B1335" s="292"/>
      <c r="C1335" s="78"/>
      <c r="D1335" s="109"/>
      <c r="E1335" s="68"/>
      <c r="F1335" s="68"/>
      <c r="G1335" s="288"/>
      <c r="H1335" s="211"/>
      <c r="I1335" s="224"/>
      <c r="J1335" s="347"/>
      <c r="K1335" s="80"/>
      <c r="L1335" s="216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8"/>
      <c r="H1336" s="215"/>
      <c r="I1336" s="293"/>
      <c r="J1336" s="348"/>
      <c r="K1336" s="69"/>
      <c r="L1336" s="285"/>
      <c r="M1336" s="116"/>
      <c r="N1336" s="212"/>
    </row>
    <row r="1337" spans="2:14" ht="15" x14ac:dyDescent="0.25">
      <c r="B1337" s="65"/>
      <c r="C1337" s="289"/>
      <c r="D1337" s="290"/>
      <c r="E1337" s="294"/>
      <c r="F1337" s="295"/>
      <c r="G1337" s="296"/>
      <c r="H1337" s="215"/>
      <c r="I1337" s="293"/>
      <c r="J1337" s="348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77"/>
      <c r="G1338" s="284"/>
      <c r="H1338" s="215"/>
      <c r="I1338" s="293"/>
      <c r="J1338" s="348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77"/>
      <c r="G1339" s="284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292"/>
      <c r="C1340" s="78"/>
      <c r="D1340" s="109"/>
      <c r="E1340" s="297"/>
      <c r="F1340" s="298"/>
      <c r="G1340" s="299"/>
      <c r="H1340" s="300"/>
      <c r="I1340" s="301"/>
      <c r="J1340" s="349"/>
      <c r="K1340" s="69"/>
      <c r="L1340" s="285"/>
      <c r="M1340" s="116"/>
      <c r="N1340" s="212"/>
    </row>
    <row r="1341" spans="2:14" ht="15" x14ac:dyDescent="0.25">
      <c r="B1341" s="292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292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ht="15" x14ac:dyDescent="0.25">
      <c r="B1343" s="292"/>
      <c r="C1343" s="78"/>
      <c r="D1343" s="109"/>
      <c r="E1343" s="68"/>
      <c r="F1343" s="77"/>
      <c r="G1343" s="214"/>
      <c r="H1343" s="215"/>
      <c r="I1343" s="293"/>
      <c r="J1343" s="348"/>
      <c r="K1343" s="69"/>
      <c r="L1343" s="216"/>
      <c r="M1343" s="116"/>
      <c r="N1343" s="212"/>
    </row>
    <row r="1344" spans="2:14" ht="15" x14ac:dyDescent="0.25">
      <c r="B1344" s="292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77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65"/>
      <c r="C1346" s="289"/>
      <c r="D1346" s="290"/>
      <c r="E1346" s="291"/>
      <c r="F1346" s="284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66"/>
      <c r="D1347" s="109"/>
      <c r="E1347" s="68"/>
      <c r="F1347" s="77"/>
      <c r="G1347" s="296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78"/>
      <c r="D1349" s="109"/>
      <c r="E1349" s="68"/>
      <c r="F1349" s="77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65"/>
      <c r="C1350" s="78"/>
      <c r="D1350" s="109"/>
      <c r="E1350" s="68"/>
      <c r="F1350" s="77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66"/>
      <c r="D1355" s="109"/>
      <c r="E1355" s="68"/>
      <c r="F1355" s="77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1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1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8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91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91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1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68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14"/>
      <c r="H1368" s="215"/>
      <c r="I1368" s="293"/>
      <c r="J1368" s="348"/>
      <c r="K1368" s="69"/>
      <c r="L1368" s="285"/>
      <c r="M1368" s="116"/>
      <c r="N1368" s="212"/>
    </row>
    <row r="1369" spans="2:14" x14ac:dyDescent="0.2">
      <c r="B1369" s="65"/>
      <c r="C1369" s="78"/>
      <c r="D1369" s="109"/>
      <c r="E1369" s="68"/>
      <c r="F1369" s="77"/>
      <c r="G1369" s="302"/>
      <c r="H1369" s="211"/>
      <c r="I1369" s="224"/>
      <c r="J1369" s="347"/>
      <c r="K1369" s="80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66"/>
      <c r="D1371" s="109"/>
      <c r="E1371" s="68"/>
      <c r="F1371" s="77"/>
      <c r="G1371" s="296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65"/>
      <c r="C1375" s="66"/>
      <c r="D1375" s="109"/>
      <c r="E1375" s="68"/>
      <c r="F1375" s="77"/>
      <c r="G1375" s="296"/>
      <c r="H1375" s="303"/>
      <c r="I1375" s="225"/>
      <c r="J1375" s="350"/>
      <c r="K1375" s="69"/>
      <c r="L1375" s="285"/>
      <c r="M1375" s="116"/>
      <c r="N1375" s="212"/>
    </row>
    <row r="1376" spans="2:14" ht="15" x14ac:dyDescent="0.25">
      <c r="B1376" s="65"/>
      <c r="C1376" s="289"/>
      <c r="D1376" s="290"/>
      <c r="E1376" s="291"/>
      <c r="F1376" s="304"/>
      <c r="G1376" s="284"/>
      <c r="H1376" s="303"/>
      <c r="I1376" s="225"/>
      <c r="J1376" s="350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91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91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68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78"/>
      <c r="D1395" s="109"/>
      <c r="E1395" s="68"/>
      <c r="F1395" s="77"/>
      <c r="G1395" s="21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78"/>
      <c r="D1396" s="109"/>
      <c r="E1396" s="68"/>
      <c r="F1396" s="77"/>
      <c r="G1396" s="21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68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68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68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78"/>
      <c r="D1410" s="109"/>
      <c r="E1410" s="68"/>
      <c r="F1410" s="77"/>
      <c r="G1410" s="21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23"/>
      <c r="D1414" s="37"/>
      <c r="E1414" s="60"/>
      <c r="F1414" s="26"/>
      <c r="G1414" s="2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305"/>
      <c r="H1416" s="215"/>
      <c r="I1416" s="293"/>
      <c r="J1416" s="348"/>
      <c r="K1416" s="69"/>
      <c r="L1416" s="216"/>
      <c r="M1416" s="116"/>
      <c r="N1416" s="212"/>
    </row>
    <row r="1417" spans="2:14" ht="15" x14ac:dyDescent="0.25">
      <c r="B1417" s="91"/>
      <c r="C1417" s="78"/>
      <c r="D1417" s="109"/>
      <c r="E1417" s="68"/>
      <c r="F1417" s="77"/>
      <c r="G1417" s="302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78"/>
      <c r="D1420" s="109"/>
      <c r="E1420" s="68"/>
      <c r="F1420" s="77"/>
      <c r="G1420" s="214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78"/>
      <c r="D1421" s="109"/>
      <c r="E1421" s="68"/>
      <c r="F1421" s="77"/>
      <c r="G1421" s="214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23"/>
      <c r="D1424" s="37"/>
      <c r="E1424" s="60"/>
      <c r="F1424" s="26"/>
      <c r="G1424" s="104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23"/>
      <c r="D1427" s="290"/>
      <c r="E1427" s="291"/>
      <c r="F1427" s="304"/>
      <c r="G1427" s="28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80"/>
      <c r="L1430" s="285"/>
      <c r="M1430" s="116"/>
      <c r="N1430" s="212"/>
    </row>
    <row r="1431" spans="2:14" ht="15" x14ac:dyDescent="0.25">
      <c r="B1431" s="91"/>
      <c r="C1431" s="23"/>
      <c r="D1431" s="37"/>
      <c r="E1431" s="60"/>
      <c r="F1431" s="26"/>
      <c r="G1431" s="10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27"/>
      <c r="L1432" s="285"/>
      <c r="M1432" s="116"/>
      <c r="N1432" s="212"/>
    </row>
    <row r="1433" spans="2:14" ht="15" x14ac:dyDescent="0.25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214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290"/>
      <c r="L1439" s="285"/>
      <c r="M1439" s="116"/>
      <c r="N1439" s="212"/>
    </row>
    <row r="1440" spans="2:14" ht="15" x14ac:dyDescent="0.25">
      <c r="B1440" s="65"/>
      <c r="C1440" s="66"/>
      <c r="D1440" s="109"/>
      <c r="E1440" s="68"/>
      <c r="F1440" s="77"/>
      <c r="G1440" s="10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286"/>
      <c r="D1442" s="286"/>
      <c r="E1442" s="306"/>
      <c r="F1442" s="307"/>
      <c r="G1442" s="307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78"/>
      <c r="D1443" s="109"/>
      <c r="E1443" s="68"/>
      <c r="F1443" s="77"/>
      <c r="G1443" s="214"/>
      <c r="H1443" s="215"/>
      <c r="I1443" s="293"/>
      <c r="J1443" s="348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78"/>
      <c r="D1452" s="109"/>
      <c r="E1452" s="68"/>
      <c r="F1452" s="77"/>
      <c r="G1452" s="308"/>
      <c r="H1452" s="215"/>
      <c r="I1452" s="293"/>
      <c r="J1452" s="348"/>
      <c r="K1452" s="69"/>
      <c r="L1452" s="216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309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309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104"/>
      <c r="H1455" s="121"/>
      <c r="I1455" s="107"/>
      <c r="J1455" s="351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104"/>
      <c r="H1456" s="121"/>
      <c r="I1456" s="107"/>
      <c r="J1456" s="351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310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91"/>
      <c r="C1461" s="78"/>
      <c r="D1461" s="109"/>
      <c r="E1461" s="68"/>
      <c r="F1461" s="77"/>
      <c r="G1461" s="311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91"/>
      <c r="C1462" s="66"/>
      <c r="D1462" s="109"/>
      <c r="E1462" s="68"/>
      <c r="F1462" s="77"/>
      <c r="G1462" s="104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66"/>
      <c r="D1463" s="109"/>
      <c r="E1463" s="68"/>
      <c r="F1463" s="68"/>
      <c r="G1463" s="104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296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65"/>
      <c r="C1468" s="78"/>
      <c r="D1468" s="109"/>
      <c r="E1468" s="68"/>
      <c r="F1468" s="77"/>
      <c r="G1468" s="311"/>
      <c r="H1468" s="312"/>
      <c r="I1468" s="313"/>
      <c r="J1468" s="352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91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91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91"/>
      <c r="C1474" s="78"/>
      <c r="D1474" s="109"/>
      <c r="E1474" s="68"/>
      <c r="F1474" s="77"/>
      <c r="G1474" s="311"/>
      <c r="H1474" s="312"/>
      <c r="I1474" s="313"/>
      <c r="J1474" s="352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78"/>
      <c r="D1480" s="109"/>
      <c r="E1480" s="68"/>
      <c r="F1480" s="77"/>
      <c r="G1480" s="311"/>
      <c r="H1480" s="312"/>
      <c r="I1480" s="313"/>
      <c r="J1480" s="352"/>
      <c r="K1480" s="69"/>
      <c r="L1480" s="216"/>
      <c r="M1480" s="116"/>
      <c r="N1480" s="212"/>
    </row>
    <row r="1481" spans="2:14" ht="15.75" x14ac:dyDescent="0.25">
      <c r="B1481" s="314"/>
      <c r="C1481" s="78"/>
      <c r="D1481" s="109"/>
      <c r="E1481" s="68"/>
      <c r="F1481" s="77"/>
      <c r="G1481" s="311"/>
      <c r="H1481" s="312"/>
      <c r="I1481" s="313"/>
      <c r="J1481" s="352"/>
      <c r="K1481" s="69"/>
      <c r="L1481" s="216"/>
      <c r="M1481" s="116"/>
      <c r="N1481" s="212"/>
    </row>
    <row r="1482" spans="2:14" ht="15.75" x14ac:dyDescent="0.25">
      <c r="B1482" s="315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126"/>
      <c r="M1482" s="116"/>
      <c r="N1482" s="217"/>
    </row>
    <row r="1483" spans="2:14" ht="15.75" x14ac:dyDescent="0.25">
      <c r="B1483" s="315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126"/>
      <c r="M1483" s="116"/>
      <c r="N1483" s="217"/>
    </row>
    <row r="1484" spans="2:14" ht="15.75" x14ac:dyDescent="0.25">
      <c r="B1484" s="314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16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126"/>
      <c r="M1485" s="116"/>
      <c r="N1485" s="217"/>
    </row>
    <row r="1486" spans="2:14" ht="15" x14ac:dyDescent="0.25">
      <c r="B1486" s="91"/>
      <c r="C1486" s="316"/>
      <c r="D1486" s="65"/>
      <c r="E1486" s="68"/>
      <c r="F1486" s="117"/>
      <c r="G1486" s="117"/>
      <c r="H1486" s="121"/>
      <c r="I1486" s="107"/>
      <c r="J1486" s="351"/>
      <c r="K1486" s="69"/>
      <c r="L1486" s="126"/>
      <c r="M1486" s="116"/>
      <c r="N1486" s="217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78"/>
      <c r="D1492" s="109"/>
      <c r="E1492" s="68"/>
      <c r="F1492" s="77"/>
      <c r="G1492" s="311"/>
      <c r="H1492" s="312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126"/>
      <c r="M1495" s="116"/>
      <c r="N1495" s="212"/>
    </row>
    <row r="1496" spans="2:14" ht="15" x14ac:dyDescent="0.25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16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" x14ac:dyDescent="0.25">
      <c r="B1498" s="6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16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3"/>
      <c r="I1507" s="107"/>
      <c r="J1507" s="351"/>
      <c r="K1507" s="69"/>
      <c r="L1507" s="126"/>
      <c r="M1507" s="116"/>
      <c r="N1507" s="217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80"/>
      <c r="L1508" s="126"/>
      <c r="M1508" s="117"/>
      <c r="N1508" s="217"/>
    </row>
    <row r="1509" spans="2:14" ht="15" x14ac:dyDescent="0.25">
      <c r="B1509" s="37"/>
      <c r="C1509" s="66"/>
      <c r="D1509" s="109"/>
      <c r="E1509" s="68"/>
      <c r="F1509" s="77"/>
      <c r="G1509" s="104"/>
      <c r="H1509" s="123"/>
      <c r="I1509" s="107"/>
      <c r="J1509" s="351"/>
      <c r="K1509" s="80"/>
      <c r="L1509" s="126"/>
      <c r="M1509" s="116"/>
      <c r="N1509" s="217"/>
    </row>
    <row r="1510" spans="2:14" ht="15" x14ac:dyDescent="0.25">
      <c r="B1510" s="37"/>
      <c r="C1510" s="66"/>
      <c r="D1510" s="109"/>
      <c r="E1510" s="68"/>
      <c r="F1510" s="68"/>
      <c r="G1510" s="104"/>
      <c r="H1510" s="121"/>
      <c r="I1510" s="107"/>
      <c r="J1510" s="351"/>
      <c r="K1510" s="69"/>
      <c r="L1510" s="126"/>
      <c r="M1510" s="116"/>
      <c r="N1510" s="217"/>
    </row>
    <row r="1511" spans="2:14" ht="15" x14ac:dyDescent="0.25">
      <c r="B1511" s="37"/>
      <c r="C1511" s="316"/>
      <c r="D1511" s="65"/>
      <c r="E1511" s="68"/>
      <c r="F1511" s="117"/>
      <c r="G1511" s="117"/>
      <c r="H1511" s="121"/>
      <c r="I1511" s="107"/>
      <c r="J1511" s="351"/>
      <c r="K1511" s="69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91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91"/>
      <c r="C1523" s="78"/>
      <c r="D1523" s="109"/>
      <c r="E1523" s="68"/>
      <c r="F1523" s="77"/>
      <c r="G1523" s="311"/>
      <c r="H1523" s="312"/>
      <c r="I1523" s="107"/>
      <c r="J1523" s="351"/>
      <c r="K1523" s="69"/>
      <c r="L1523" s="126"/>
      <c r="M1523" s="116"/>
      <c r="N1523" s="217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65"/>
      <c r="C1533" s="78"/>
      <c r="D1533" s="109"/>
      <c r="E1533" s="68"/>
      <c r="F1533" s="77"/>
      <c r="G1533" s="311"/>
      <c r="H1533" s="312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68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123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x14ac:dyDescent="0.2">
      <c r="B1543" s="91"/>
      <c r="C1543" s="66"/>
      <c r="D1543" s="109"/>
      <c r="E1543" s="68"/>
      <c r="F1543" s="77"/>
      <c r="G1543" s="104"/>
      <c r="H1543" s="121"/>
      <c r="I1543" s="129"/>
      <c r="J1543" s="353"/>
      <c r="K1543" s="80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317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317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313"/>
      <c r="J1551" s="352"/>
      <c r="K1551" s="69"/>
      <c r="L1551" s="21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ht="15" x14ac:dyDescent="0.25">
      <c r="B1555" s="91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79"/>
      <c r="L1556" s="126"/>
      <c r="M1556" s="115"/>
      <c r="N1556" s="217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79"/>
      <c r="L1559" s="126"/>
      <c r="M1559" s="115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3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0"/>
      <c r="M1574" s="116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68"/>
      <c r="G1577" s="104"/>
      <c r="H1577" s="121"/>
      <c r="I1577" s="107"/>
      <c r="J1577" s="351"/>
      <c r="K1577" s="69"/>
      <c r="L1577" s="120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3"/>
      <c r="I1578" s="107"/>
      <c r="J1578" s="351"/>
      <c r="K1578" s="69"/>
      <c r="L1578" s="120"/>
      <c r="M1578" s="116"/>
      <c r="N1578" s="218"/>
    </row>
    <row r="1579" spans="2:14" ht="15" x14ac:dyDescent="0.25">
      <c r="B1579" s="65"/>
      <c r="C1579" s="78"/>
      <c r="D1579" s="109"/>
      <c r="E1579" s="68"/>
      <c r="F1579" s="77"/>
      <c r="G1579" s="311"/>
      <c r="H1579" s="312"/>
      <c r="I1579" s="313"/>
      <c r="J1579" s="352"/>
      <c r="K1579" s="69"/>
      <c r="L1579" s="318"/>
      <c r="M1579" s="116"/>
      <c r="N1579" s="318"/>
    </row>
    <row r="1580" spans="2:14" ht="15" x14ac:dyDescent="0.25">
      <c r="B1580" s="91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0"/>
      <c r="M1580" s="116"/>
      <c r="N1580" s="218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318"/>
      <c r="M1581" s="116"/>
      <c r="N1581" s="318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118"/>
      <c r="M1582" s="116"/>
      <c r="N1582" s="3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ht="15" x14ac:dyDescent="0.25">
      <c r="B1587" s="65"/>
      <c r="C1587" s="66"/>
      <c r="D1587" s="109"/>
      <c r="E1587" s="68"/>
      <c r="F1587" s="68"/>
      <c r="G1587" s="104"/>
      <c r="H1587" s="121"/>
      <c r="I1587" s="107"/>
      <c r="J1587" s="351"/>
      <c r="K1587" s="69"/>
      <c r="L1587" s="120"/>
      <c r="M1587" s="116"/>
      <c r="N1587" s="218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120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3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104"/>
      <c r="H1592" s="123"/>
      <c r="I1592" s="107"/>
      <c r="J1592" s="351"/>
      <c r="K1592" s="69"/>
      <c r="L1592" s="120"/>
      <c r="M1592" s="116"/>
      <c r="N1592" s="218"/>
    </row>
    <row r="1593" spans="2:14" ht="15" x14ac:dyDescent="0.25">
      <c r="B1593" s="65"/>
      <c r="C1593" s="66"/>
      <c r="D1593" s="109"/>
      <c r="E1593" s="68"/>
      <c r="F1593" s="77"/>
      <c r="G1593" s="311"/>
      <c r="H1593" s="123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3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20"/>
      <c r="M1602" s="116"/>
      <c r="N1602" s="218"/>
    </row>
    <row r="1603" spans="2:14" ht="15" x14ac:dyDescent="0.25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318"/>
      <c r="M1603" s="116"/>
      <c r="N1603" s="318"/>
    </row>
    <row r="1604" spans="2:14" ht="15" x14ac:dyDescent="0.25">
      <c r="B1604" s="91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318"/>
      <c r="M1607" s="116"/>
      <c r="N1607" s="3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18"/>
      <c r="M1608" s="116"/>
      <c r="N1608" s="3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18"/>
      <c r="M1609" s="116"/>
      <c r="N1609" s="318"/>
    </row>
    <row r="1610" spans="2:14" ht="15" x14ac:dyDescent="0.25">
      <c r="B1610" s="65"/>
      <c r="C1610" s="78"/>
      <c r="D1610" s="109"/>
      <c r="E1610" s="68"/>
      <c r="F1610" s="77"/>
      <c r="G1610" s="311"/>
      <c r="H1610" s="312"/>
      <c r="I1610" s="313"/>
      <c r="J1610" s="352"/>
      <c r="K1610" s="69"/>
      <c r="L1610" s="318"/>
      <c r="M1610" s="116"/>
      <c r="N1610" s="318"/>
    </row>
    <row r="1611" spans="2:14" ht="15" x14ac:dyDescent="0.25">
      <c r="B1611" s="65"/>
      <c r="C1611" s="78"/>
      <c r="D1611" s="109"/>
      <c r="E1611" s="68"/>
      <c r="F1611" s="77"/>
      <c r="G1611" s="311"/>
      <c r="H1611" s="312"/>
      <c r="I1611" s="313"/>
      <c r="J1611" s="352"/>
      <c r="K1611" s="69"/>
      <c r="L1611" s="318"/>
      <c r="M1611" s="116"/>
      <c r="N1611" s="319"/>
    </row>
    <row r="1612" spans="2:14" ht="15" x14ac:dyDescent="0.25">
      <c r="B1612" s="91"/>
      <c r="C1612" s="66"/>
      <c r="D1612" s="109"/>
      <c r="E1612" s="68"/>
      <c r="F1612" s="68"/>
      <c r="G1612" s="104"/>
      <c r="H1612" s="123"/>
      <c r="I1612" s="107"/>
      <c r="J1612" s="351"/>
      <c r="K1612" s="69"/>
      <c r="L1612" s="120"/>
      <c r="M1612" s="116"/>
      <c r="N1612" s="319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319"/>
    </row>
    <row r="1614" spans="2:14" ht="15" x14ac:dyDescent="0.25">
      <c r="B1614" s="91"/>
      <c r="C1614" s="78"/>
      <c r="D1614" s="109"/>
      <c r="E1614" s="68"/>
      <c r="F1614" s="77"/>
      <c r="G1614" s="311"/>
      <c r="H1614" s="123"/>
      <c r="I1614" s="107"/>
      <c r="J1614" s="351"/>
      <c r="K1614" s="69"/>
      <c r="L1614" s="120"/>
      <c r="M1614" s="116"/>
      <c r="N1614" s="319"/>
    </row>
    <row r="1615" spans="2:14" ht="15" x14ac:dyDescent="0.25">
      <c r="B1615" s="65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318"/>
      <c r="M1615" s="116"/>
      <c r="N1615" s="319"/>
    </row>
    <row r="1616" spans="2:14" ht="15" x14ac:dyDescent="0.25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ht="15" x14ac:dyDescent="0.25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311"/>
      <c r="H1619" s="123"/>
      <c r="I1619" s="107"/>
      <c r="J1619" s="351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120"/>
      <c r="M1625" s="116"/>
      <c r="N1625" s="219"/>
    </row>
    <row r="1626" spans="2:14" ht="15" x14ac:dyDescent="0.25">
      <c r="B1626" s="91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37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37"/>
      <c r="C1628" s="66"/>
      <c r="D1628" s="109"/>
      <c r="E1628" s="68"/>
      <c r="F1628" s="77"/>
      <c r="G1628" s="311"/>
      <c r="H1628" s="123"/>
      <c r="I1628" s="107"/>
      <c r="J1628" s="351"/>
      <c r="K1628" s="69"/>
      <c r="L1628" s="120"/>
      <c r="M1628" s="116"/>
      <c r="N1628" s="219"/>
    </row>
    <row r="1629" spans="2:14" ht="15" x14ac:dyDescent="0.25">
      <c r="B1629" s="37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68"/>
      <c r="G1632" s="311"/>
      <c r="H1632" s="123"/>
      <c r="I1632" s="107"/>
      <c r="J1632" s="351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219"/>
    </row>
    <row r="1634" spans="2:14" ht="15" x14ac:dyDescent="0.25">
      <c r="B1634" s="37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318"/>
      <c r="M1634" s="116"/>
      <c r="N1634" s="319"/>
    </row>
    <row r="1635" spans="2:14" ht="15" x14ac:dyDescent="0.25">
      <c r="B1635" s="37"/>
      <c r="C1635" s="78"/>
      <c r="D1635" s="109"/>
      <c r="E1635" s="68"/>
      <c r="F1635" s="77"/>
      <c r="G1635" s="311"/>
      <c r="H1635" s="123"/>
      <c r="I1635" s="107"/>
      <c r="J1635" s="351"/>
      <c r="K1635" s="69"/>
      <c r="L1635" s="118"/>
      <c r="M1635" s="116"/>
      <c r="N1635" s="319"/>
    </row>
    <row r="1636" spans="2:14" ht="15" x14ac:dyDescent="0.25">
      <c r="B1636" s="37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37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ht="15" x14ac:dyDescent="0.25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65"/>
      <c r="C1642" s="78"/>
      <c r="D1642" s="109"/>
      <c r="E1642" s="68"/>
      <c r="F1642" s="77"/>
      <c r="G1642" s="311"/>
      <c r="H1642" s="312"/>
      <c r="I1642" s="313"/>
      <c r="J1642" s="352"/>
      <c r="K1642" s="69"/>
      <c r="L1642" s="318"/>
      <c r="M1642" s="116"/>
      <c r="N1642" s="3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68"/>
      <c r="G1645" s="104"/>
      <c r="H1645" s="121"/>
      <c r="I1645" s="107"/>
      <c r="J1645" s="351"/>
      <c r="K1645" s="69"/>
      <c r="L1645" s="318"/>
      <c r="M1645" s="116"/>
      <c r="N1645" s="319"/>
    </row>
    <row r="1646" spans="2:14" ht="15" x14ac:dyDescent="0.25">
      <c r="B1646" s="65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318"/>
      <c r="M1646" s="116"/>
      <c r="N1646" s="319"/>
    </row>
    <row r="1647" spans="2:14" ht="15" x14ac:dyDescent="0.25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ht="15" x14ac:dyDescent="0.25">
      <c r="B1652" s="37"/>
      <c r="C1652" s="66"/>
      <c r="D1652" s="109"/>
      <c r="E1652" s="68"/>
      <c r="F1652" s="77"/>
      <c r="G1652" s="104"/>
      <c r="H1652" s="121"/>
      <c r="I1652" s="107"/>
      <c r="J1652" s="351"/>
      <c r="K1652" s="79"/>
      <c r="L1652" s="120"/>
      <c r="M1652" s="115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69"/>
      <c r="L1653" s="118"/>
      <c r="M1653" s="116"/>
      <c r="N1653" s="320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69"/>
      <c r="L1654" s="118"/>
      <c r="M1654" s="116"/>
      <c r="N1654" s="320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114"/>
      <c r="L1655" s="118"/>
      <c r="M1655" s="117"/>
      <c r="N1655" s="320"/>
    </row>
    <row r="1656" spans="2:14" ht="15" x14ac:dyDescent="0.25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ht="15" x14ac:dyDescent="0.25">
      <c r="B1657" s="91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20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91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91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91"/>
      <c r="C1666" s="66"/>
      <c r="D1666" s="109"/>
      <c r="E1666" s="68"/>
      <c r="F1666" s="68"/>
      <c r="G1666" s="104"/>
      <c r="H1666" s="121"/>
      <c r="I1666" s="107"/>
      <c r="J1666" s="351"/>
      <c r="K1666" s="69"/>
      <c r="L1666" s="118"/>
      <c r="M1666" s="116"/>
      <c r="N1666" s="320"/>
    </row>
    <row r="1667" spans="2:14" ht="15" x14ac:dyDescent="0.25">
      <c r="B1667" s="91"/>
      <c r="C1667" s="66"/>
      <c r="D1667" s="109"/>
      <c r="E1667" s="68"/>
      <c r="F1667" s="77"/>
      <c r="G1667" s="104"/>
      <c r="H1667" s="121"/>
      <c r="I1667" s="107"/>
      <c r="J1667" s="351"/>
      <c r="K1667" s="69"/>
      <c r="L1667" s="118"/>
      <c r="M1667" s="116"/>
      <c r="N1667" s="319"/>
    </row>
    <row r="1668" spans="2:14" ht="15" x14ac:dyDescent="0.25">
      <c r="B1668" s="91"/>
      <c r="C1668" s="66"/>
      <c r="D1668" s="109"/>
      <c r="E1668" s="68"/>
      <c r="F1668" s="77"/>
      <c r="G1668" s="104"/>
      <c r="H1668" s="121"/>
      <c r="I1668" s="107"/>
      <c r="J1668" s="351"/>
      <c r="K1668" s="69"/>
      <c r="L1668" s="1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216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216"/>
      <c r="M1672" s="82"/>
      <c r="N1672" s="319"/>
    </row>
    <row r="1673" spans="2:14" ht="15" x14ac:dyDescent="0.25">
      <c r="B1673" s="91"/>
      <c r="C1673" s="66"/>
      <c r="D1673" s="100"/>
      <c r="E1673" s="101"/>
      <c r="F1673" s="77"/>
      <c r="G1673" s="104"/>
      <c r="H1673" s="106"/>
      <c r="I1673" s="107"/>
      <c r="J1673" s="351"/>
      <c r="K1673" s="69"/>
      <c r="L1673" s="84"/>
      <c r="M1673" s="82"/>
      <c r="N1673" s="319"/>
    </row>
    <row r="1674" spans="2:14" ht="15" x14ac:dyDescent="0.25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91"/>
      <c r="C1678" s="78"/>
      <c r="D1678" s="100"/>
      <c r="E1678" s="101"/>
      <c r="F1678" s="77"/>
      <c r="G1678" s="311"/>
      <c r="H1678" s="321"/>
      <c r="I1678" s="107"/>
      <c r="J1678" s="351"/>
      <c r="K1678" s="69"/>
      <c r="L1678" s="84"/>
      <c r="M1678" s="82"/>
      <c r="N1678" s="319"/>
    </row>
    <row r="1679" spans="2:14" ht="15" x14ac:dyDescent="0.25">
      <c r="B1679" s="65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ht="15" x14ac:dyDescent="0.25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78"/>
      <c r="D1682" s="100"/>
      <c r="E1682" s="101"/>
      <c r="F1682" s="77"/>
      <c r="G1682" s="311"/>
      <c r="H1682" s="321"/>
      <c r="I1682" s="313"/>
      <c r="J1682" s="352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66"/>
      <c r="D1684" s="100"/>
      <c r="E1684" s="101"/>
      <c r="F1684" s="77"/>
      <c r="G1684" s="104"/>
      <c r="H1684" s="106"/>
      <c r="I1684" s="107"/>
      <c r="J1684" s="351"/>
      <c r="K1684" s="69"/>
      <c r="L1684" s="84"/>
      <c r="M1684" s="82"/>
      <c r="N1684" s="319"/>
    </row>
    <row r="1685" spans="2:14" ht="15" x14ac:dyDescent="0.25">
      <c r="B1685" s="65"/>
      <c r="C1685" s="78"/>
      <c r="D1685" s="100"/>
      <c r="E1685" s="101"/>
      <c r="F1685" s="77"/>
      <c r="G1685" s="311"/>
      <c r="H1685" s="321"/>
      <c r="I1685" s="313"/>
      <c r="J1685" s="352"/>
      <c r="K1685" s="69"/>
      <c r="L1685" s="84"/>
      <c r="M1685" s="82"/>
      <c r="N1685" s="319"/>
    </row>
    <row r="1686" spans="2:14" ht="15" x14ac:dyDescent="0.25">
      <c r="B1686" s="65"/>
      <c r="C1686" s="66"/>
      <c r="D1686" s="109"/>
      <c r="E1686" s="101"/>
      <c r="F1686" s="77"/>
      <c r="G1686" s="104"/>
      <c r="H1686" s="106"/>
      <c r="I1686" s="107"/>
      <c r="J1686" s="351"/>
      <c r="K1686" s="69"/>
      <c r="L1686" s="322"/>
      <c r="M1686" s="82"/>
      <c r="N1686" s="319"/>
    </row>
    <row r="1687" spans="2:14" ht="15" x14ac:dyDescent="0.25">
      <c r="B1687" s="65"/>
      <c r="C1687" s="66"/>
      <c r="D1687" s="100"/>
      <c r="E1687" s="101"/>
      <c r="F1687" s="77"/>
      <c r="G1687" s="104"/>
      <c r="H1687" s="106"/>
      <c r="I1687" s="107"/>
      <c r="J1687" s="351"/>
      <c r="K1687" s="69"/>
      <c r="L1687" s="84"/>
      <c r="M1687" s="82"/>
      <c r="N1687" s="319"/>
    </row>
    <row r="1688" spans="2:14" ht="15" x14ac:dyDescent="0.25">
      <c r="B1688" s="65"/>
      <c r="C1688" s="66"/>
      <c r="D1688" s="100"/>
      <c r="E1688" s="101"/>
      <c r="F1688" s="77"/>
      <c r="G1688" s="104"/>
      <c r="H1688" s="106"/>
      <c r="I1688" s="107"/>
      <c r="J1688" s="351"/>
      <c r="K1688" s="69"/>
      <c r="L1688" s="322"/>
      <c r="M1688" s="82"/>
      <c r="N1688" s="319"/>
    </row>
    <row r="1689" spans="2:14" ht="15" x14ac:dyDescent="0.25">
      <c r="B1689" s="65"/>
      <c r="C1689" s="78"/>
      <c r="D1689" s="100"/>
      <c r="E1689" s="101"/>
      <c r="F1689" s="77"/>
      <c r="G1689" s="311"/>
      <c r="H1689" s="321"/>
      <c r="I1689" s="313"/>
      <c r="J1689" s="352"/>
      <c r="K1689" s="69"/>
      <c r="L1689" s="322"/>
      <c r="M1689" s="82"/>
      <c r="N1689" s="319"/>
    </row>
    <row r="1690" spans="2:14" ht="15" x14ac:dyDescent="0.25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23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ht="15" x14ac:dyDescent="0.25">
      <c r="B1693" s="65"/>
      <c r="C1693" s="78"/>
      <c r="D1693" s="100"/>
      <c r="E1693" s="101"/>
      <c r="F1693" s="77"/>
      <c r="G1693" s="311"/>
      <c r="H1693" s="321"/>
      <c r="I1693" s="107"/>
      <c r="J1693" s="351"/>
      <c r="K1693" s="69"/>
      <c r="L1693" s="84"/>
      <c r="M1693" s="82"/>
      <c r="N1693" s="323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23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68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78"/>
      <c r="D1700" s="100"/>
      <c r="E1700" s="101"/>
      <c r="F1700" s="77"/>
      <c r="G1700" s="311"/>
      <c r="H1700" s="321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70"/>
      <c r="L1702" s="84"/>
      <c r="M1702" s="82"/>
      <c r="N1702" s="323"/>
    </row>
    <row r="1703" spans="2:14" ht="15" x14ac:dyDescent="0.25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78"/>
      <c r="D1704" s="100"/>
      <c r="E1704" s="101"/>
      <c r="F1704" s="68"/>
      <c r="G1704" s="311"/>
      <c r="H1704" s="321"/>
      <c r="I1704" s="107"/>
      <c r="J1704" s="351"/>
      <c r="K1704" s="69"/>
      <c r="L1704" s="84"/>
      <c r="M1704" s="82"/>
      <c r="N1704" s="323"/>
    </row>
    <row r="1705" spans="2:14" ht="15" x14ac:dyDescent="0.25">
      <c r="B1705" s="91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23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ht="15" x14ac:dyDescent="0.25">
      <c r="B1707" s="65"/>
      <c r="C1707" s="66"/>
      <c r="D1707" s="100"/>
      <c r="E1707" s="101"/>
      <c r="F1707" s="68"/>
      <c r="G1707" s="104"/>
      <c r="H1707" s="106"/>
      <c r="I1707" s="107"/>
      <c r="J1707" s="351"/>
      <c r="K1707" s="69"/>
      <c r="L1707" s="84"/>
      <c r="M1707" s="82"/>
      <c r="N1707" s="323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84"/>
      <c r="M1708" s="82"/>
      <c r="N1708" s="323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23"/>
    </row>
    <row r="1710" spans="2:14" ht="15" x14ac:dyDescent="0.25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322"/>
      <c r="M1710" s="82"/>
      <c r="N1710" s="323"/>
    </row>
    <row r="1711" spans="2:14" x14ac:dyDescent="0.2">
      <c r="B1711" s="65"/>
      <c r="C1711" s="78"/>
      <c r="D1711" s="100"/>
      <c r="E1711" s="101"/>
      <c r="F1711" s="77"/>
      <c r="G1711" s="311"/>
      <c r="H1711" s="321"/>
      <c r="I1711" s="324"/>
      <c r="J1711" s="354"/>
      <c r="K1711" s="69"/>
      <c r="L1711" s="84"/>
      <c r="M1711" s="82"/>
      <c r="N1711" s="323"/>
    </row>
    <row r="1712" spans="2:14" x14ac:dyDescent="0.2">
      <c r="B1712" s="65"/>
      <c r="C1712" s="78"/>
      <c r="D1712" s="100"/>
      <c r="E1712" s="101"/>
      <c r="F1712" s="77"/>
      <c r="G1712" s="311"/>
      <c r="H1712" s="321"/>
      <c r="I1712" s="324"/>
      <c r="J1712" s="354"/>
      <c r="K1712" s="69"/>
      <c r="L1712" s="84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100"/>
      <c r="E1714" s="102"/>
      <c r="F1714" s="77"/>
      <c r="G1714" s="325"/>
      <c r="H1714" s="321"/>
      <c r="I1714" s="313"/>
      <c r="J1714" s="352"/>
      <c r="K1714" s="69"/>
      <c r="L1714" s="322"/>
      <c r="M1714" s="82"/>
      <c r="N1714" s="323"/>
    </row>
    <row r="1715" spans="2:14" ht="15" x14ac:dyDescent="0.25">
      <c r="B1715" s="65"/>
      <c r="C1715" s="78"/>
      <c r="D1715" s="97"/>
      <c r="E1715" s="67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ht="15" x14ac:dyDescent="0.25">
      <c r="B1716" s="65"/>
      <c r="C1716" s="78"/>
      <c r="D1716" s="97"/>
      <c r="E1716" s="67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ht="15" x14ac:dyDescent="0.25">
      <c r="B1717" s="65"/>
      <c r="C1717" s="78"/>
      <c r="D1717" s="97"/>
      <c r="E1717" s="67"/>
      <c r="F1717" s="77"/>
      <c r="G1717" s="325"/>
      <c r="H1717" s="321"/>
      <c r="I1717" s="326"/>
      <c r="J1717" s="355"/>
      <c r="K1717" s="69"/>
      <c r="L1717" s="322"/>
      <c r="M1717" s="82"/>
      <c r="N1717" s="323"/>
    </row>
    <row r="1718" spans="2:14" ht="15" x14ac:dyDescent="0.25">
      <c r="B1718" s="65"/>
      <c r="C1718" s="78"/>
      <c r="D1718" s="97"/>
      <c r="E1718" s="67"/>
      <c r="F1718" s="77"/>
      <c r="G1718" s="325"/>
      <c r="H1718" s="321"/>
      <c r="I1718" s="326"/>
      <c r="J1718" s="355"/>
      <c r="K1718" s="69"/>
      <c r="L1718" s="322"/>
      <c r="M1718" s="82"/>
      <c r="N1718" s="323"/>
    </row>
    <row r="1719" spans="2:14" x14ac:dyDescent="0.2">
      <c r="B1719" s="65"/>
      <c r="C1719" s="66"/>
      <c r="D1719" s="90"/>
      <c r="E1719" s="67"/>
      <c r="F1719" s="77"/>
      <c r="G1719" s="77"/>
      <c r="H1719" s="106"/>
      <c r="I1719" s="94"/>
      <c r="J1719" s="356"/>
      <c r="K1719" s="80"/>
      <c r="L1719" s="84"/>
      <c r="M1719" s="82"/>
      <c r="N1719" s="327"/>
    </row>
    <row r="1720" spans="2:14" ht="15" x14ac:dyDescent="0.25">
      <c r="B1720" s="65"/>
      <c r="C1720" s="78"/>
      <c r="D1720" s="90"/>
      <c r="E1720" s="67"/>
      <c r="F1720" s="77"/>
      <c r="G1720" s="328"/>
      <c r="H1720" s="321"/>
      <c r="I1720" s="326"/>
      <c r="J1720" s="355"/>
      <c r="K1720" s="69"/>
      <c r="L1720" s="322"/>
      <c r="M1720" s="82"/>
      <c r="N1720" s="327"/>
    </row>
    <row r="1721" spans="2:14" ht="15" x14ac:dyDescent="0.25">
      <c r="B1721" s="65"/>
      <c r="C1721" s="66"/>
      <c r="D1721" s="90"/>
      <c r="E1721" s="67"/>
      <c r="F1721" s="77"/>
      <c r="G1721" s="77"/>
      <c r="H1721" s="106"/>
      <c r="I1721" s="95"/>
      <c r="J1721" s="357"/>
      <c r="K1721" s="80"/>
      <c r="L1721" s="84"/>
      <c r="M1721" s="82"/>
      <c r="N1721" s="327"/>
    </row>
    <row r="1722" spans="2:14" ht="15" x14ac:dyDescent="0.25">
      <c r="B1722" s="91"/>
      <c r="C1722" s="66"/>
      <c r="D1722" s="90"/>
      <c r="E1722" s="67"/>
      <c r="F1722" s="77"/>
      <c r="G1722" s="77"/>
      <c r="H1722" s="106"/>
      <c r="I1722" s="95"/>
      <c r="J1722" s="357"/>
      <c r="K1722" s="69"/>
      <c r="L1722" s="84"/>
      <c r="M1722" s="82"/>
      <c r="N1722" s="327"/>
    </row>
    <row r="1723" spans="2:14" x14ac:dyDescent="0.2">
      <c r="B1723" s="91"/>
      <c r="C1723" s="66"/>
      <c r="D1723" s="90"/>
      <c r="E1723" s="67"/>
      <c r="F1723" s="77"/>
      <c r="G1723" s="77"/>
      <c r="H1723" s="106"/>
      <c r="I1723" s="94"/>
      <c r="J1723" s="356"/>
      <c r="K1723" s="69"/>
      <c r="L1723" s="84"/>
      <c r="M1723" s="82"/>
      <c r="N1723" s="327"/>
    </row>
    <row r="1724" spans="2:14" x14ac:dyDescent="0.2">
      <c r="B1724" s="91"/>
      <c r="C1724" s="66"/>
      <c r="D1724" s="90"/>
      <c r="E1724" s="67"/>
      <c r="F1724" s="77"/>
      <c r="G1724" s="77"/>
      <c r="H1724" s="106"/>
      <c r="I1724" s="94"/>
      <c r="J1724" s="356"/>
      <c r="K1724" s="69"/>
      <c r="L1724" s="84"/>
      <c r="M1724" s="82"/>
      <c r="N1724" s="327"/>
    </row>
    <row r="1725" spans="2:14" ht="15" x14ac:dyDescent="0.25">
      <c r="B1725" s="91"/>
      <c r="C1725" s="66"/>
      <c r="D1725" s="90"/>
      <c r="E1725" s="67"/>
      <c r="F1725" s="77"/>
      <c r="G1725" s="77"/>
      <c r="H1725" s="106"/>
      <c r="I1725" s="95"/>
      <c r="J1725" s="357"/>
      <c r="K1725" s="80"/>
      <c r="L1725" s="84"/>
      <c r="M1725" s="82"/>
      <c r="N1725" s="327"/>
    </row>
    <row r="1726" spans="2:14" ht="15" x14ac:dyDescent="0.25">
      <c r="B1726" s="91"/>
      <c r="C1726" s="66"/>
      <c r="D1726" s="90"/>
      <c r="E1726" s="67"/>
      <c r="F1726" s="77"/>
      <c r="G1726" s="77"/>
      <c r="H1726" s="106"/>
      <c r="I1726" s="95"/>
      <c r="J1726" s="357"/>
      <c r="K1726" s="69"/>
      <c r="L1726" s="84"/>
      <c r="M1726" s="82"/>
      <c r="N1726" s="327"/>
    </row>
    <row r="1727" spans="2:14" ht="15" x14ac:dyDescent="0.25">
      <c r="B1727" s="91"/>
      <c r="C1727" s="78"/>
      <c r="D1727" s="90"/>
      <c r="E1727" s="67"/>
      <c r="F1727" s="77"/>
      <c r="G1727" s="328"/>
      <c r="H1727" s="321"/>
      <c r="I1727" s="326"/>
      <c r="J1727" s="355"/>
      <c r="K1727" s="69"/>
      <c r="L1727" s="84"/>
      <c r="M1727" s="82"/>
      <c r="N1727" s="327"/>
    </row>
    <row r="1728" spans="2:14" x14ac:dyDescent="0.2">
      <c r="B1728" s="91"/>
      <c r="C1728" s="66"/>
      <c r="D1728" s="90"/>
      <c r="E1728" s="67"/>
      <c r="F1728" s="77"/>
      <c r="G1728" s="77"/>
      <c r="H1728" s="106"/>
      <c r="I1728" s="94"/>
      <c r="J1728" s="356"/>
      <c r="K1728" s="69"/>
      <c r="L1728" s="84"/>
      <c r="M1728" s="82"/>
      <c r="N1728" s="327"/>
    </row>
    <row r="1729" spans="2:14" ht="15" x14ac:dyDescent="0.25">
      <c r="B1729" s="91"/>
      <c r="C1729" s="66"/>
      <c r="D1729" s="90"/>
      <c r="E1729" s="67"/>
      <c r="F1729" s="77"/>
      <c r="G1729" s="77"/>
      <c r="H1729" s="106"/>
      <c r="I1729" s="95"/>
      <c r="J1729" s="357"/>
      <c r="K1729" s="69"/>
      <c r="L1729" s="84"/>
      <c r="M1729" s="82"/>
      <c r="N1729" s="327"/>
    </row>
    <row r="1730" spans="2:14" ht="15" x14ac:dyDescent="0.25">
      <c r="B1730" s="91"/>
      <c r="C1730" s="66"/>
      <c r="D1730" s="90"/>
      <c r="E1730" s="67"/>
      <c r="F1730" s="77"/>
      <c r="G1730" s="77"/>
      <c r="H1730" s="106"/>
      <c r="I1730" s="95"/>
      <c r="J1730" s="357"/>
      <c r="K1730" s="80"/>
      <c r="L1730" s="84"/>
      <c r="M1730" s="82"/>
      <c r="N1730" s="327"/>
    </row>
    <row r="1731" spans="2:14" x14ac:dyDescent="0.2">
      <c r="B1731" s="91"/>
      <c r="C1731" s="66"/>
      <c r="D1731" s="90"/>
      <c r="E1731" s="67"/>
      <c r="F1731" s="77"/>
      <c r="G1731" s="77"/>
      <c r="H1731" s="106"/>
      <c r="I1731" s="94"/>
      <c r="J1731" s="356"/>
      <c r="K1731" s="69"/>
      <c r="L1731" s="84"/>
      <c r="M1731" s="82"/>
      <c r="N1731" s="323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69"/>
      <c r="L1732" s="322"/>
      <c r="M1732" s="82"/>
      <c r="N1732" s="323"/>
    </row>
    <row r="1733" spans="2:14" ht="15" x14ac:dyDescent="0.25">
      <c r="B1733" s="91"/>
      <c r="C1733" s="66"/>
      <c r="D1733" s="90"/>
      <c r="E1733" s="67"/>
      <c r="F1733" s="77"/>
      <c r="G1733" s="77"/>
      <c r="H1733" s="106"/>
      <c r="I1733" s="95"/>
      <c r="J1733" s="357"/>
      <c r="K1733" s="69"/>
      <c r="L1733" s="84"/>
      <c r="M1733" s="82"/>
      <c r="N1733" s="323"/>
    </row>
    <row r="1734" spans="2:14" ht="15" x14ac:dyDescent="0.25">
      <c r="B1734" s="65"/>
      <c r="C1734" s="78"/>
      <c r="D1734" s="90"/>
      <c r="E1734" s="67"/>
      <c r="F1734" s="77"/>
      <c r="G1734" s="328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37"/>
      <c r="C1735" s="52"/>
      <c r="D1735" s="24"/>
      <c r="E1735" s="25"/>
      <c r="F1735" s="26"/>
      <c r="G1735" s="26"/>
      <c r="H1735" s="329"/>
      <c r="I1735" s="41"/>
      <c r="J1735" s="358"/>
      <c r="K1735" s="27"/>
      <c r="L1735" s="330"/>
      <c r="M1735" s="34"/>
      <c r="N1735" s="331"/>
    </row>
    <row r="1736" spans="2:14" ht="15" x14ac:dyDescent="0.25">
      <c r="B1736" s="37"/>
      <c r="C1736" s="53"/>
      <c r="D1736" s="24"/>
      <c r="E1736" s="25"/>
      <c r="F1736" s="26"/>
      <c r="G1736" s="325"/>
      <c r="H1736" s="332"/>
      <c r="I1736" s="333"/>
      <c r="J1736" s="359"/>
      <c r="K1736" s="27"/>
      <c r="L1736" s="33"/>
      <c r="M1736" s="34"/>
      <c r="N1736" s="331"/>
    </row>
    <row r="1737" spans="2:14" ht="15" x14ac:dyDescent="0.25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0"/>
      <c r="M1737" s="34"/>
      <c r="N1737" s="331"/>
    </row>
    <row r="1738" spans="2:14" ht="15" x14ac:dyDescent="0.25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ht="15" x14ac:dyDescent="0.25">
      <c r="B1740" s="30"/>
      <c r="C1740" s="52"/>
      <c r="D1740" s="24"/>
      <c r="E1740" s="25"/>
      <c r="F1740" s="26"/>
      <c r="G1740" s="26"/>
      <c r="H1740" s="329"/>
      <c r="I1740" s="41"/>
      <c r="J1740" s="358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31"/>
    </row>
    <row r="1743" spans="2:14" ht="15" x14ac:dyDescent="0.25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5"/>
    </row>
    <row r="1744" spans="2:14" ht="15" x14ac:dyDescent="0.25">
      <c r="B1744" s="30"/>
      <c r="C1744" s="2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5"/>
    </row>
    <row r="1745" spans="2:14" ht="15" x14ac:dyDescent="0.25">
      <c r="B1745" s="30"/>
      <c r="C1745" s="52"/>
      <c r="D1745" s="24"/>
      <c r="E1745" s="25"/>
      <c r="F1745" s="26"/>
      <c r="G1745" s="26"/>
      <c r="H1745" s="329"/>
      <c r="I1745" s="41"/>
      <c r="J1745" s="358"/>
      <c r="K1745" s="27"/>
      <c r="L1745" s="33"/>
      <c r="M1745" s="34"/>
      <c r="N1745" s="35"/>
    </row>
    <row r="1746" spans="2:14" ht="15" x14ac:dyDescent="0.25">
      <c r="B1746" s="37"/>
      <c r="C1746" s="52"/>
      <c r="D1746" s="24"/>
      <c r="E1746" s="25"/>
      <c r="F1746" s="26"/>
      <c r="G1746" s="26"/>
      <c r="H1746" s="329"/>
      <c r="I1746" s="41"/>
      <c r="J1746" s="358"/>
      <c r="K1746" s="27"/>
      <c r="L1746" s="33"/>
      <c r="M1746" s="34"/>
      <c r="N1746" s="35"/>
    </row>
    <row r="1747" spans="2:14" ht="15" x14ac:dyDescent="0.25">
      <c r="B1747" s="37"/>
      <c r="C1747" s="52"/>
      <c r="D1747" s="24"/>
      <c r="E1747" s="25"/>
      <c r="F1747" s="60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5"/>
    </row>
    <row r="1755" spans="2:14" x14ac:dyDescent="0.2">
      <c r="B1755" s="37"/>
      <c r="C1755" s="23"/>
      <c r="D1755" s="24"/>
      <c r="E1755" s="25"/>
      <c r="F1755" s="60"/>
      <c r="G1755" s="26"/>
      <c r="H1755" s="329"/>
      <c r="I1755" s="42"/>
      <c r="J1755" s="360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"/>
      <c r="M1756" s="34"/>
      <c r="N1756" s="35"/>
    </row>
    <row r="1757" spans="2:14" ht="15" x14ac:dyDescent="0.25">
      <c r="B1757" s="37"/>
      <c r="C1757" s="52"/>
      <c r="D1757" s="24"/>
      <c r="E1757" s="25"/>
      <c r="F1757" s="60"/>
      <c r="G1757" s="26"/>
      <c r="H1757" s="329"/>
      <c r="I1757" s="41"/>
      <c r="J1757" s="358"/>
      <c r="K1757" s="27"/>
      <c r="L1757" s="33"/>
      <c r="M1757" s="34"/>
      <c r="N1757" s="35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5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3"/>
      <c r="D1766" s="24"/>
      <c r="E1766" s="25"/>
      <c r="F1766" s="26"/>
      <c r="G1766" s="325"/>
      <c r="H1766" s="332"/>
      <c r="I1766" s="333"/>
      <c r="J1766" s="359"/>
      <c r="K1766" s="27"/>
      <c r="L1766" s="330"/>
      <c r="M1766" s="34"/>
      <c r="N1766" s="35"/>
    </row>
    <row r="1767" spans="2:14" ht="15" x14ac:dyDescent="0.25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ht="15" x14ac:dyDescent="0.25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ht="15" x14ac:dyDescent="0.25">
      <c r="B1769" s="30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0"/>
      <c r="C1770" s="23"/>
      <c r="D1770" s="24"/>
      <c r="E1770" s="25"/>
      <c r="F1770" s="26"/>
      <c r="G1770" s="26"/>
      <c r="H1770" s="329"/>
      <c r="I1770" s="41"/>
      <c r="J1770" s="358"/>
      <c r="K1770" s="36"/>
      <c r="L1770" s="33"/>
      <c r="M1770" s="34"/>
      <c r="N1770" s="35"/>
    </row>
    <row r="1771" spans="2:14" ht="15" x14ac:dyDescent="0.25">
      <c r="B1771" s="30"/>
      <c r="C1771" s="23"/>
      <c r="D1771" s="24"/>
      <c r="E1771" s="25"/>
      <c r="F1771" s="26"/>
      <c r="G1771" s="325"/>
      <c r="H1771" s="332"/>
      <c r="I1771" s="333"/>
      <c r="J1771" s="359"/>
      <c r="K1771" s="27"/>
      <c r="L1771" s="33"/>
      <c r="M1771" s="34"/>
      <c r="N1771" s="35"/>
    </row>
    <row r="1772" spans="2:14" ht="15" x14ac:dyDescent="0.25">
      <c r="B1772" s="30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x14ac:dyDescent="0.2">
      <c r="B1773" s="37"/>
      <c r="C1773" s="52"/>
      <c r="D1773" s="24"/>
      <c r="E1773" s="25"/>
      <c r="F1773" s="26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2">
      <c r="B1776" s="37"/>
      <c r="C1776" s="52"/>
      <c r="D1776" s="24"/>
      <c r="E1776" s="25"/>
      <c r="F1776" s="26"/>
      <c r="G1776" s="26"/>
      <c r="H1776" s="329"/>
      <c r="I1776" s="42"/>
      <c r="J1776" s="360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x14ac:dyDescent="0.2">
      <c r="B1778" s="37"/>
      <c r="C1778" s="52"/>
      <c r="D1778" s="24"/>
      <c r="E1778" s="25"/>
      <c r="F1778" s="26"/>
      <c r="G1778" s="26"/>
      <c r="H1778" s="329"/>
      <c r="I1778" s="42"/>
      <c r="J1778" s="360"/>
      <c r="K1778" s="27"/>
      <c r="L1778" s="33"/>
      <c r="M1778" s="34"/>
      <c r="N1778" s="35"/>
    </row>
    <row r="1779" spans="2:14" x14ac:dyDescent="0.2">
      <c r="B1779" s="37"/>
      <c r="C1779" s="23"/>
      <c r="D1779" s="24"/>
      <c r="E1779" s="25"/>
      <c r="F1779" s="26"/>
      <c r="G1779" s="325"/>
      <c r="H1779" s="332"/>
      <c r="I1779" s="334"/>
      <c r="J1779" s="361"/>
      <c r="K1779" s="27"/>
      <c r="L1779" s="33"/>
      <c r="M1779" s="34"/>
      <c r="N1779" s="35"/>
    </row>
    <row r="1780" spans="2:14" x14ac:dyDescent="0.2">
      <c r="B1780" s="37"/>
      <c r="C1780" s="52"/>
      <c r="D1780" s="24"/>
      <c r="E1780" s="25"/>
      <c r="F1780" s="26"/>
      <c r="G1780" s="26"/>
      <c r="H1780" s="329"/>
      <c r="I1780" s="42"/>
      <c r="J1780" s="360"/>
      <c r="K1780" s="36"/>
      <c r="L1780" s="33"/>
      <c r="M1780" s="34"/>
      <c r="N1780" s="35"/>
    </row>
    <row r="1781" spans="2:14" x14ac:dyDescent="0.2">
      <c r="B1781" s="37"/>
      <c r="C1781" s="53"/>
      <c r="D1781" s="24"/>
      <c r="E1781" s="25"/>
      <c r="F1781" s="26"/>
      <c r="G1781" s="26"/>
      <c r="H1781" s="329"/>
      <c r="I1781" s="334"/>
      <c r="J1781" s="361"/>
      <c r="K1781" s="36"/>
      <c r="L1781" s="330"/>
      <c r="M1781" s="34"/>
      <c r="N1781" s="35"/>
    </row>
    <row r="1782" spans="2:14" ht="15" x14ac:dyDescent="0.25">
      <c r="B1782" s="37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0"/>
      <c r="M1782" s="34"/>
      <c r="N1782" s="35"/>
    </row>
    <row r="1783" spans="2:14" ht="15" x14ac:dyDescent="0.25">
      <c r="B1783" s="37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26"/>
      <c r="H1784" s="329"/>
      <c r="I1784" s="333"/>
      <c r="J1784" s="359"/>
      <c r="K1784" s="36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9"/>
      <c r="I1793" s="41"/>
      <c r="J1793" s="358"/>
      <c r="K1793" s="36"/>
      <c r="L1793" s="33"/>
      <c r="M1793" s="34"/>
      <c r="N1793" s="35"/>
    </row>
    <row r="1794" spans="2:14" ht="15" x14ac:dyDescent="0.25">
      <c r="B1794" s="30"/>
      <c r="C1794" s="52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ht="15" x14ac:dyDescent="0.25">
      <c r="B1795" s="30"/>
      <c r="C1795" s="23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ht="15" x14ac:dyDescent="0.25">
      <c r="B1796" s="30"/>
      <c r="C1796" s="23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ht="15" x14ac:dyDescent="0.25">
      <c r="B1797" s="30"/>
      <c r="C1797" s="52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ht="15" x14ac:dyDescent="0.25">
      <c r="B1798" s="30"/>
      <c r="C1798" s="23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0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53"/>
      <c r="D1800" s="24"/>
      <c r="E1800" s="25"/>
      <c r="F1800" s="26"/>
      <c r="G1800" s="325"/>
      <c r="H1800" s="332"/>
      <c r="I1800" s="333"/>
      <c r="J1800" s="359"/>
      <c r="K1800" s="36"/>
      <c r="L1800" s="33"/>
      <c r="M1800" s="34"/>
      <c r="N1800" s="35"/>
    </row>
    <row r="1801" spans="2:14" ht="15" x14ac:dyDescent="0.25">
      <c r="B1801" s="30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0"/>
      <c r="C1802" s="52"/>
      <c r="D1802" s="24"/>
      <c r="E1802" s="25"/>
      <c r="F1802" s="26"/>
      <c r="G1802" s="26"/>
      <c r="H1802" s="329"/>
      <c r="I1802" s="41"/>
      <c r="J1802" s="358"/>
      <c r="K1802" s="36"/>
      <c r="L1802" s="33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x14ac:dyDescent="0.2">
      <c r="B1804" s="37"/>
      <c r="C1804" s="23"/>
      <c r="D1804" s="24"/>
      <c r="E1804" s="25"/>
      <c r="F1804" s="26"/>
      <c r="G1804" s="26"/>
      <c r="H1804" s="329"/>
      <c r="I1804" s="42"/>
      <c r="J1804" s="360"/>
      <c r="K1804" s="36"/>
      <c r="L1804" s="33"/>
      <c r="M1804" s="34"/>
      <c r="N1804" s="35"/>
    </row>
    <row r="1805" spans="2:14" x14ac:dyDescent="0.2">
      <c r="B1805" s="37"/>
      <c r="C1805" s="23"/>
      <c r="D1805" s="24"/>
      <c r="E1805" s="25"/>
      <c r="F1805" s="26"/>
      <c r="G1805" s="26"/>
      <c r="H1805" s="329"/>
      <c r="I1805" s="42"/>
      <c r="J1805" s="360"/>
      <c r="K1805" s="36"/>
      <c r="L1805" s="33"/>
      <c r="M1805" s="34"/>
      <c r="N1805" s="35"/>
    </row>
    <row r="1806" spans="2:14" ht="15" x14ac:dyDescent="0.25">
      <c r="B1806" s="37"/>
      <c r="C1806" s="23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x14ac:dyDescent="0.2">
      <c r="B1807" s="37"/>
      <c r="C1807" s="52"/>
      <c r="D1807" s="24"/>
      <c r="E1807" s="25"/>
      <c r="F1807" s="26"/>
      <c r="G1807" s="26"/>
      <c r="H1807" s="329"/>
      <c r="I1807" s="42"/>
      <c r="J1807" s="360"/>
      <c r="K1807" s="36"/>
      <c r="L1807" s="33"/>
      <c r="M1807" s="34"/>
      <c r="N1807" s="35"/>
    </row>
    <row r="1808" spans="2:14" ht="15" x14ac:dyDescent="0.25">
      <c r="B1808" s="37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x14ac:dyDescent="0.2">
      <c r="B1809" s="37"/>
      <c r="C1809" s="52"/>
      <c r="D1809" s="24"/>
      <c r="E1809" s="25"/>
      <c r="F1809" s="26"/>
      <c r="G1809" s="26"/>
      <c r="H1809" s="329"/>
      <c r="I1809" s="42"/>
      <c r="J1809" s="360"/>
      <c r="K1809" s="36"/>
      <c r="L1809" s="330"/>
      <c r="M1809" s="34"/>
      <c r="N1809" s="35"/>
    </row>
    <row r="1810" spans="2:14" ht="15" x14ac:dyDescent="0.25">
      <c r="B1810" s="37"/>
      <c r="C1810" s="23"/>
      <c r="D1810" s="24"/>
      <c r="E1810" s="25"/>
      <c r="F1810" s="26"/>
      <c r="G1810" s="26"/>
      <c r="H1810" s="329"/>
      <c r="I1810" s="41"/>
      <c r="J1810" s="358"/>
      <c r="K1810" s="27"/>
      <c r="L1810" s="330"/>
      <c r="M1810" s="34"/>
      <c r="N1810" s="35"/>
    </row>
    <row r="1811" spans="2:14" ht="15" x14ac:dyDescent="0.25">
      <c r="B1811" s="37"/>
      <c r="C1811" s="23"/>
      <c r="D1811" s="24"/>
      <c r="E1811" s="25"/>
      <c r="F1811" s="26"/>
      <c r="G1811" s="26"/>
      <c r="H1811" s="329"/>
      <c r="I1811" s="41"/>
      <c r="J1811" s="358"/>
      <c r="K1811" s="27"/>
      <c r="L1811" s="330"/>
      <c r="M1811" s="34"/>
      <c r="N1811" s="35"/>
    </row>
    <row r="1812" spans="2:14" x14ac:dyDescent="0.2">
      <c r="B1812" s="37"/>
      <c r="C1812" s="23"/>
      <c r="D1812" s="24"/>
      <c r="E1812" s="25"/>
      <c r="F1812" s="26"/>
      <c r="G1812" s="325"/>
      <c r="H1812" s="332"/>
      <c r="I1812" s="334"/>
      <c r="J1812" s="361"/>
      <c r="K1812" s="27"/>
      <c r="L1812" s="33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ht="15" x14ac:dyDescent="0.25">
      <c r="B1814" s="37"/>
      <c r="C1814" s="53"/>
      <c r="D1814" s="24"/>
      <c r="E1814" s="25"/>
      <c r="F1814" s="26"/>
      <c r="G1814" s="325"/>
      <c r="H1814" s="332"/>
      <c r="I1814" s="333"/>
      <c r="J1814" s="359"/>
      <c r="K1814" s="27"/>
      <c r="L1814" s="330"/>
      <c r="M1814" s="34"/>
      <c r="N1814" s="35"/>
    </row>
    <row r="1815" spans="2:14" ht="15" x14ac:dyDescent="0.25">
      <c r="B1815" s="37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x14ac:dyDescent="0.2">
      <c r="B1816" s="37"/>
      <c r="C1816" s="23"/>
      <c r="D1816" s="24"/>
      <c r="E1816" s="25"/>
      <c r="F1816" s="26"/>
      <c r="G1816" s="325"/>
      <c r="H1816" s="332"/>
      <c r="I1816" s="334"/>
      <c r="J1816" s="361"/>
      <c r="K1816" s="27"/>
      <c r="L1816" s="33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ht="15" x14ac:dyDescent="0.25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7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ht="15" x14ac:dyDescent="0.25">
      <c r="B1822" s="30"/>
      <c r="C1822" s="23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ht="15" x14ac:dyDescent="0.25">
      <c r="B1823" s="30"/>
      <c r="C1823" s="23"/>
      <c r="D1823" s="24"/>
      <c r="E1823" s="25"/>
      <c r="F1823" s="26"/>
      <c r="G1823" s="26"/>
      <c r="H1823" s="329"/>
      <c r="I1823" s="41"/>
      <c r="J1823" s="358"/>
      <c r="K1823" s="36"/>
      <c r="L1823" s="33"/>
      <c r="M1823" s="34"/>
      <c r="N1823" s="35"/>
    </row>
    <row r="1824" spans="2:14" ht="15" x14ac:dyDescent="0.25">
      <c r="B1824" s="30"/>
      <c r="C1824" s="23"/>
      <c r="D1824" s="24"/>
      <c r="E1824" s="25"/>
      <c r="F1824" s="26"/>
      <c r="G1824" s="325"/>
      <c r="H1824" s="332"/>
      <c r="I1824" s="333"/>
      <c r="J1824" s="359"/>
      <c r="K1824" s="27"/>
      <c r="L1824" s="33"/>
      <c r="M1824" s="34"/>
      <c r="N1824" s="35"/>
    </row>
    <row r="1825" spans="2:14" x14ac:dyDescent="0.2">
      <c r="B1825" s="30"/>
      <c r="C1825" s="23"/>
      <c r="D1825" s="24"/>
      <c r="E1825" s="25"/>
      <c r="F1825" s="26"/>
      <c r="G1825" s="26"/>
      <c r="H1825" s="329"/>
      <c r="I1825" s="42"/>
      <c r="J1825" s="360"/>
      <c r="K1825" s="27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9"/>
      <c r="I1826" s="42"/>
      <c r="J1826" s="360"/>
      <c r="K1826" s="27"/>
      <c r="L1826" s="33"/>
      <c r="M1826" s="34"/>
      <c r="N1826" s="35"/>
    </row>
    <row r="1827" spans="2:14" x14ac:dyDescent="0.2">
      <c r="B1827" s="37"/>
      <c r="C1827" s="23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0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0"/>
      <c r="C1829" s="23"/>
      <c r="D1829" s="24"/>
      <c r="E1829" s="25"/>
      <c r="F1829" s="26"/>
      <c r="G1829" s="26"/>
      <c r="H1829" s="329"/>
      <c r="I1829" s="42"/>
      <c r="J1829" s="360"/>
      <c r="K1829" s="27"/>
      <c r="L1829" s="33"/>
      <c r="M1829" s="34"/>
      <c r="N1829" s="35"/>
    </row>
    <row r="1830" spans="2:14" ht="15" x14ac:dyDescent="0.25">
      <c r="B1830" s="30"/>
      <c r="C1830" s="23"/>
      <c r="D1830" s="24"/>
      <c r="E1830" s="25"/>
      <c r="F1830" s="26"/>
      <c r="G1830" s="325"/>
      <c r="H1830" s="332"/>
      <c r="I1830" s="333"/>
      <c r="J1830" s="359"/>
      <c r="K1830" s="27"/>
      <c r="L1830" s="33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26"/>
      <c r="H1832" s="329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0"/>
      <c r="M1833" s="34"/>
      <c r="N1833" s="35"/>
    </row>
    <row r="1834" spans="2:14" ht="15" x14ac:dyDescent="0.25">
      <c r="B1834" s="37"/>
      <c r="C1834" s="23"/>
      <c r="D1834" s="24"/>
      <c r="E1834" s="25"/>
      <c r="F1834" s="26"/>
      <c r="G1834" s="26"/>
      <c r="H1834" s="329"/>
      <c r="I1834" s="41"/>
      <c r="J1834" s="358"/>
      <c r="K1834" s="27"/>
      <c r="L1834" s="330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26"/>
      <c r="H1835" s="329"/>
      <c r="I1835" s="42"/>
      <c r="J1835" s="360"/>
      <c r="K1835" s="27"/>
      <c r="L1835" s="33"/>
      <c r="M1835" s="34"/>
      <c r="N1835" s="35"/>
    </row>
    <row r="1836" spans="2:14" x14ac:dyDescent="0.2">
      <c r="B1836" s="30"/>
      <c r="C1836" s="23"/>
      <c r="D1836" s="24"/>
      <c r="E1836" s="25"/>
      <c r="F1836" s="26"/>
      <c r="G1836" s="26"/>
      <c r="H1836" s="329"/>
      <c r="I1836" s="42"/>
      <c r="J1836" s="360"/>
      <c r="K1836" s="27"/>
      <c r="L1836" s="33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0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ht="15" x14ac:dyDescent="0.25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36"/>
      <c r="L1848" s="33"/>
      <c r="M1848" s="34"/>
      <c r="N1848" s="35"/>
    </row>
  </sheetData>
  <sortState xmlns:xlrd2="http://schemas.microsoft.com/office/spreadsheetml/2017/richdata2" ref="B7:I1048555">
    <sortCondition ref="C7:C27"/>
  </sortState>
  <mergeCells count="3">
    <mergeCell ref="D1:H1"/>
    <mergeCell ref="D2:K2"/>
    <mergeCell ref="B3:F4"/>
  </mergeCells>
  <phoneticPr fontId="19" type="noConversion"/>
  <conditionalFormatting sqref="H1821:H184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1:H184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1:H184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1:E184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1:E184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1:E184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1:E184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1:E184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1:E184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1:E184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1:E184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1:H184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1:H184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1:H184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1:E184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1:H184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1:E184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1:H1848">
    <cfRule type="iconSet" priority="282941">
      <iconSet>
        <cfvo type="percent" val="0"/>
        <cfvo type="percent" val="23"/>
        <cfvo type="percent" val="70"/>
      </iconSet>
    </cfRule>
  </conditionalFormatting>
  <conditionalFormatting sqref="H1821:H184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1:H184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1:H184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1:H184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1:E184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1:H184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1:H184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1:H184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1:H184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1:H184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1:E184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1:H184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1:H184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1:E184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1:E184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1:H184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1:H184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1:H184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1:E184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1:H184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1:H184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1:H184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1:H184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1:H184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1:H184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1:E184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1:H184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1:H184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1:H184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1:H184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1:H184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1:H184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1:E184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1:H184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1:E184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1:H184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1:E184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1:H184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09">
      <iconSet>
        <cfvo type="percent" val="0"/>
        <cfvo type="num" val="22"/>
        <cfvo type="num" val="26"/>
      </iconSet>
    </cfRule>
  </conditionalFormatting>
  <conditionalFormatting sqref="H1821:H184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15">
      <iconSet>
        <cfvo type="percent" val="0"/>
        <cfvo type="num" val="21"/>
        <cfvo type="num" val="25"/>
      </iconSet>
    </cfRule>
  </conditionalFormatting>
  <conditionalFormatting sqref="H1821:H1848">
    <cfRule type="iconSet" priority="283417">
      <iconSet>
        <cfvo type="percent" val="0"/>
        <cfvo type="num" val="19"/>
        <cfvo type="num" val="23"/>
      </iconSet>
    </cfRule>
  </conditionalFormatting>
  <conditionalFormatting sqref="H1821:H1848">
    <cfRule type="iconSet" priority="283419">
      <iconSet>
        <cfvo type="percent" val="0"/>
        <cfvo type="num" val="23"/>
        <cfvo type="num" val="27"/>
      </iconSet>
    </cfRule>
  </conditionalFormatting>
  <conditionalFormatting sqref="E1735:E173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0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29:E1158 E7:E27">
    <cfRule type="cellIs" dxfId="30" priority="170" operator="greaterThan">
      <formula>7</formula>
    </cfRule>
  </conditionalFormatting>
  <conditionalFormatting sqref="E1468:E4746">
    <cfRule type="cellIs" dxfId="29" priority="137" operator="greaterThan">
      <formula>7</formula>
    </cfRule>
  </conditionalFormatting>
  <conditionalFormatting sqref="I29:I1230 G29:G31 I7:I27">
    <cfRule type="cellIs" dxfId="28" priority="41" operator="lessThan">
      <formula>E7</formula>
    </cfRule>
  </conditionalFormatting>
  <conditionalFormatting sqref="I1821:I184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1:I184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1:I184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1:I184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1:I184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1:I184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1:I184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1:I184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1:I184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1:I184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1:I184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1:I184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1:I184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1:I184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7:H1454 H1241:H1415 H29:H1230 H7:H27">
    <cfRule type="cellIs" dxfId="27" priority="297711" operator="greaterThan">
      <formula>$H$28</formula>
    </cfRule>
  </conditionalFormatting>
  <conditionalFormatting sqref="L7:L1230">
    <cfRule type="top10" dxfId="26" priority="297733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E1735:E1737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E1715:E1734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$H$28</xm:f>
              </x14:cfvo>
              <x14:cfIcon iconSet="NoIcons" iconId="0"/>
              <x14:cfIcon iconSet="NoIcons" iconId="0"/>
              <x14:cfIcon iconSet="3Stars" iconId="2"/>
            </x14:iconSet>
          </x14:cfRule>
          <xm:sqref>H1241:H1251 H29:H1230 H7:H27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6" workbookViewId="0">
      <selection activeCell="D11" sqref="D11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162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161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2025-11-24T05:37:19Z</cp:lastPrinted>
  <dcterms:created xsi:type="dcterms:W3CDTF">2021-05-05T13:25:05Z</dcterms:created>
  <dcterms:modified xsi:type="dcterms:W3CDTF">2025-11-24T05:37:44Z</dcterms:modified>
</cp:coreProperties>
</file>