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9C4D108-DD9D-4435-A131-B003F2E51210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Import!$B$1:$O$31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7" i="1"/>
  <c r="F10" i="3"/>
  <c r="C29" i="1"/>
  <c r="G29" i="1"/>
  <c r="I8" i="1" s="1"/>
  <c r="F29" i="1"/>
  <c r="E29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M7" i="1"/>
  <c r="M8" i="1"/>
  <c r="M9" i="1"/>
  <c r="M10" i="1"/>
  <c r="M28" i="1"/>
  <c r="M12" i="1"/>
  <c r="M13" i="1"/>
  <c r="M14" i="1"/>
  <c r="M11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I11" i="1"/>
  <c r="H26" i="1"/>
  <c r="H11" i="1"/>
  <c r="H27" i="1"/>
  <c r="H7" i="1"/>
  <c r="H8" i="1"/>
  <c r="H9" i="1"/>
  <c r="H10" i="1"/>
  <c r="H28" i="1"/>
  <c r="H20" i="1"/>
  <c r="H17" i="1"/>
  <c r="H18" i="1"/>
  <c r="H19" i="1"/>
  <c r="H21" i="1"/>
  <c r="H22" i="1"/>
  <c r="H23" i="1"/>
  <c r="H24" i="1"/>
  <c r="H25" i="1"/>
  <c r="H12" i="1"/>
  <c r="H13" i="1"/>
  <c r="H14" i="1"/>
  <c r="H15" i="1"/>
  <c r="H16" i="1"/>
  <c r="U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29" i="1"/>
  <c r="R29" i="1" s="1"/>
  <c r="Q30" i="1"/>
  <c r="Q31" i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M9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I26" i="1" l="1"/>
  <c r="I12" i="1"/>
  <c r="I25" i="1"/>
  <c r="Q25" i="1" s="1"/>
  <c r="I17" i="1"/>
  <c r="Q17" i="1" s="1"/>
  <c r="I20" i="1"/>
  <c r="Q20" i="1" s="1"/>
  <c r="I16" i="1"/>
  <c r="Q16" i="1" s="1"/>
  <c r="I22" i="1"/>
  <c r="Q22" i="1" s="1"/>
  <c r="I9" i="1"/>
  <c r="J9" i="1" s="1"/>
  <c r="I15" i="1"/>
  <c r="J15" i="1" s="1"/>
  <c r="I21" i="1"/>
  <c r="Q21" i="1" s="1"/>
  <c r="I27" i="1"/>
  <c r="Q27" i="1" s="1"/>
  <c r="J26" i="1"/>
  <c r="I14" i="1"/>
  <c r="Q14" i="1" s="1"/>
  <c r="L14" i="1" s="1"/>
  <c r="I24" i="1"/>
  <c r="I19" i="1"/>
  <c r="I28" i="1"/>
  <c r="J28" i="1" s="1"/>
  <c r="I7" i="1"/>
  <c r="J7" i="1" s="1"/>
  <c r="I13" i="1"/>
  <c r="J13" i="1" s="1"/>
  <c r="I23" i="1"/>
  <c r="I18" i="1"/>
  <c r="I10" i="1"/>
  <c r="J10" i="1" s="1"/>
  <c r="J24" i="1"/>
  <c r="J27" i="1"/>
  <c r="H29" i="1"/>
  <c r="V12" i="1" s="1"/>
  <c r="J11" i="1"/>
  <c r="N7" i="1"/>
  <c r="N25" i="1"/>
  <c r="N21" i="1"/>
  <c r="N17" i="1"/>
  <c r="N14" i="1"/>
  <c r="N10" i="1"/>
  <c r="J16" i="1"/>
  <c r="N24" i="1"/>
  <c r="N20" i="1"/>
  <c r="N16" i="1"/>
  <c r="N13" i="1"/>
  <c r="N9" i="1"/>
  <c r="J12" i="1"/>
  <c r="J8" i="1"/>
  <c r="N27" i="1"/>
  <c r="N23" i="1"/>
  <c r="N19" i="1"/>
  <c r="N15" i="1"/>
  <c r="N12" i="1"/>
  <c r="N8" i="1"/>
  <c r="N26" i="1"/>
  <c r="N22" i="1"/>
  <c r="N18" i="1"/>
  <c r="N11" i="1"/>
  <c r="N28" i="1"/>
  <c r="Q13" i="1"/>
  <c r="L13" i="1" s="1"/>
  <c r="Q12" i="1"/>
  <c r="L12" i="1" s="1"/>
  <c r="Q8" i="1"/>
  <c r="L8" i="1" s="1"/>
  <c r="Q26" i="1"/>
  <c r="P45" i="1"/>
  <c r="U32" i="1"/>
  <c r="U36" i="1"/>
  <c r="U40" i="1"/>
  <c r="V29" i="1"/>
  <c r="U33" i="1"/>
  <c r="U41" i="1"/>
  <c r="U30" i="1"/>
  <c r="U38" i="1"/>
  <c r="U42" i="1"/>
  <c r="U31" i="1"/>
  <c r="U35" i="1"/>
  <c r="U39" i="1"/>
  <c r="P41" i="1"/>
  <c r="P37" i="1"/>
  <c r="P33" i="1"/>
  <c r="Q29" i="1"/>
  <c r="P44" i="1"/>
  <c r="P40" i="1"/>
  <c r="P36" i="1"/>
  <c r="P32" i="1"/>
  <c r="P43" i="1"/>
  <c r="P39" i="1"/>
  <c r="P35" i="1"/>
  <c r="P31" i="1"/>
  <c r="P42" i="1"/>
  <c r="P38" i="1"/>
  <c r="P34" i="1"/>
  <c r="P30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23" i="1" l="1"/>
  <c r="V24" i="1"/>
  <c r="Q9" i="1"/>
  <c r="L9" i="1" s="1"/>
  <c r="V18" i="1"/>
  <c r="V14" i="1"/>
  <c r="V27" i="1"/>
  <c r="V28" i="1"/>
  <c r="J25" i="1"/>
  <c r="V11" i="1"/>
  <c r="V21" i="1"/>
  <c r="V7" i="1"/>
  <c r="V17" i="1"/>
  <c r="Q7" i="1"/>
  <c r="L7" i="1" s="1"/>
  <c r="V19" i="1"/>
  <c r="V26" i="1"/>
  <c r="V10" i="1"/>
  <c r="V13" i="1"/>
  <c r="V20" i="1"/>
  <c r="J14" i="1"/>
  <c r="J20" i="1"/>
  <c r="J17" i="1"/>
  <c r="L21" i="1"/>
  <c r="Q10" i="1"/>
  <c r="L10" i="1" s="1"/>
  <c r="Q15" i="1"/>
  <c r="L15" i="1" s="1"/>
  <c r="V15" i="1"/>
  <c r="V22" i="1"/>
  <c r="V25" i="1"/>
  <c r="V9" i="1"/>
  <c r="V8" i="1"/>
  <c r="J22" i="1"/>
  <c r="Q23" i="1"/>
  <c r="L23" i="1" s="1"/>
  <c r="J21" i="1"/>
  <c r="Q24" i="1"/>
  <c r="L24" i="1" s="1"/>
  <c r="L25" i="1"/>
  <c r="V16" i="1"/>
  <c r="J19" i="1"/>
  <c r="I29" i="1"/>
  <c r="J23" i="1"/>
  <c r="Q19" i="1"/>
  <c r="L19" i="1" s="1"/>
  <c r="L16" i="1"/>
  <c r="Q18" i="1"/>
  <c r="L17" i="1" s="1"/>
  <c r="Q28" i="1"/>
  <c r="L27" i="1" s="1"/>
  <c r="L20" i="1"/>
  <c r="L26" i="1"/>
  <c r="L22" i="1"/>
  <c r="J18" i="1"/>
  <c r="Q11" i="1"/>
  <c r="N29" i="1"/>
  <c r="M11" i="6"/>
  <c r="U45" i="1"/>
  <c r="U43" i="1"/>
  <c r="U34" i="1"/>
  <c r="U37" i="1"/>
  <c r="U44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9" i="1" l="1"/>
  <c r="L28" i="1"/>
  <c r="L11" i="1"/>
  <c r="L18" i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9" i="1"/>
  <c r="T9" i="1" s="1"/>
  <c r="S13" i="1"/>
  <c r="T13" i="1" s="1"/>
  <c r="S17" i="1"/>
  <c r="T17" i="1" s="1"/>
  <c r="S21" i="1"/>
  <c r="T21" i="1" s="1"/>
  <c r="S25" i="1"/>
  <c r="T25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S29" i="1"/>
  <c r="T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<sst xmlns="http://schemas.openxmlformats.org/spreadsheetml/2006/main" count="268" uniqueCount="177">
  <si>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</si>
  <si>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</si>
  <si>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</si>
  <si>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</si>
  <si>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</si>
  <si>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</si>
  <si>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</si>
  <si>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</si>
  <si>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</si>
  <si>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</si>
  <si>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</si>
  <si>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</si>
  <si>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</si>
  <si>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</si>
  <si>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</si>
  <si>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</si>
  <si>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</si>
  <si>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</si>
  <si>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</si>
  <si>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</si>
  <si>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</si>
  <si>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</si>
  <si>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</si>
  <si>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</si>
  <si>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</si>
  <si>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</si>
  <si>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</si>
  <si>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</si>
  <si>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</si>
  <si>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</si>
  <si>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</si>
  <si>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</si>
  <si>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</si>
  <si>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</si>
  <si>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</si>
  <si>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</si>
  <si>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</si>
  <si>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</si>
  <si>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</si>
  <si>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</si>
  <si>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</si>
  <si>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</si>
  <si>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</si>
  <si>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</si>
  <si>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</si>
  <si>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</si>
  <si>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</si>
  <si>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</si>
  <si>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</si>
  <si>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</si>
  <si>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</si>
  <si>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</si>
  <si>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</si>
  <si>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</si>
  <si>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</si>
  <si>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</si>
  <si>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</si>
  <si>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</si>
  <si>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</si>
  <si>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</si>
  <si>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</si>
  <si>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</si>
  <si>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</si>
  <si>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</si>
  <si>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</si>
  <si>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</si>
  <si>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</si>
  <si>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</si>
  <si>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</si>
  <si>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</si>
  <si>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</si>
  <si>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</si>
  <si>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</si>
  <si>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</si>
  <si>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</si>
  <si>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</si>
  <si>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</si>
  <si>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</si>
  <si>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</si>
  <si>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</si>
  <si>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</si>
  <si>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</si>
  <si>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</si>
  <si>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</si>
  <si>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</si>
  <si>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</si>
  <si>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</si>
  <si>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</si>
  <si>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</si>
  <si>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</si>
  <si>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</si>
  <si>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</si>
  <si>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</si>
  <si>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</si>
  <si>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</si>
  <si>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</si>
  <si>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</si>
  <si>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</si>
  <si>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</si>
  <si>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</si>
  <si>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</si>
  <si>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</si>
  <si>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</si>
  <si>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</si>
  <si>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</si>
  <si>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</si>
  <si>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</si>
  <si>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</si>
  <si>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</si>
  <si>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</si>
  <si>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</si>
  <si>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</si>
  <si>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</si>
  <si>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</si>
  <si>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</si>
  <si>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</si>
  <si>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</si>
  <si>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</si>
  <si>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</si>
  <si>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</si>
  <si>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</si>
  <si>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</si>
  <si>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</si>
  <si>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</si>
  <si>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</si>
  <si>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</si>
  <si>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</si>
  <si>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</si>
  <si>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</si>
  <si>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</si>
  <si>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</si>
  <si>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</si>
  <si>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</si>
  <si>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</si>
  <si>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</si>
  <si>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</si>
  <si>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</si>
  <si>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</si>
  <si>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</si>
  <si>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</si>
  <si>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</si>
  <si>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</si>
  <si>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</si>
  <si>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</si>
  <si>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</si>
  <si>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</si>
  <si>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</si>
  <si>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</si>
  <si>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88XM</t>
  </si>
  <si>
    <t>IBARGUEN GARRIDO JUAN ESTEBAN</t>
  </si>
  <si>
    <t>SERNA  GIOVANNY</t>
  </si>
  <si>
    <t>GONZALEZ IPUANA RENE</t>
  </si>
  <si>
    <t>VERENZUELA MARTINEZ ALEXANDER</t>
  </si>
  <si>
    <t>SANCHEZ BETANCOURT FRANSCISCO</t>
  </si>
  <si>
    <t>SUAREZ ESCUDERO JONATAN</t>
  </si>
  <si>
    <t>ALBERTO ARISTIZABAL RAFAEL</t>
  </si>
  <si>
    <t>PEREZ GARCIA JUAN ESTEBAN</t>
  </si>
  <si>
    <t>PALMAR PANA EDIXON JOSUE</t>
  </si>
  <si>
    <t>MARIN GARCIA JUAN DANIEL</t>
  </si>
  <si>
    <t>CALLE  RICARDO</t>
  </si>
  <si>
    <t>GONZALEZ PEREZ RAFAEL JOSE</t>
  </si>
  <si>
    <t>PARRA VILLA YUBER ALONSO</t>
  </si>
  <si>
    <t>VALENCIA MENDOZA JHON</t>
  </si>
  <si>
    <t>LOPERA ALVAREZ ESTIVEN</t>
  </si>
  <si>
    <t>MARIN ALZATE KEVIN ANDRES</t>
  </si>
  <si>
    <t>DAVID  HENRY GIOVANNY</t>
  </si>
  <si>
    <t>AGUDELO GARCIA DENIN ANGELO</t>
  </si>
  <si>
    <t>ESPINOZA CHAVARRIA GUILLERMO LEON</t>
  </si>
  <si>
    <t>MURILLO  YOIMAR ANDRES</t>
  </si>
  <si>
    <t>TABORDA ROJAS DIEGO ALEJANDRO</t>
  </si>
  <si>
    <t xml:space="preserve">1 Descuento (Despachador) </t>
  </si>
  <si>
    <t xml:space="preserve">3 Descuentos (Transbordo) </t>
  </si>
  <si>
    <t xml:space="preserve">2 Descuentos (Conducts) </t>
  </si>
  <si>
    <t xml:space="preserve">2 Descuentos (Despachador) </t>
  </si>
  <si>
    <t xml:space="preserve">2 Descuentos (Despachador y conduct)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</si>
  <si>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</si>
  <si>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20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</si>
</sst>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Gothic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Import!$C$7:$C$29</c:f>
              <c:numCache>
                <c:formatCode>0</c:formatCode>
                <c:ptCount val="2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29</c:v>
                </c:pt>
                <c:pt idx="15" formatCode="General">
                  <c:v>36</c:v>
                </c:pt>
                <c:pt idx="16" formatCode="General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 formatCode="General">
                  <c:v>42</c:v>
                </c:pt>
                <c:pt idx="21">
                  <c:v>44</c:v>
                </c:pt>
              </c:numCache>
            </c:numRef>
          </c:cat>
          <c:val>
            <c:numRef>
              <c:f>Import!$H$7:$H$29</c:f>
              <c:numCache>
                <c:formatCode>_-* #,##0.0_-;\-* #,##0.0_-;_-* "-"??_-;_-@_-</c:formatCode>
                <c:ptCount val="22"/>
                <c:pt idx="0">
                  <c:v>20</c:v>
                </c:pt>
                <c:pt idx="1">
                  <c:v>23.9</c:v>
                </c:pt>
                <c:pt idx="2">
                  <c:v>22.6</c:v>
                </c:pt>
                <c:pt idx="3">
                  <c:v>16.8</c:v>
                </c:pt>
                <c:pt idx="4">
                  <c:v>19.100000000000001</c:v>
                </c:pt>
                <c:pt idx="5">
                  <c:v>20.777777777777779</c:v>
                </c:pt>
                <c:pt idx="6">
                  <c:v>35</c:v>
                </c:pt>
                <c:pt idx="7">
                  <c:v>20.444444444444443</c:v>
                </c:pt>
                <c:pt idx="8">
                  <c:v>18.545454545454547</c:v>
                </c:pt>
                <c:pt idx="9">
                  <c:v>17.777777777777779</c:v>
                </c:pt>
                <c:pt idx="10">
                  <c:v>18.899999999999999</c:v>
                </c:pt>
                <c:pt idx="11">
                  <c:v>18.7</c:v>
                </c:pt>
                <c:pt idx="12">
                  <c:v>19.2</c:v>
                </c:pt>
                <c:pt idx="13">
                  <c:v>19</c:v>
                </c:pt>
                <c:pt idx="14">
                  <c:v>20</c:v>
                </c:pt>
                <c:pt idx="15">
                  <c:v>23.333333333333332</c:v>
                </c:pt>
                <c:pt idx="16">
                  <c:v>18.444444444444443</c:v>
                </c:pt>
                <c:pt idx="17">
                  <c:v>21</c:v>
                </c:pt>
                <c:pt idx="18">
                  <c:v>20.6</c:v>
                </c:pt>
                <c:pt idx="19">
                  <c:v>21.2</c:v>
                </c:pt>
                <c:pt idx="20">
                  <c:v>23.8</c:v>
                </c:pt>
                <c:pt idx="21">
                  <c:v>12.166666666666666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10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4">
    <i>
      <x v="1"/>
    </i>
    <i>
      <x v="10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Between" evalOrder="-1" id="34" name="Fecha">
      <autoFilter ref="A1">
        <filterColumn colId="0">
          <customFilters and="1">
            <customFilter operator="greaterThanOrEqual" val="45689"/>
            <customFilter operator="lessThanOrEqual" val="457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9" totalsRowCount="1" headerRowDxfId="64" dataDxfId="63" totalsRowDxfId="62">
  <sortState xmlns:xlrd2="http://schemas.microsoft.com/office/spreadsheetml/2017/richdata2" ref="B7:N28">
    <sortCondition ref="C16:C28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+(SUMIFS(G:G,M:M,"MICRO",E:E,"&gt;0")*100)/COUNTIF($E$7:$E$28,"&gt;0")</calculatedColumnFormula>
    </tableColumn>
    <tableColumn id="14" xr3:uid="{9A2661DD-4DFD-4396-9AF3-54AC3860AE43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Sector">
  <a:themeElements>
    <a:clrScheme name="Verde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Between">
    <selection startDate="2025-02-01T00:00:00" endDate="2025-02-28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2" selectionLevel="2" scrollPosition="2024-07-23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9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9.375" style="362" hidden="1" customWidth="1"/>
    <col min="11" max="11" width="37.5" customWidth="1"/>
    <col min="12" max="12" width="10.5" style="337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3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+SUM(G6:G1840)/2</f>
        <v>3720</v>
      </c>
      <c r="R3" s="55">
        <f>+SUM(E6:E1840)/2</f>
        <v>185.5</v>
      </c>
      <c r="S3" s="55">
        <f>+Q3-R3</f>
        <v>3534.5</v>
      </c>
      <c r="T3" s="56">
        <f>+S3/R3</f>
        <v>19.053908355795148</v>
      </c>
      <c r="V3" s="15"/>
      <c r="X3" s="15"/>
      <c r="Z3" s="15"/>
      <c r="AB3" s="15"/>
      <c r="AD3" s="15"/>
      <c r="AF3" s="15"/>
    </row>
    <row r="4" spans="1:32" x14ac:dyDescent="0.3">
      <c r="B4" s="369"/>
      <c r="C4" s="369"/>
      <c r="D4" s="369"/>
      <c r="E4" s="369"/>
      <c r="F4" s="369"/>
      <c r="G4" s="194">
        <v>46054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67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175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3">
      <c r="B7" s="136" t="s">
        <v>148</v>
      </c>
      <c r="C7" s="166">
        <v>2</v>
      </c>
      <c r="D7" s="151" t="s">
        <v>166</v>
      </c>
      <c r="E7" s="150">
        <v>10</v>
      </c>
      <c r="F7" s="150">
        <v>0</v>
      </c>
      <c r="G7" s="165">
        <v>200</v>
      </c>
      <c r="H7" s="226">
        <f>+G7/E7</f>
        <v>20</v>
      </c>
      <c r="I7" s="227">
        <f>+(SUM($G$7:$G$1048576)/SUM($E$7:$E$1048576))*E7</f>
        <v>200.53908355795147</v>
      </c>
      <c r="J7" s="363">
        <f>+Tabla2[[#This Row],[PROM DE USUARIOS]]-Tabla2[[#This Row],[USUARIOS]]</f>
        <v>0.53908355795147145</v>
      </c>
      <c r="K7" s="151"/>
      <c r="L7" s="163">
        <f>Q7*635</f>
        <v>120992.31805929918</v>
      </c>
      <c r="M7" s="162">
        <f>+VLOOKUP(C7,Lista!B:D,3,0)</f>
        <v>0</v>
      </c>
      <c r="N7" s="164">
        <f>+(SUMIFS(G:G,M:M,"MICRO",E:E,"&gt;0")*100)/COUNTIF($E$7:$E$28,"&gt;0")</f>
        <v>11040.90909090909</v>
      </c>
      <c r="O7" s="164">
        <f>Tabla2[[#This Row],[USUARIOS]]*150</f>
        <v>30000</v>
      </c>
      <c r="P7" s="50">
        <f>+(E7*1)-W7</f>
        <v>10</v>
      </c>
      <c r="Q7" s="47">
        <f>+I7-P7-X7</f>
        <v>190.53908355795147</v>
      </c>
      <c r="R7" s="49">
        <f>+G7-P7</f>
        <v>190</v>
      </c>
      <c r="S7" s="51">
        <f>+E7*$T$3</f>
        <v>190.53908355795147</v>
      </c>
      <c r="T7" s="46">
        <f t="shared" ref="T7:T28" si="0">+S7*550</f>
        <v>104796.4959568733</v>
      </c>
      <c r="U7" t="str">
        <f>+IF(K7&lt;&gt;"",K7,"")</f>
        <v/>
      </c>
      <c r="V7">
        <f>+RANK(H7,$H$6:$H$1048576,1)</f>
        <v>11</v>
      </c>
      <c r="W7"/>
      <c r="X7"/>
      <c r="Z7" t="str">
        <f>TRIM(Tabla2[[#This Row],[CONDUCTOR]])</f>
        <v>AGUDELO GARCIA DENIN ANGELO</v>
      </c>
    </row>
    <row r="8" spans="1:32" x14ac:dyDescent="0.3">
      <c r="B8" s="136" t="s">
        <v>148</v>
      </c>
      <c r="C8" s="166">
        <v>4</v>
      </c>
      <c r="D8" s="151" t="s">
        <v>153</v>
      </c>
      <c r="E8" s="150">
        <v>10</v>
      </c>
      <c r="F8" s="150">
        <v>0</v>
      </c>
      <c r="G8" s="146">
        <v>239</v>
      </c>
      <c r="H8" s="226">
        <f>+G8/E8</f>
        <v>23.9</v>
      </c>
      <c r="I8" s="364">
        <f>+(SUM($G$7:$G$1048576)/SUM($E$7:$E$1048576))*E8</f>
        <v>200.53908355795147</v>
      </c>
      <c r="J8" s="363">
        <f>+Tabla2[[#This Row],[PROM DE USUARIOS]]-Tabla2[[#This Row],[USUARIOS]]</f>
        <v>-38.460916442048529</v>
      </c>
      <c r="K8" s="151"/>
      <c r="L8" s="163">
        <f>Q8*635</f>
        <v>120992.31805929918</v>
      </c>
      <c r="M8" s="162" t="str">
        <f>+VLOOKUP(C8,Lista!B:D,3,0)</f>
        <v>MICRO</v>
      </c>
      <c r="N8" s="164">
        <f>+(SUMIFS(G:G,M:M,"MICRO",E:E,"&gt;0")*100)/COUNTIF($E$7:$E$28,"&gt;0")</f>
        <v>11040.90909090909</v>
      </c>
      <c r="O8" s="164">
        <f>Tabla2[[#This Row],[USUARIOS]]*150</f>
        <v>35850</v>
      </c>
      <c r="P8" s="50">
        <f>+(E8*1)-W8</f>
        <v>10</v>
      </c>
      <c r="Q8" s="47">
        <f>+I8-P8-X8</f>
        <v>190.53908355795147</v>
      </c>
      <c r="R8" s="49">
        <f>+G8-P8</f>
        <v>229</v>
      </c>
      <c r="S8" s="51">
        <f>+E8*$T$3</f>
        <v>190.53908355795147</v>
      </c>
      <c r="T8" s="46">
        <f t="shared" si="0"/>
        <v>104796.4959568733</v>
      </c>
      <c r="U8" t="str">
        <f>+IF(K8&lt;&gt;"",K8,"")</f>
        <v/>
      </c>
      <c r="V8">
        <f>+RANK(H8,$H$6:$H$1048576,1)</f>
        <v>22</v>
      </c>
      <c r="Z8" t="str">
        <f>TRIM(Tabla2[[#This Row],[CONDUCTOR]])</f>
        <v>SANCHEZ BETANCOURT FRANSCISCO</v>
      </c>
    </row>
    <row r="9" spans="1:32" x14ac:dyDescent="0.3">
      <c r="B9" s="136" t="s">
        <v>148</v>
      </c>
      <c r="C9" s="166">
        <v>6</v>
      </c>
      <c r="D9" s="151" t="s">
        <v>150</v>
      </c>
      <c r="E9" s="150">
        <v>10</v>
      </c>
      <c r="F9" s="150">
        <v>0</v>
      </c>
      <c r="G9" s="146">
        <v>226</v>
      </c>
      <c r="H9" s="226">
        <f>+G9/E9</f>
        <v>22.6</v>
      </c>
      <c r="I9" s="364">
        <f>+(SUM($G$7:$G$1048576)/SUM($E$7:$E$1048576))*E9</f>
        <v>200.53908355795147</v>
      </c>
      <c r="J9" s="363">
        <f>+Tabla2[[#This Row],[PROM DE USUARIOS]]-Tabla2[[#This Row],[USUARIOS]]</f>
        <v>-25.460916442048529</v>
      </c>
      <c r="K9" s="151" t="s">
        <v>170</v>
      </c>
      <c r="L9" s="163">
        <f>Q9*635</f>
        <v>120992.31805929918</v>
      </c>
      <c r="M9" s="162" t="str">
        <f>+VLOOKUP(C9,Lista!B:D,3,0)</f>
        <v>MICRO</v>
      </c>
      <c r="N9" s="164">
        <f>+(SUMIFS(G:G,M:M,"MICRO",E:E,"&gt;0")*100)/COUNTIF($E$7:$E$28,"&gt;0")</f>
        <v>11040.90909090909</v>
      </c>
      <c r="O9" s="164">
        <f>Tabla2[[#This Row],[USUARIOS]]*150</f>
        <v>33900</v>
      </c>
      <c r="P9" s="50">
        <f>+(E9*1)-W9</f>
        <v>10</v>
      </c>
      <c r="Q9" s="47">
        <f>+I9-P9-X9</f>
        <v>190.53908355795147</v>
      </c>
      <c r="R9" s="49">
        <f>+G9-P9</f>
        <v>216</v>
      </c>
      <c r="S9" s="51">
        <f>+E9*$T$3</f>
        <v>190.53908355795147</v>
      </c>
      <c r="T9" s="46">
        <f t="shared" si="0"/>
        <v>104796.4959568733</v>
      </c>
      <c r="U9" t="str">
        <f>+IF(K9&lt;&gt;"",K9,"")</f>
        <v xml:space="preserve">1 Descuento (Despachador) </v>
      </c>
      <c r="V9">
        <f>+RANK(H9,$H$6:$H$1048576,1)</f>
        <v>19</v>
      </c>
      <c r="Z9" t="str">
        <f>TRIM(Tabla2[[#This Row],[CONDUCTOR]])</f>
        <v>SERNA GIOVANNY</v>
      </c>
    </row>
    <row r="10" spans="1:32" x14ac:dyDescent="0.3">
      <c r="B10" s="136" t="s">
        <v>148</v>
      </c>
      <c r="C10" s="166">
        <v>8</v>
      </c>
      <c r="D10" s="151" t="s">
        <v>160</v>
      </c>
      <c r="E10" s="150">
        <v>10</v>
      </c>
      <c r="F10" s="150">
        <v>0</v>
      </c>
      <c r="G10" s="146">
        <v>168</v>
      </c>
      <c r="H10" s="226">
        <f>+G10/E10</f>
        <v>16.8</v>
      </c>
      <c r="I10" s="364">
        <f>+(SUM($G$7:$G$1048576)/SUM($E$7:$E$1048576))*E10</f>
        <v>200.53908355795147</v>
      </c>
      <c r="J10" s="363">
        <f>+Tabla2[[#This Row],[PROM DE USUARIOS]]-Tabla2[[#This Row],[USUARIOS]]</f>
        <v>32.539083557951471</v>
      </c>
      <c r="K10" s="151" t="s">
        <v>171</v>
      </c>
      <c r="L10" s="163">
        <f>Q10*635</f>
        <v>120992.31805929918</v>
      </c>
      <c r="M10" s="162">
        <f>+VLOOKUP(C10,Lista!B:D,3,0)</f>
        <v>0</v>
      </c>
      <c r="N10" s="164">
        <f>+(SUMIFS(G:G,M:M,"MICRO",E:E,"&gt;0")*100)/COUNTIF($E$7:$E$28,"&gt;0")</f>
        <v>11040.90909090909</v>
      </c>
      <c r="O10" s="164">
        <f>Tabla2[[#This Row],[USUARIOS]]*150</f>
        <v>25200</v>
      </c>
      <c r="P10" s="50">
        <f>+(E10*1)-W10</f>
        <v>10</v>
      </c>
      <c r="Q10" s="47">
        <f>+I10-P10-X10</f>
        <v>190.53908355795147</v>
      </c>
      <c r="R10" s="49">
        <f>+G10-P10</f>
        <v>158</v>
      </c>
      <c r="S10" s="51">
        <f>+E10*$T$3</f>
        <v>190.53908355795147</v>
      </c>
      <c r="T10" s="46">
        <f t="shared" si="0"/>
        <v>104796.4959568733</v>
      </c>
      <c r="U10" t="str">
        <f>+IF(K10&lt;&gt;"",K10,"")</f>
        <v xml:space="preserve">3 Descuentos (Transbordo) </v>
      </c>
      <c r="V10">
        <f>+RANK(H10,$H$6:$H$1048576,1)</f>
        <v>2</v>
      </c>
      <c r="Z10" t="str">
        <f>TRIM(Tabla2[[#This Row],[CONDUCTOR]])</f>
        <v>GONZALEZ PEREZ RAFAEL JOSE</v>
      </c>
    </row>
    <row r="11" spans="1:32" x14ac:dyDescent="0.3">
      <c r="B11" s="136" t="s">
        <v>148</v>
      </c>
      <c r="C11" s="166">
        <v>10</v>
      </c>
      <c r="D11" s="151" t="s">
        <v>161</v>
      </c>
      <c r="E11" s="150">
        <v>10</v>
      </c>
      <c r="F11" s="150">
        <v>0</v>
      </c>
      <c r="G11" s="165">
        <v>191</v>
      </c>
      <c r="H11" s="226">
        <f>+G11/E11</f>
        <v>19.100000000000001</v>
      </c>
      <c r="I11" s="227">
        <f>+(SUM($G$7:$G$1048576)/SUM($E$7:$E$1048576))*E11</f>
        <v>200.53908355795147</v>
      </c>
      <c r="J11" s="363">
        <f>+Tabla2[[#This Row],[PROM DE USUARIOS]]-Tabla2[[#This Row],[USUARIOS]]</f>
        <v>9.5390835579514714</v>
      </c>
      <c r="K11" s="151"/>
      <c r="L11" s="163">
        <f>Q11*635</f>
        <v>120992.31805929918</v>
      </c>
      <c r="M11" s="162" t="str">
        <f>+VLOOKUP(C11,Lista!B:D,3,0)</f>
        <v>MICRO</v>
      </c>
      <c r="N11" s="164">
        <f>+(SUMIFS(G:G,M:M,"MICRO",E:E,"&gt;0")*100)/COUNTIF($E$7:$E$28,"&gt;0")</f>
        <v>11040.90909090909</v>
      </c>
      <c r="O11" s="164">
        <f>Tabla2[[#This Row],[USUARIOS]]*150</f>
        <v>28650</v>
      </c>
      <c r="P11" s="50">
        <f>+(E11*1)-W11</f>
        <v>10</v>
      </c>
      <c r="Q11" s="47">
        <f>+I11-P11-X11</f>
        <v>190.53908355795147</v>
      </c>
      <c r="R11" s="49">
        <f>+G11-P11</f>
        <v>181</v>
      </c>
      <c r="S11" s="51">
        <f>+E11*$T$3</f>
        <v>190.53908355795147</v>
      </c>
      <c r="T11" s="46">
        <f t="shared" si="0"/>
        <v>104796.4959568733</v>
      </c>
      <c r="U11" t="str">
        <f>+IF(K11&lt;&gt;"",K11,"")</f>
        <v/>
      </c>
      <c r="V11">
        <f>+RANK(H11,$H$6:$H$1048576,1)</f>
        <v>9</v>
      </c>
      <c r="Z11" t="str">
        <f>TRIM(Tabla2[[#This Row],[CONDUCTOR]])</f>
        <v>PARRA VILLA YUBER ALONSO</v>
      </c>
    </row>
    <row r="12" spans="1:32" x14ac:dyDescent="0.3">
      <c r="B12" s="136" t="s">
        <v>148</v>
      </c>
      <c r="C12" s="166">
        <v>12</v>
      </c>
      <c r="D12" s="151" t="s">
        <v>165</v>
      </c>
      <c r="E12" s="150">
        <v>9</v>
      </c>
      <c r="F12" s="150">
        <v>0</v>
      </c>
      <c r="G12" s="165">
        <v>187</v>
      </c>
      <c r="H12" s="226">
        <f>+G12/E12</f>
        <v>20.777777777777779</v>
      </c>
      <c r="I12" s="227">
        <f>+(SUM($G$7:$G$1048576)/SUM($E$7:$E$1048576))*E12</f>
        <v>180.48517520215634</v>
      </c>
      <c r="J12" s="363">
        <f>+Tabla2[[#This Row],[PROM DE USUARIOS]]-Tabla2[[#This Row],[USUARIOS]]</f>
        <v>-6.5148247978436586</v>
      </c>
      <c r="K12" s="151"/>
      <c r="L12" s="163">
        <f>Q12*635</f>
        <v>108893.08625336927</v>
      </c>
      <c r="M12" s="162">
        <f>+VLOOKUP(C12,Lista!B:D,3,0)</f>
        <v>0</v>
      </c>
      <c r="N12" s="164">
        <f>+(SUMIFS(G:G,M:M,"MICRO",E:E,"&gt;0")*100)/COUNTIF($E$7:$E$28,"&gt;0")</f>
        <v>11040.90909090909</v>
      </c>
      <c r="O12" s="164">
        <f>Tabla2[[#This Row],[USUARIOS]]*150</f>
        <v>28050</v>
      </c>
      <c r="P12" s="50">
        <f>+(E12*1)-W12</f>
        <v>9</v>
      </c>
      <c r="Q12" s="47">
        <f>+I12-P12-X12</f>
        <v>171.48517520215634</v>
      </c>
      <c r="R12" s="49">
        <f>+G12-P12</f>
        <v>178</v>
      </c>
      <c r="S12" s="51">
        <f>+E12*$T$3</f>
        <v>171.48517520215634</v>
      </c>
      <c r="T12" s="46">
        <f t="shared" si="0"/>
        <v>94316.846361185992</v>
      </c>
      <c r="U12" t="str">
        <f>+IF(K12&lt;&gt;"",K12,"")</f>
        <v/>
      </c>
      <c r="V12">
        <f>+RANK(H12,$H$6:$H$1048576,1)</f>
        <v>16</v>
      </c>
      <c r="Z12" t="str">
        <f>TRIM(Tabla2[[#This Row],[CONDUCTOR]])</f>
        <v>DAVID HENRY GIOVANNY</v>
      </c>
    </row>
    <row r="13" spans="1:32" x14ac:dyDescent="0.3">
      <c r="B13" s="136" t="s">
        <v>148</v>
      </c>
      <c r="C13" s="166">
        <v>14</v>
      </c>
      <c r="D13" s="151" t="s">
        <v>152</v>
      </c>
      <c r="E13" s="150">
        <v>2</v>
      </c>
      <c r="F13" s="150">
        <v>0</v>
      </c>
      <c r="G13" s="146">
        <v>70</v>
      </c>
      <c r="H13" s="226">
        <f>+G13/E13</f>
        <v>35</v>
      </c>
      <c r="I13" s="364">
        <f>+(SUM($G$7:$G$1048576)/SUM($E$7:$E$1048576))*E13</f>
        <v>40.107816711590296</v>
      </c>
      <c r="J13" s="363">
        <f>+Tabla2[[#This Row],[PROM DE USUARIOS]]-Tabla2[[#This Row],[USUARIOS]]</f>
        <v>-29.892183288409704</v>
      </c>
      <c r="K13" s="151"/>
      <c r="L13" s="163">
        <f>Q13*635</f>
        <v>24198.463611859839</v>
      </c>
      <c r="M13" s="162">
        <f>+VLOOKUP(C13,Lista!B:D,3,0)</f>
        <v>0</v>
      </c>
      <c r="N13" s="164">
        <f>+(SUMIFS(G:G,M:M,"MICRO",E:E,"&gt;0")*100)/COUNTIF($E$7:$E$28,"&gt;0")</f>
        <v>11040.90909090909</v>
      </c>
      <c r="O13" s="164">
        <f>Tabla2[[#This Row],[USUARIOS]]*150</f>
        <v>10500</v>
      </c>
      <c r="P13" s="50">
        <f>+(E13*1)-W13</f>
        <v>2</v>
      </c>
      <c r="Q13" s="47">
        <f>+I13-P13-X13</f>
        <v>38.107816711590296</v>
      </c>
      <c r="R13" s="49">
        <f>+G13-P13</f>
        <v>68</v>
      </c>
      <c r="S13" s="51">
        <f>+E13*$T$3</f>
        <v>38.107816711590296</v>
      </c>
      <c r="T13" s="46">
        <f t="shared" si="0"/>
        <v>20959.299191374663</v>
      </c>
      <c r="U13" t="str">
        <f>+IF(K13&lt;&gt;"",K13,"")</f>
        <v/>
      </c>
      <c r="V13">
        <f>+RANK(H13,$H$6:$H$1048576,1)</f>
        <v>23</v>
      </c>
      <c r="Z13" t="str">
        <f>TRIM(Tabla2[[#This Row],[CONDUCTOR]])</f>
        <v>VERENZUELA MARTINEZ ALEXANDER</v>
      </c>
    </row>
    <row r="14" spans="1:32" x14ac:dyDescent="0.3">
      <c r="B14" s="136" t="s">
        <v>148</v>
      </c>
      <c r="C14" s="166">
        <v>16</v>
      </c>
      <c r="D14" s="151" t="s">
        <v>156</v>
      </c>
      <c r="E14" s="150">
        <v>9</v>
      </c>
      <c r="F14" s="150">
        <v>0</v>
      </c>
      <c r="G14" s="165">
        <v>184</v>
      </c>
      <c r="H14" s="226">
        <f>+G14/E14</f>
        <v>20.444444444444443</v>
      </c>
      <c r="I14" s="227">
        <f>+(SUM($G$7:$G$1048576)/SUM($E$7:$E$1048576))*E14</f>
        <v>180.48517520215634</v>
      </c>
      <c r="J14" s="363">
        <f>+Tabla2[[#This Row],[PROM DE USUARIOS]]-Tabla2[[#This Row],[USUARIOS]]</f>
        <v>-3.5148247978436586</v>
      </c>
      <c r="K14" s="151" t="s">
        <v>129</v>
      </c>
      <c r="L14" s="163">
        <f>Q14*635</f>
        <v>108893.08625336927</v>
      </c>
      <c r="M14" s="162" t="str">
        <f>+VLOOKUP(C14,Lista!B:D,3,0)</f>
        <v>MICRO</v>
      </c>
      <c r="N14" s="164">
        <f>+(SUMIFS(G:G,M:M,"MICRO",E:E,"&gt;0")*100)/COUNTIF($E$7:$E$28,"&gt;0")</f>
        <v>11040.90909090909</v>
      </c>
      <c r="O14" s="164">
        <f>Tabla2[[#This Row],[USUARIOS]]*150</f>
        <v>27600</v>
      </c>
      <c r="P14" s="50">
        <f>+(E14*1)-W14</f>
        <v>9</v>
      </c>
      <c r="Q14" s="47">
        <f>+I14-P14-X14</f>
        <v>171.48517520215634</v>
      </c>
      <c r="R14" s="49">
        <f>+G14-P14</f>
        <v>175</v>
      </c>
      <c r="S14" s="51">
        <f>+E14*$T$3</f>
        <v>171.48517520215634</v>
      </c>
      <c r="T14" s="46">
        <f t="shared" si="0"/>
        <v>94316.846361185992</v>
      </c>
      <c r="U14" t="str">
        <f>+IF(K14&lt;&gt;"",K14,"")</f>
        <v xml:space="preserve">1 Descuento (Conduct) </v>
      </c>
      <c r="V14">
        <f>+RANK(H14,$H$6:$H$1048576,1)</f>
        <v>14</v>
      </c>
      <c r="Z14" t="str">
        <f>TRIM(Tabla2[[#This Row],[CONDUCTOR]])</f>
        <v>PEREZ GARCIA JUAN ESTEBAN</v>
      </c>
    </row>
    <row r="15" spans="1:32" x14ac:dyDescent="0.3">
      <c r="B15" s="136" t="s">
        <v>148</v>
      </c>
      <c r="C15" s="166">
        <v>18</v>
      </c>
      <c r="D15" s="151" t="s">
        <v>155</v>
      </c>
      <c r="E15" s="150">
        <v>11</v>
      </c>
      <c r="F15" s="150">
        <v>0</v>
      </c>
      <c r="G15" s="165">
        <v>204</v>
      </c>
      <c r="H15" s="226">
        <f>+G15/E15</f>
        <v>18.545454545454547</v>
      </c>
      <c r="I15" s="227">
        <f>+(SUM($G$7:$G$1048576)/SUM($E$7:$E$1048576))*E15</f>
        <v>220.59299191374663</v>
      </c>
      <c r="J15" s="363">
        <f>+Tabla2[[#This Row],[PROM DE USUARIOS]]-Tabla2[[#This Row],[USUARIOS]]</f>
        <v>16.59299191374663</v>
      </c>
      <c r="K15" s="151" t="s">
        <v>172</v>
      </c>
      <c r="L15" s="163">
        <f>Q15*635</f>
        <v>133091.54986522911</v>
      </c>
      <c r="M15" s="162" t="str">
        <f>+VLOOKUP(C15,Lista!B:D,3,0)</f>
        <v>MICRO</v>
      </c>
      <c r="N15" s="164">
        <f>+(SUMIFS(G:G,M:M,"MICRO",E:E,"&gt;0")*100)/COUNTIF($E$7:$E$28,"&gt;0")</f>
        <v>11040.90909090909</v>
      </c>
      <c r="O15" s="164">
        <f>Tabla2[[#This Row],[USUARIOS]]*150</f>
        <v>30600</v>
      </c>
      <c r="P15" s="50">
        <f>+(E15*1)-W15</f>
        <v>11</v>
      </c>
      <c r="Q15" s="47">
        <f>+I15-P15-X15</f>
        <v>209.59299191374663</v>
      </c>
      <c r="R15" s="49">
        <f>+G15-P15</f>
        <v>193</v>
      </c>
      <c r="S15" s="51">
        <f>+E15*$T$3</f>
        <v>209.59299191374663</v>
      </c>
      <c r="T15" s="46">
        <f t="shared" si="0"/>
        <v>115276.14555256064</v>
      </c>
      <c r="U15" t="str">
        <f>+IF(K15&lt;&gt;"",K15,"")</f>
        <v xml:space="preserve">2 Descuentos (Conducts) </v>
      </c>
      <c r="V15">
        <f>+RANK(H15,$H$6:$H$1048576,1)</f>
        <v>5</v>
      </c>
      <c r="Z15" t="str">
        <f>TRIM(Tabla2[[#This Row],[CONDUCTOR]])</f>
        <v>ALBERTO ARISTIZABAL RAFAEL</v>
      </c>
    </row>
    <row r="16" spans="1:32" x14ac:dyDescent="0.3">
      <c r="B16" s="136" t="s">
        <v>148</v>
      </c>
      <c r="C16" s="166">
        <v>20</v>
      </c>
      <c r="D16" s="151" t="s">
        <v>162</v>
      </c>
      <c r="E16" s="150">
        <v>9</v>
      </c>
      <c r="F16" s="150">
        <v>0</v>
      </c>
      <c r="G16" s="146">
        <v>160</v>
      </c>
      <c r="H16" s="226">
        <f>+G16/E16</f>
        <v>17.777777777777779</v>
      </c>
      <c r="I16" s="364">
        <f>+(SUM($G$7:$G$1048576)/SUM($E$7:$E$1048576))*E16</f>
        <v>180.48517520215634</v>
      </c>
      <c r="J16" s="363">
        <f>+Tabla2[[#This Row],[PROM DE USUARIOS]]-Tabla2[[#This Row],[USUARIOS]]</f>
        <v>20.485175202156341</v>
      </c>
      <c r="K16" s="151"/>
      <c r="L16" s="163">
        <f>Q16*635</f>
        <v>108893.08625336927</v>
      </c>
      <c r="M16" s="162" t="str">
        <f>+VLOOKUP(C16,Lista!B:D,3,0)</f>
        <v>MICRO</v>
      </c>
      <c r="N16" s="164">
        <f>+(SUMIFS(G:G,M:M,"MICRO",E:E,"&gt;0")*100)/COUNTIF($E$7:$E$28,"&gt;0")</f>
        <v>11040.90909090909</v>
      </c>
      <c r="O16" s="164">
        <f>Tabla2[[#This Row],[USUARIOS]]*150</f>
        <v>24000</v>
      </c>
      <c r="P16" s="50">
        <f>+(E16*1)-W16</f>
        <v>9</v>
      </c>
      <c r="Q16" s="47">
        <f>+I16-P16-X16</f>
        <v>171.48517520215634</v>
      </c>
      <c r="R16" s="49">
        <f>+G16-P16</f>
        <v>151</v>
      </c>
      <c r="S16" s="51">
        <f>+E16*$T$3</f>
        <v>171.48517520215634</v>
      </c>
      <c r="T16" s="46">
        <f t="shared" si="0"/>
        <v>94316.846361185992</v>
      </c>
      <c r="U16" t="str">
        <f>+IF(K16&lt;&gt;"",K16,"")</f>
        <v/>
      </c>
      <c r="V16">
        <f>+RANK(H16,$H$6:$H$1048576,1)</f>
        <v>3</v>
      </c>
      <c r="Z16" t="str">
        <f>TRIM(Tabla2[[#This Row],[CONDUCTOR]])</f>
        <v>VALENCIA MENDOZA JHON</v>
      </c>
    </row>
    <row r="17" spans="2:26" x14ac:dyDescent="0.3">
      <c r="B17" s="136" t="s">
        <v>148</v>
      </c>
      <c r="C17" s="166">
        <v>22</v>
      </c>
      <c r="D17" s="151" t="s">
        <v>158</v>
      </c>
      <c r="E17" s="150">
        <v>10</v>
      </c>
      <c r="F17" s="150">
        <v>0</v>
      </c>
      <c r="G17" s="165">
        <v>189</v>
      </c>
      <c r="H17" s="226">
        <f>+G17/E17</f>
        <v>18.899999999999999</v>
      </c>
      <c r="I17" s="227">
        <f>+(SUM($G$7:$G$1048576)/SUM($E$7:$E$1048576))*E17</f>
        <v>200.53908355795147</v>
      </c>
      <c r="J17" s="363">
        <f>+Tabla2[[#This Row],[PROM DE USUARIOS]]-Tabla2[[#This Row],[USUARIOS]]</f>
        <v>11.539083557951471</v>
      </c>
      <c r="K17" s="151"/>
      <c r="L17" s="163">
        <f>Q17*635</f>
        <v>120992.31805929918</v>
      </c>
      <c r="M17" s="162">
        <f>+VLOOKUP(C17,Lista!B:D,3,0)</f>
        <v>0</v>
      </c>
      <c r="N17" s="164">
        <f>+(SUMIFS(G:G,M:M,"MICRO",E:E,"&gt;0")*100)/COUNTIF($E$7:$E$28,"&gt;0")</f>
        <v>11040.90909090909</v>
      </c>
      <c r="O17" s="164">
        <f>Tabla2[[#This Row],[USUARIOS]]*150</f>
        <v>28350</v>
      </c>
      <c r="P17" s="50">
        <f>+(E17*1)-W17</f>
        <v>10</v>
      </c>
      <c r="Q17" s="47">
        <f>+I17-P17-X17</f>
        <v>190.53908355795147</v>
      </c>
      <c r="R17" s="49">
        <f>+G17-P17</f>
        <v>179</v>
      </c>
      <c r="S17" s="51">
        <f>+E17*$T$3</f>
        <v>190.53908355795147</v>
      </c>
      <c r="T17" s="46">
        <f t="shared" si="0"/>
        <v>104796.4959568733</v>
      </c>
      <c r="U17" t="str">
        <f>+IF(K17&lt;&gt;"",K17,"")</f>
        <v/>
      </c>
      <c r="V17">
        <f>+RANK(H17,$H$6:$H$1048576,1)</f>
        <v>7</v>
      </c>
      <c r="Z17" t="str">
        <f>TRIM(Tabla2[[#This Row],[CONDUCTOR]])</f>
        <v>MARIN GARCIA JUAN DANIEL</v>
      </c>
    </row>
    <row r="18" spans="2:26" x14ac:dyDescent="0.3">
      <c r="B18" s="136" t="s">
        <v>148</v>
      </c>
      <c r="C18" s="166">
        <v>24</v>
      </c>
      <c r="D18" s="151" t="s">
        <v>159</v>
      </c>
      <c r="E18" s="150">
        <v>10</v>
      </c>
      <c r="F18" s="150">
        <v>0</v>
      </c>
      <c r="G18" s="165">
        <v>187</v>
      </c>
      <c r="H18" s="226">
        <f>+G18/E18</f>
        <v>18.7</v>
      </c>
      <c r="I18" s="227">
        <f>+(SUM($G$7:$G$1048576)/SUM($E$7:$E$1048576))*E18</f>
        <v>200.53908355795147</v>
      </c>
      <c r="J18" s="363">
        <f>+Tabla2[[#This Row],[PROM DE USUARIOS]]-Tabla2[[#This Row],[USUARIOS]]</f>
        <v>13.539083557951471</v>
      </c>
      <c r="K18" s="151"/>
      <c r="L18" s="163">
        <f>Q18*635</f>
        <v>120992.31805929918</v>
      </c>
      <c r="M18" s="162" t="str">
        <f>+VLOOKUP(C18,Lista!B:D,3,0)</f>
        <v>MICRO</v>
      </c>
      <c r="N18" s="164">
        <f>+(SUMIFS(G:G,M:M,"MICRO",E:E,"&gt;0")*100)/COUNTIF($E$7:$E$28,"&gt;0")</f>
        <v>11040.90909090909</v>
      </c>
      <c r="O18" s="164">
        <f>Tabla2[[#This Row],[USUARIOS]]*150</f>
        <v>28050</v>
      </c>
      <c r="P18" s="50">
        <f>+(E18*1)-W18</f>
        <v>10</v>
      </c>
      <c r="Q18" s="47">
        <f>+I18-P18-X18</f>
        <v>190.53908355795147</v>
      </c>
      <c r="R18" s="49">
        <f>+G18-P18</f>
        <v>177</v>
      </c>
      <c r="S18" s="51">
        <f>+E18*$T$3</f>
        <v>190.53908355795147</v>
      </c>
      <c r="T18" s="46">
        <f t="shared" si="0"/>
        <v>104796.4959568733</v>
      </c>
      <c r="U18" t="str">
        <f>+IF(K18&lt;&gt;"",K18,"")</f>
        <v/>
      </c>
      <c r="V18">
        <f>+RANK(H18,$H$6:$H$1048576,1)</f>
        <v>6</v>
      </c>
      <c r="Z18" t="str">
        <f>TRIM(Tabla2[[#This Row],[CONDUCTOR]])</f>
        <v>CALLE RICARDO</v>
      </c>
    </row>
    <row r="19" spans="2:26" x14ac:dyDescent="0.3">
      <c r="B19" s="136" t="s">
        <v>148</v>
      </c>
      <c r="C19" s="166">
        <v>26</v>
      </c>
      <c r="D19" s="151" t="s">
        <v>167</v>
      </c>
      <c r="E19" s="150">
        <v>10</v>
      </c>
      <c r="F19" s="150">
        <v>0</v>
      </c>
      <c r="G19" s="146">
        <v>192</v>
      </c>
      <c r="H19" s="226">
        <f>+G19/E19</f>
        <v>19.2</v>
      </c>
      <c r="I19" s="364">
        <f>+(SUM($G$7:$G$1048576)/SUM($E$7:$E$1048576))*E19</f>
        <v>200.53908355795147</v>
      </c>
      <c r="J19" s="363">
        <f>+Tabla2[[#This Row],[PROM DE USUARIOS]]-Tabla2[[#This Row],[USUARIOS]]</f>
        <v>8.5390835579514714</v>
      </c>
      <c r="K19" s="151"/>
      <c r="L19" s="163">
        <f>Q19*635</f>
        <v>120992.31805929918</v>
      </c>
      <c r="M19" s="162" t="str">
        <f>+VLOOKUP(C19,Lista!B:D,3,0)</f>
        <v>MICRO</v>
      </c>
      <c r="N19" s="164">
        <f>+(SUMIFS(G:G,M:M,"MICRO",E:E,"&gt;0")*100)/COUNTIF($E$7:$E$28,"&gt;0")</f>
        <v>11040.90909090909</v>
      </c>
      <c r="O19" s="164">
        <f>Tabla2[[#This Row],[USUARIOS]]*150</f>
        <v>28800</v>
      </c>
      <c r="P19" s="50">
        <f>+(E19*1)-W19</f>
        <v>10</v>
      </c>
      <c r="Q19" s="47">
        <f>+I19-P19-X19</f>
        <v>190.53908355795147</v>
      </c>
      <c r="R19" s="49">
        <f>+G19-P19</f>
        <v>182</v>
      </c>
      <c r="S19" s="51">
        <f>+E19*$T$3</f>
        <v>190.53908355795147</v>
      </c>
      <c r="T19" s="46">
        <f t="shared" si="0"/>
        <v>104796.4959568733</v>
      </c>
      <c r="U19" t="str">
        <f>+IF(K19&lt;&gt;"",K19,"")</f>
        <v/>
      </c>
      <c r="V19">
        <f>+RANK(H19,$H$6:$H$1048576,1)</f>
        <v>10</v>
      </c>
      <c r="Z19" t="str">
        <f>TRIM(Tabla2[[#This Row],[CONDUCTOR]])</f>
        <v>ESPINOZA CHAVARRIA GUILLERMO LEON</v>
      </c>
    </row>
    <row r="20" spans="2:26" x14ac:dyDescent="0.3">
      <c r="B20" s="136" t="s">
        <v>148</v>
      </c>
      <c r="C20" s="166">
        <v>28</v>
      </c>
      <c r="D20" s="151" t="s">
        <v>154</v>
      </c>
      <c r="E20" s="150">
        <v>9</v>
      </c>
      <c r="F20" s="150">
        <v>0</v>
      </c>
      <c r="G20" s="165">
        <v>171</v>
      </c>
      <c r="H20" s="226">
        <f>+G20/E20</f>
        <v>19</v>
      </c>
      <c r="I20" s="227">
        <f>+(SUM($G$7:$G$1048576)/SUM($E$7:$E$1048576))*E20</f>
        <v>180.48517520215634</v>
      </c>
      <c r="J20" s="363">
        <f>+Tabla2[[#This Row],[PROM DE USUARIOS]]-Tabla2[[#This Row],[USUARIOS]]</f>
        <v>9.4851752021563414</v>
      </c>
      <c r="K20" s="151"/>
      <c r="L20" s="163">
        <f>Q20*635</f>
        <v>108893.08625336927</v>
      </c>
      <c r="M20" s="162" t="str">
        <f>+VLOOKUP(C20,Lista!B:D,3,0)</f>
        <v>MICRO</v>
      </c>
      <c r="N20" s="164">
        <f>+(SUMIFS(G:G,M:M,"MICRO",E:E,"&gt;0")*100)/COUNTIF($E$7:$E$28,"&gt;0")</f>
        <v>11040.90909090909</v>
      </c>
      <c r="O20" s="164">
        <f>Tabla2[[#This Row],[USUARIOS]]*150</f>
        <v>25650</v>
      </c>
      <c r="P20" s="50">
        <f>+(E20*1)-W20</f>
        <v>9</v>
      </c>
      <c r="Q20" s="47">
        <f>+I20-P20-X20</f>
        <v>171.48517520215634</v>
      </c>
      <c r="R20" s="49">
        <f>+G20-P20</f>
        <v>162</v>
      </c>
      <c r="S20" s="51">
        <f>+E20*$T$3</f>
        <v>171.48517520215634</v>
      </c>
      <c r="T20" s="46">
        <f t="shared" si="0"/>
        <v>94316.846361185992</v>
      </c>
      <c r="U20" t="str">
        <f>+IF(K20&lt;&gt;"",K20,"")</f>
        <v/>
      </c>
      <c r="V20">
        <f>+RANK(H20,$H$6:$H$1048576,1)</f>
        <v>8</v>
      </c>
      <c r="Z20" t="str">
        <f>TRIM(Tabla2[[#This Row],[CONDUCTOR]])</f>
        <v>SUAREZ ESCUDERO JONATAN</v>
      </c>
    </row>
    <row r="21" spans="2:26" x14ac:dyDescent="0.3">
      <c r="B21" s="136" t="s">
        <v>148</v>
      </c>
      <c r="C21" s="166">
        <v>29</v>
      </c>
      <c r="D21" s="151" t="s">
        <v>168</v>
      </c>
      <c r="E21" s="150">
        <v>0.5</v>
      </c>
      <c r="F21" s="150">
        <v>0.5</v>
      </c>
      <c r="G21" s="165">
        <v>10</v>
      </c>
      <c r="H21" s="226">
        <f>+G21/E21</f>
        <v>20</v>
      </c>
      <c r="I21" s="227">
        <f>+(SUM($G$7:$G$1048576)/SUM($E$7:$E$1048576))*E21</f>
        <v>10.026954177897574</v>
      </c>
      <c r="J21" s="363">
        <f>+Tabla2[[#This Row],[PROM DE USUARIOS]]-Tabla2[[#This Row],[USUARIOS]]</f>
        <v>2.6954177897573928E-2</v>
      </c>
      <c r="K21" s="151"/>
      <c r="L21" s="163">
        <f>Q21*635</f>
        <v>6049.6159029649598</v>
      </c>
      <c r="M21" s="162" t="str">
        <f>+VLOOKUP(C21,Lista!B:D,3,0)</f>
        <v>MICRO</v>
      </c>
      <c r="N21" s="164">
        <f>+(SUMIFS(G:G,M:M,"MICRO",E:E,"&gt;0")*100)/COUNTIF($E$7:$E$28,"&gt;0")</f>
        <v>11040.90909090909</v>
      </c>
      <c r="O21" s="164">
        <f>Tabla2[[#This Row],[USUARIOS]]*150</f>
        <v>1500</v>
      </c>
      <c r="P21" s="50">
        <f>+(E21*1)-W21</f>
        <v>0.5</v>
      </c>
      <c r="Q21" s="47">
        <f>+I21-P21-X21</f>
        <v>9.5269541778975739</v>
      </c>
      <c r="R21" s="49">
        <f>+G21-P21</f>
        <v>9.5</v>
      </c>
      <c r="S21" s="51">
        <f>+E21*$T$3</f>
        <v>9.5269541778975739</v>
      </c>
      <c r="T21" s="46">
        <f t="shared" si="0"/>
        <v>5239.8247978436657</v>
      </c>
      <c r="U21" t="str">
        <f>+IF(K21&lt;&gt;"",K21,"")</f>
        <v/>
      </c>
      <c r="V21">
        <f>+RANK(H21,$H$6:$H$1048576,1)</f>
        <v>11</v>
      </c>
      <c r="Z21" t="str">
        <f>TRIM(Tabla2[[#This Row],[CONDUCTOR]])</f>
        <v>MURILLO YOIMAR ANDRES</v>
      </c>
    </row>
    <row r="22" spans="2:26" x14ac:dyDescent="0.3">
      <c r="B22" s="136" t="s">
        <v>148</v>
      </c>
      <c r="C22" s="137">
        <v>36</v>
      </c>
      <c r="D22" s="151" t="s">
        <v>168</v>
      </c>
      <c r="E22" s="150">
        <v>6</v>
      </c>
      <c r="F22" s="150">
        <v>0</v>
      </c>
      <c r="G22" s="146">
        <v>140</v>
      </c>
      <c r="H22" s="226">
        <f>+G22/E22</f>
        <v>23.333333333333332</v>
      </c>
      <c r="I22" s="227">
        <f>+(SUM($G$7:$G$1048576)/SUM($E$7:$E$1048576))*E22</f>
        <v>120.32345013477089</v>
      </c>
      <c r="J22" s="363">
        <f>+Tabla2[[#This Row],[PROM DE USUARIOS]]-Tabla2[[#This Row],[USUARIOS]]</f>
        <v>-19.676549865229106</v>
      </c>
      <c r="K22" s="151"/>
      <c r="L22" s="163">
        <f>Q22*635</f>
        <v>72595.390835579514</v>
      </c>
      <c r="M22" s="162" t="str">
        <f>+VLOOKUP(C22,Lista!B:D,3,0)</f>
        <v>MICRO</v>
      </c>
      <c r="N22" s="164">
        <f>+(SUMIFS(G:G,M:M,"MICRO",E:E,"&gt;0")*100)/COUNTIF($E$7:$E$28,"&gt;0")</f>
        <v>11040.90909090909</v>
      </c>
      <c r="O22" s="164">
        <f>Tabla2[[#This Row],[USUARIOS]]*150</f>
        <v>21000</v>
      </c>
      <c r="P22" s="50">
        <f>+(E22*1)-W22</f>
        <v>6</v>
      </c>
      <c r="Q22" s="47">
        <f>+I22-P22-X22</f>
        <v>114.32345013477089</v>
      </c>
      <c r="R22" s="49">
        <f>+G22-P22</f>
        <v>134</v>
      </c>
      <c r="S22" s="51">
        <f>+E22*$T$3</f>
        <v>114.32345013477089</v>
      </c>
      <c r="T22" s="46">
        <f t="shared" si="0"/>
        <v>62877.897574123992</v>
      </c>
      <c r="U22" t="str">
        <f>+IF(K22&lt;&gt;"",K22,"")</f>
        <v/>
      </c>
      <c r="V22">
        <f>+RANK(H22,$H$6:$H$1048576,1)</f>
        <v>20</v>
      </c>
      <c r="Z22" t="str">
        <f>TRIM(Tabla2[[#This Row],[CONDUCTOR]])</f>
        <v>MURILLO YOIMAR ANDRES</v>
      </c>
    </row>
    <row r="23" spans="2:26" x14ac:dyDescent="0.3">
      <c r="B23" s="136" t="s">
        <v>148</v>
      </c>
      <c r="C23" s="137">
        <v>37</v>
      </c>
      <c r="D23" s="151" t="s">
        <v>169</v>
      </c>
      <c r="E23" s="150">
        <v>9</v>
      </c>
      <c r="F23" s="150">
        <v>0</v>
      </c>
      <c r="G23" s="146">
        <v>166</v>
      </c>
      <c r="H23" s="226">
        <f>+G23/E23</f>
        <v>18.444444444444443</v>
      </c>
      <c r="I23" s="227">
        <f>+(SUM($G$7:$G$1048576)/SUM($E$7:$E$1048576))*E23</f>
        <v>180.48517520215634</v>
      </c>
      <c r="J23" s="363">
        <f>+Tabla2[[#This Row],[PROM DE USUARIOS]]-Tabla2[[#This Row],[USUARIOS]]</f>
        <v>14.485175202156341</v>
      </c>
      <c r="K23" s="151"/>
      <c r="L23" s="163">
        <f>Q23*635</f>
        <v>108893.08625336927</v>
      </c>
      <c r="M23" s="162">
        <f>+VLOOKUP(C23,Lista!B:D,3,0)</f>
        <v>0</v>
      </c>
      <c r="N23" s="164">
        <f>+(SUMIFS(G:G,M:M,"MICRO",E:E,"&gt;0")*100)/COUNTIF($E$7:$E$28,"&gt;0")</f>
        <v>11040.90909090909</v>
      </c>
      <c r="O23" s="164">
        <f>Tabla2[[#This Row],[USUARIOS]]*150</f>
        <v>24900</v>
      </c>
      <c r="P23" s="50">
        <f>+(E23*1)-W23</f>
        <v>9</v>
      </c>
      <c r="Q23" s="47">
        <f>+I23-P23-X23</f>
        <v>171.48517520215634</v>
      </c>
      <c r="R23" s="49">
        <f>+G23-P23</f>
        <v>157</v>
      </c>
      <c r="S23" s="51">
        <f>+E23*$T$3</f>
        <v>171.48517520215634</v>
      </c>
      <c r="T23" s="46">
        <f t="shared" si="0"/>
        <v>94316.846361185992</v>
      </c>
      <c r="U23" t="str">
        <f>+IF(K23&lt;&gt;"",K23,"")</f>
        <v/>
      </c>
      <c r="V23">
        <f>+RANK(H23,$H$6:$H$1048576,1)</f>
        <v>4</v>
      </c>
      <c r="Z23" t="str">
        <f>TRIM(Tabla2[[#This Row],[CONDUCTOR]])</f>
        <v>TABORDA ROJAS DIEGO ALEJANDRO</v>
      </c>
    </row>
    <row r="24" spans="2:26" x14ac:dyDescent="0.3">
      <c r="B24" s="136" t="s">
        <v>148</v>
      </c>
      <c r="C24" s="166">
        <v>38</v>
      </c>
      <c r="D24" s="151" t="s">
        <v>151</v>
      </c>
      <c r="E24" s="150">
        <v>10</v>
      </c>
      <c r="F24" s="150">
        <v>0</v>
      </c>
      <c r="G24" s="165">
        <v>210</v>
      </c>
      <c r="H24" s="226">
        <f>+G24/E24</f>
        <v>21</v>
      </c>
      <c r="I24" s="227">
        <f>+(SUM($G$7:$G$1048576)/SUM($E$7:$E$1048576))*E24</f>
        <v>200.53908355795147</v>
      </c>
      <c r="J24" s="363">
        <f>+Tabla2[[#This Row],[PROM DE USUARIOS]]-Tabla2[[#This Row],[USUARIOS]]</f>
        <v>-9.4609164420485286</v>
      </c>
      <c r="K24" s="151"/>
      <c r="L24" s="163">
        <f>Q24*635</f>
        <v>120992.31805929918</v>
      </c>
      <c r="M24" s="162" t="str">
        <f>+VLOOKUP(C24,Lista!B:D,3,0)</f>
        <v>MICRO</v>
      </c>
      <c r="N24" s="164">
        <f>+(SUMIFS(G:G,M:M,"MICRO",E:E,"&gt;0")*100)/COUNTIF($E$7:$E$28,"&gt;0")</f>
        <v>11040.90909090909</v>
      </c>
      <c r="O24" s="164">
        <f>Tabla2[[#This Row],[USUARIOS]]*150</f>
        <v>31500</v>
      </c>
      <c r="P24" s="50">
        <f>+(E24*1)-W24</f>
        <v>10</v>
      </c>
      <c r="Q24" s="47">
        <f>+I24-P24-X24</f>
        <v>190.53908355795147</v>
      </c>
      <c r="R24" s="49">
        <f>+G24-P24</f>
        <v>200</v>
      </c>
      <c r="S24" s="51">
        <f>+E24*$T$3</f>
        <v>190.53908355795147</v>
      </c>
      <c r="T24" s="46">
        <f t="shared" si="0"/>
        <v>104796.4959568733</v>
      </c>
      <c r="U24" t="str">
        <f>+IF(K24&lt;&gt;"",K24,"")</f>
        <v/>
      </c>
      <c r="V24">
        <f>+RANK(H24,$H$6:$H$1048576,1)</f>
        <v>17</v>
      </c>
      <c r="Z24" t="str">
        <f>TRIM(Tabla2[[#This Row],[CONDUCTOR]])</f>
        <v>GONZALEZ IPUANA RENE</v>
      </c>
    </row>
    <row r="25" spans="2:26" x14ac:dyDescent="0.3">
      <c r="B25" s="136" t="s">
        <v>148</v>
      </c>
      <c r="C25" s="166">
        <v>39</v>
      </c>
      <c r="D25" s="151" t="s">
        <v>157</v>
      </c>
      <c r="E25" s="150">
        <v>5</v>
      </c>
      <c r="F25" s="150">
        <v>0</v>
      </c>
      <c r="G25" s="165">
        <v>103</v>
      </c>
      <c r="H25" s="226">
        <f>+G25/E25</f>
        <v>20.6</v>
      </c>
      <c r="I25" s="227">
        <f>+(SUM($G$7:$G$1048576)/SUM($E$7:$E$1048576))*E25</f>
        <v>100.26954177897574</v>
      </c>
      <c r="J25" s="363">
        <f>+Tabla2[[#This Row],[PROM DE USUARIOS]]-Tabla2[[#This Row],[USUARIOS]]</f>
        <v>-2.7304582210242643</v>
      </c>
      <c r="K25" s="151"/>
      <c r="L25" s="163">
        <f>Q25*635</f>
        <v>60496.159029649592</v>
      </c>
      <c r="M25" s="162" t="str">
        <f>+VLOOKUP(C25,Lista!B:D,3,0)</f>
        <v>MICRO</v>
      </c>
      <c r="N25" s="164">
        <f>+(SUMIFS(G:G,M:M,"MICRO",E:E,"&gt;0")*100)/COUNTIF($E$7:$E$28,"&gt;0")</f>
        <v>11040.90909090909</v>
      </c>
      <c r="O25" s="164">
        <f>Tabla2[[#This Row],[USUARIOS]]*150</f>
        <v>15450</v>
      </c>
      <c r="P25" s="50">
        <f>+(E25*1)-W25</f>
        <v>5</v>
      </c>
      <c r="Q25" s="47">
        <f>+I25-P25-X25</f>
        <v>95.269541778975736</v>
      </c>
      <c r="R25" s="49">
        <f>+G25-P25</f>
        <v>98</v>
      </c>
      <c r="S25" s="51">
        <f>+E25*$T$3</f>
        <v>95.269541778975736</v>
      </c>
      <c r="T25" s="46">
        <f t="shared" si="0"/>
        <v>52398.247978436651</v>
      </c>
      <c r="U25" t="str">
        <f>+IF(K25&lt;&gt;"",K25,"")</f>
        <v/>
      </c>
      <c r="V25">
        <f>+RANK(H25,$H$6:$H$1048576,1)</f>
        <v>15</v>
      </c>
      <c r="Z25" t="str">
        <f>TRIM(Tabla2[[#This Row],[CONDUCTOR]])</f>
        <v>PALMAR PANA EDIXON JOSUE</v>
      </c>
    </row>
    <row r="26" spans="2:26" x14ac:dyDescent="0.3">
      <c r="B26" s="136" t="s">
        <v>148</v>
      </c>
      <c r="C26" s="166">
        <v>40</v>
      </c>
      <c r="D26" s="151" t="s">
        <v>149</v>
      </c>
      <c r="E26" s="150">
        <v>10</v>
      </c>
      <c r="F26" s="150">
        <v>0</v>
      </c>
      <c r="G26" s="146">
        <v>212</v>
      </c>
      <c r="H26" s="226">
        <f>+G26/E26</f>
        <v>21.2</v>
      </c>
      <c r="I26" s="364">
        <f>+(SUM($G$7:$G$1048576)/SUM($E$7:$E$1048576))*E26</f>
        <v>200.53908355795147</v>
      </c>
      <c r="J26" s="363">
        <f>+Tabla2[[#This Row],[PROM DE USUARIOS]]-Tabla2[[#This Row],[USUARIOS]]</f>
        <v>-11.460916442048529</v>
      </c>
      <c r="K26" s="151" t="s">
        <v>173</v>
      </c>
      <c r="L26" s="163">
        <f>Q26*635</f>
        <v>120992.31805929918</v>
      </c>
      <c r="M26" s="162" t="str">
        <f>+VLOOKUP(C26,Lista!B:D,3,0)</f>
        <v>MICRO</v>
      </c>
      <c r="N26" s="164">
        <f>+(SUMIFS(G:G,M:M,"MICRO",E:E,"&gt;0")*100)/COUNTIF($E$7:$E$28,"&gt;0")</f>
        <v>11040.90909090909</v>
      </c>
      <c r="O26" s="164">
        <f>Tabla2[[#This Row],[USUARIOS]]*150</f>
        <v>31800</v>
      </c>
      <c r="P26" s="50">
        <f>+(E26*1)-W26</f>
        <v>10</v>
      </c>
      <c r="Q26" s="47">
        <f>+I26-P26-X26</f>
        <v>190.53908355795147</v>
      </c>
      <c r="R26" s="49">
        <f>+G26-P26</f>
        <v>202</v>
      </c>
      <c r="S26" s="51">
        <f>+E26*$T$3</f>
        <v>190.53908355795147</v>
      </c>
      <c r="T26" s="46">
        <f t="shared" si="0"/>
        <v>104796.4959568733</v>
      </c>
      <c r="U26" t="str">
        <f>+IF(K26&lt;&gt;"",K26,"")</f>
        <v xml:space="preserve">2 Descuentos (Despachador) </v>
      </c>
      <c r="V26">
        <f>+RANK(H26,$H$6:$H$1048576,1)</f>
        <v>18</v>
      </c>
      <c r="Z26" t="str">
        <f>TRIM(Tabla2[[#This Row],[CONDUCTOR]])</f>
        <v>IBARGUEN GARRIDO JUAN ESTEBAN</v>
      </c>
    </row>
    <row r="27" spans="2:26" x14ac:dyDescent="0.3">
      <c r="B27" s="136" t="s">
        <v>148</v>
      </c>
      <c r="C27" s="137">
        <v>42</v>
      </c>
      <c r="D27" s="151" t="s">
        <v>163</v>
      </c>
      <c r="E27" s="150">
        <v>10</v>
      </c>
      <c r="F27" s="150">
        <v>0</v>
      </c>
      <c r="G27" s="165">
        <v>238</v>
      </c>
      <c r="H27" s="226">
        <f>+G27/E27</f>
        <v>23.8</v>
      </c>
      <c r="I27" s="227">
        <f>+(SUM($G$7:$G$1048576)/SUM($E$7:$E$1048576))*E27</f>
        <v>200.53908355795147</v>
      </c>
      <c r="J27" s="363">
        <f>+Tabla2[[#This Row],[PROM DE USUARIOS]]-Tabla2[[#This Row],[USUARIOS]]</f>
        <v>-37.460916442048529</v>
      </c>
      <c r="K27" s="151" t="s">
        <v>174</v>
      </c>
      <c r="L27" s="366">
        <f>Q27*635</f>
        <v>120992.31805929918</v>
      </c>
      <c r="M27" s="162">
        <f>+VLOOKUP(C27,Lista!B:D,3,0)</f>
        <v>0</v>
      </c>
      <c r="N27" s="164">
        <f>+(SUMIFS(G:G,M:M,"MICRO",E:E,"&gt;0")*100)/COUNTIF($E$7:$E$28,"&gt;0")</f>
        <v>11040.90909090909</v>
      </c>
      <c r="O27" s="164">
        <f>Tabla2[[#This Row],[USUARIOS]]*150</f>
        <v>35700</v>
      </c>
      <c r="P27" s="50">
        <f>+(E27*1)-W27</f>
        <v>10</v>
      </c>
      <c r="Q27" s="47">
        <f>+I27-P27-X27</f>
        <v>190.53908355795147</v>
      </c>
      <c r="R27" s="49">
        <f>+G27-P27</f>
        <v>228</v>
      </c>
      <c r="S27" s="51">
        <f>+E27*$T$3</f>
        <v>190.53908355795147</v>
      </c>
      <c r="T27" s="46">
        <f t="shared" si="0"/>
        <v>104796.4959568733</v>
      </c>
      <c r="U27" t="str">
        <f>+IF(K27&lt;&gt;"",K27,"")</f>
        <v xml:space="preserve">2 Descuentos (Despachador y conduct) </v>
      </c>
      <c r="V27">
        <f>+RANK(H27,$H$6:$H$1048576,1)</f>
        <v>21</v>
      </c>
      <c r="Z27" t="str">
        <f>TRIM(Tabla2[[#This Row],[CONDUCTOR]])</f>
        <v>LOPERA ALVAREZ ESTIVEN</v>
      </c>
    </row>
    <row r="28" spans="2:26" x14ac:dyDescent="0.3">
      <c r="B28" s="136" t="s">
        <v>148</v>
      </c>
      <c r="C28" s="166">
        <v>44</v>
      </c>
      <c r="D28" s="151" t="s">
        <v>164</v>
      </c>
      <c r="E28" s="150">
        <v>6</v>
      </c>
      <c r="F28" s="150">
        <v>0</v>
      </c>
      <c r="G28" s="146">
        <v>73</v>
      </c>
      <c r="H28" s="226">
        <f>+G28/E28</f>
        <v>12.166666666666666</v>
      </c>
      <c r="I28" s="364">
        <f>+(SUM($G$7:$G$1048576)/SUM($E$7:$E$1048576))*E28</f>
        <v>120.32345013477089</v>
      </c>
      <c r="J28" s="363">
        <f>+Tabla2[[#This Row],[PROM DE USUARIOS]]-Tabla2[[#This Row],[USUARIOS]]</f>
        <v>47.323450134770894</v>
      </c>
      <c r="K28" s="151"/>
      <c r="L28" s="163">
        <f>Q28*635</f>
        <v>72595.390835579514</v>
      </c>
      <c r="M28" s="162">
        <f>+VLOOKUP(C28,Lista!B:D,3,0)</f>
        <v>0</v>
      </c>
      <c r="N28" s="164">
        <f>+(SUMIFS(G:G,M:M,"MICRO",E:E,"&gt;0")*100)/COUNTIF($E$7:$E$28,"&gt;0")</f>
        <v>11040.90909090909</v>
      </c>
      <c r="O28" s="164">
        <f>Tabla2[[#This Row],[USUARIOS]]*150</f>
        <v>10950</v>
      </c>
      <c r="P28" s="50">
        <f>+(E28*1)-W28</f>
        <v>6</v>
      </c>
      <c r="Q28" s="47">
        <f>+I28-P28-X28</f>
        <v>114.32345013477089</v>
      </c>
      <c r="R28" s="49">
        <f>+G28-P28</f>
        <v>67</v>
      </c>
      <c r="S28" s="51">
        <f>+E28*$T$3</f>
        <v>114.32345013477089</v>
      </c>
      <c r="T28" s="46">
        <f t="shared" si="0"/>
        <v>62877.897574123992</v>
      </c>
      <c r="U28" t="str">
        <f>+IF(K28&lt;&gt;"",K28,"")</f>
        <v/>
      </c>
      <c r="V28">
        <f>+RANK(H28,$H$6:$H$1048576,1)</f>
        <v>1</v>
      </c>
      <c r="Z28" t="str">
        <f>TRIM(Tabla2[[#This Row],[CONDUCTOR]])</f>
        <v>MARIN ALZATE KEVIN ANDRES</v>
      </c>
    </row>
    <row r="29" spans="2:26" x14ac:dyDescent="0.3">
      <c r="B29" s="232"/>
      <c r="C29" s="239">
        <f>SUBTOTAL(102,Tabla2[VEH])</f>
        <v>22</v>
      </c>
      <c r="D29" s="233" t="s">
        <v>127</v>
      </c>
      <c r="E29" s="234">
        <f>SUBTOTAL(109,Tabla2[VIAJES])</f>
        <v>185.5</v>
      </c>
      <c r="F29" s="234">
        <f>SUBTOTAL(109,Tabla2[VIAJES PERD.])</f>
        <v>0.5</v>
      </c>
      <c r="G29" s="240">
        <f>SUBTOTAL(109,Tabla2[USUARIOS])</f>
        <v>3720</v>
      </c>
      <c r="H29" s="374">
        <f>+Tabla2[[#Totals],[USUARIOS]]/Tabla2[[#Totals],[VIAJES]]</f>
        <v>20.053908355795148</v>
      </c>
      <c r="I29" s="240">
        <f>SUBTOTAL(109,Tabla2[PROM DE USUARIOS])</f>
        <v>3720.0000000000005</v>
      </c>
      <c r="J29" s="373">
        <f>SUBTOTAL(109,Tabla2[RECIBE / ENTREGA])</f>
        <v>-8.5265128291212022E-14</v>
      </c>
      <c r="K29" s="235" t="s">
        <v>176</v>
      </c>
      <c r="L29" s="236"/>
      <c r="M29" s="237"/>
      <c r="N29" s="238">
        <f>SUBTOTAL(109,Tabla2[DIFER. MICRO - BUS ])</f>
        <v>242899.99999999997</v>
      </c>
      <c r="O29" s="238">
        <f>SUBTOTAL(109,Tabla2[FONDO (SIT)])</f>
        <v>558000</v>
      </c>
      <c r="P29" s="50" t="e">
        <f>+(#REF!*1)-W29</f>
        <v>#REF!</v>
      </c>
      <c r="Q29" s="47" t="e">
        <f>+#REF!-P29-X29</f>
        <v>#REF!</v>
      </c>
      <c r="R29" s="49" t="e">
        <f>+#REF!-P29</f>
        <v>#REF!</v>
      </c>
      <c r="S29" s="51" t="e">
        <f>+#REF!*$T$3</f>
        <v>#REF!</v>
      </c>
      <c r="T29" s="46" t="e">
        <f t="shared" ref="S29:T44" si="1">+S29*550</f>
        <v>#REF!</v>
      </c>
      <c r="U29" t="e">
        <f>+IF(#REF!&lt;&gt;"",#REF!,"")</f>
        <v>#REF!</v>
      </c>
      <c r="V29" t="e">
        <f>+RANK(#REF!,$H$6:$H$1048576,1)</f>
        <v>#REF!</v>
      </c>
      <c r="Z29" t="e">
        <f>TRIM(Tabla2[[#This Row],[CONDUCTOR]])</f>
        <v>#VALUE!</v>
      </c>
    </row>
    <row r="30" spans="2:26" s="2" customFormat="1" x14ac:dyDescent="0.3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/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6" x14ac:dyDescent="0.3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/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6" x14ac:dyDescent="0.3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3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3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3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3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3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3">
      <c r="B38" s="245"/>
      <c r="C38" s="255"/>
      <c r="D38" s="247"/>
      <c r="E38" s="248"/>
      <c r="F38" s="248"/>
      <c r="G38" s="199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3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3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3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3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3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3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3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2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3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3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3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+(E92*1)-V50</f>
        <v>0</v>
      </c>
      <c r="P50" s="134">
        <f>+I92-O50-W50</f>
        <v>0</v>
      </c>
      <c r="Q50" s="11">
        <f>+G92-O50</f>
        <v>0</v>
      </c>
      <c r="R50">
        <f>+E92*$T$3</f>
        <v>0</v>
      </c>
      <c r="S50">
        <f t="shared" ref="S50:S55" si="7">+R50*550</f>
        <v>0</v>
      </c>
      <c r="T50" t="str">
        <f>+IF(K92&lt;&gt;"",K92,"")</f>
        <v/>
      </c>
      <c r="U50" t="e">
        <f>+RANK(H92,$H$6:$H$1048576,1)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+(E93*1)-V51</f>
        <v>0</v>
      </c>
      <c r="P51" s="134">
        <f>+I93-O51-W51</f>
        <v>0</v>
      </c>
      <c r="Q51" s="11">
        <f>+G93-O51</f>
        <v>0</v>
      </c>
      <c r="R51">
        <f>+E93*$T$3</f>
        <v>0</v>
      </c>
      <c r="S51">
        <f t="shared" si="7"/>
        <v>0</v>
      </c>
      <c r="T51" t="str">
        <f>+IF(K93&lt;&gt;"",K93,"")</f>
        <v/>
      </c>
      <c r="U51" t="e">
        <f>+RANK(H93,$H$6:$H$1048576,1)</f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+(E94*1)-V52</f>
        <v>0</v>
      </c>
      <c r="P52" s="134">
        <f>+I94-O52-W52</f>
        <v>0</v>
      </c>
      <c r="Q52" s="11">
        <f>+G94-O52</f>
        <v>0</v>
      </c>
      <c r="R52">
        <f>+E94*$T$3</f>
        <v>0</v>
      </c>
      <c r="S52">
        <f t="shared" si="7"/>
        <v>0</v>
      </c>
      <c r="T52" t="str">
        <f>+IF(K94&lt;&gt;"",K94,"")</f>
        <v/>
      </c>
      <c r="U52" t="e">
        <f>+RANK(H94,$H$6:$H$1048576,1)</f>
        <v>#N/A</v>
      </c>
    </row>
    <row r="53" spans="2:21" x14ac:dyDescent="0.3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+(E95*1)-V53</f>
        <v>0</v>
      </c>
      <c r="P53" s="134">
        <f>+I95-O53-W53</f>
        <v>0</v>
      </c>
      <c r="Q53" s="11">
        <f>+G95-O53</f>
        <v>0</v>
      </c>
      <c r="R53">
        <f>+E95*$T$3</f>
        <v>0</v>
      </c>
      <c r="S53">
        <f t="shared" si="7"/>
        <v>0</v>
      </c>
      <c r="T53" t="str">
        <f>+IF(K95&lt;&gt;"",K95,"")</f>
        <v/>
      </c>
      <c r="U53" t="e">
        <f>+RANK(H95,$H$6:$H$1048576,1)</f>
        <v>#N/A</v>
      </c>
    </row>
    <row r="54" spans="2:21" x14ac:dyDescent="0.3">
      <c r="B54" s="245"/>
      <c r="C54" s="255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+(E96*1)-V54</f>
        <v>0</v>
      </c>
      <c r="P54" s="134">
        <f>+I96-O54-W54</f>
        <v>0</v>
      </c>
      <c r="Q54" s="11">
        <f>+G96-O54</f>
        <v>0</v>
      </c>
      <c r="R54">
        <f>+E96*$T$3</f>
        <v>0</v>
      </c>
      <c r="S54">
        <f t="shared" si="7"/>
        <v>0</v>
      </c>
      <c r="T54" t="str">
        <f>+IF(K96&lt;&gt;"",K96,"")</f>
        <v/>
      </c>
      <c r="U54" t="e">
        <f>+RANK(H96,$H$6:$H$1048576,1)</f>
        <v>#N/A</v>
      </c>
    </row>
    <row r="55" spans="2:21" x14ac:dyDescent="0.3">
      <c r="B55" s="245"/>
      <c r="C55" s="246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>+(E97*1)-V55</f>
        <v>0</v>
      </c>
      <c r="P55" s="134">
        <f>+I97-O55-W55</f>
        <v>0</v>
      </c>
      <c r="Q55" s="11">
        <f>+G97-O55</f>
        <v>0</v>
      </c>
      <c r="R55">
        <f>+E97*$T$3</f>
        <v>0</v>
      </c>
      <c r="S55">
        <f t="shared" si="7"/>
        <v>0</v>
      </c>
      <c r="T55" t="str">
        <f>+IF(K97&lt;&gt;"",K97,"")</f>
        <v/>
      </c>
      <c r="U55" t="e">
        <f>+RANK(H97,$H$6:$H$1048576,1)</f>
        <v>#N/A</v>
      </c>
    </row>
    <row r="56" spans="2:21" x14ac:dyDescent="0.3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55"/>
      <c r="D61" s="247"/>
      <c r="E61" s="248"/>
      <c r="F61" s="248"/>
      <c r="G61" s="199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55"/>
      <c r="D62" s="247"/>
      <c r="E62" s="248"/>
      <c r="F62" s="248"/>
      <c r="G62" s="254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+(E61*1)-V65</f>
        <v>0</v>
      </c>
      <c r="P65" s="134">
        <f>+I61-O65-W65</f>
        <v>0</v>
      </c>
      <c r="Q65" s="11">
        <f>+G61-O65</f>
        <v>0</v>
      </c>
      <c r="R65">
        <f>+E61*$T$3</f>
        <v>0</v>
      </c>
      <c r="S65">
        <f t="shared" si="8"/>
        <v>0</v>
      </c>
      <c r="T65" t="str">
        <f>+IF(K61&lt;&gt;"",K61,"")</f>
        <v/>
      </c>
      <c r="U65" t="e">
        <f>+RANK(H61,$H$6:$H$1048576,1)</f>
        <v>#N/A</v>
      </c>
    </row>
    <row r="66" spans="2:21" x14ac:dyDescent="0.3">
      <c r="B66" s="245"/>
      <c r="C66" s="255"/>
      <c r="D66" s="247"/>
      <c r="E66" s="248"/>
      <c r="F66" s="248"/>
      <c r="G66" s="199"/>
      <c r="H66" s="257"/>
      <c r="I66" s="222"/>
      <c r="J66" s="343"/>
      <c r="K66" s="247"/>
      <c r="L66" s="203"/>
      <c r="M66" s="253"/>
      <c r="N66" s="258"/>
      <c r="O66">
        <f>+(E62*1)-V66</f>
        <v>0</v>
      </c>
      <c r="P66" s="134">
        <f>+I62-O66-W66</f>
        <v>0</v>
      </c>
      <c r="Q66" s="11">
        <f>+G62-O66</f>
        <v>0</v>
      </c>
      <c r="R66">
        <f>+E62*$T$3</f>
        <v>0</v>
      </c>
      <c r="S66">
        <f t="shared" si="8"/>
        <v>0</v>
      </c>
      <c r="T66" t="str">
        <f>+IF(K62&lt;&gt;"",K62,"")</f>
        <v/>
      </c>
      <c r="U66" t="e">
        <f>+RANK(H62,$H$6:$H$1048576,1)</f>
        <v>#N/A</v>
      </c>
    </row>
    <row r="67" spans="2:21" x14ac:dyDescent="0.3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+(E63*1)-V67</f>
        <v>0</v>
      </c>
      <c r="P67" s="134">
        <f>+I63-O67-W67</f>
        <v>0</v>
      </c>
      <c r="Q67" s="11">
        <f>+G63-O67</f>
        <v>0</v>
      </c>
      <c r="R67">
        <f>+E63*$T$3</f>
        <v>0</v>
      </c>
      <c r="S67">
        <f t="shared" si="8"/>
        <v>0</v>
      </c>
      <c r="T67" t="str">
        <f>+IF(K63&lt;&gt;"",K63,"")</f>
        <v/>
      </c>
      <c r="U67" t="e">
        <f>+RANK(H63,$H$6:$H$1048576,1)</f>
        <v>#N/A</v>
      </c>
    </row>
    <row r="68" spans="2:21" x14ac:dyDescent="0.3">
      <c r="B68" s="245"/>
      <c r="C68" s="246"/>
      <c r="D68" s="247"/>
      <c r="E68" s="248"/>
      <c r="F68" s="248"/>
      <c r="G68" s="256"/>
      <c r="H68" s="250"/>
      <c r="I68" s="221"/>
      <c r="J68" s="342"/>
      <c r="K68" s="247"/>
      <c r="L68" s="252"/>
      <c r="M68" s="253"/>
      <c r="N68" s="258"/>
      <c r="O68">
        <f>+(E64*1)-V68</f>
        <v>0</v>
      </c>
      <c r="P68" s="134">
        <f>+I64-O68-W68</f>
        <v>0</v>
      </c>
      <c r="Q68" s="11">
        <f>+G64-O68</f>
        <v>0</v>
      </c>
      <c r="R68">
        <f>+E64*$T$3</f>
        <v>0</v>
      </c>
      <c r="S68">
        <f t="shared" si="8"/>
        <v>0</v>
      </c>
      <c r="T68" t="str">
        <f>+IF(K64&lt;&gt;"",K64,"")</f>
        <v/>
      </c>
      <c r="U68" t="e">
        <f>+RANK(H64,$H$6:$H$1048576,1)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+(E65*1)-V69</f>
        <v>0</v>
      </c>
      <c r="P69" s="134">
        <f>+I65-O69-W69</f>
        <v>0</v>
      </c>
      <c r="Q69" s="11">
        <f>+G65-O69</f>
        <v>0</v>
      </c>
      <c r="R69">
        <f>+E65*$T$3</f>
        <v>0</v>
      </c>
      <c r="S69">
        <f t="shared" si="8"/>
        <v>0</v>
      </c>
      <c r="T69" t="str">
        <f>+IF(K65&lt;&gt;"",K65,"")</f>
        <v/>
      </c>
      <c r="U69" t="e">
        <f>+RANK(H65,$H$6:$H$1048576,1)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3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3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58"/>
    </row>
    <row r="73" spans="2:21" x14ac:dyDescent="0.3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3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03"/>
      <c r="M74" s="253"/>
      <c r="N74" s="258"/>
    </row>
    <row r="75" spans="2:21" x14ac:dyDescent="0.3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03"/>
      <c r="M75" s="253"/>
      <c r="N75" s="258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3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3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3">
      <c r="B80" s="245"/>
      <c r="C80" s="255"/>
      <c r="D80" s="247"/>
      <c r="E80" s="248"/>
      <c r="F80" s="248"/>
      <c r="G80" s="254"/>
      <c r="H80" s="259"/>
      <c r="I80" s="260"/>
      <c r="J80" s="344"/>
      <c r="K80" s="247"/>
      <c r="L80" s="203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03"/>
      <c r="M81" s="253"/>
      <c r="N81" s="258"/>
    </row>
    <row r="82" spans="2:14" x14ac:dyDescent="0.3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3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3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3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6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3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3">
      <c r="B99" s="245"/>
      <c r="C99" s="255"/>
      <c r="D99" s="247"/>
      <c r="E99" s="248"/>
      <c r="F99" s="248"/>
      <c r="G99" s="199"/>
      <c r="H99" s="257"/>
      <c r="I99" s="222"/>
      <c r="J99" s="343"/>
      <c r="K99" s="247"/>
      <c r="L99" s="252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03"/>
      <c r="M102" s="253"/>
      <c r="N102" s="258"/>
    </row>
    <row r="103" spans="2:14" x14ac:dyDescent="0.3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3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3">
      <c r="B105" s="245"/>
      <c r="C105" s="246"/>
      <c r="D105" s="245"/>
      <c r="E105" s="248"/>
      <c r="F105" s="248"/>
      <c r="G105" s="261"/>
      <c r="H105" s="250"/>
      <c r="I105" s="221"/>
      <c r="J105" s="342"/>
      <c r="K105" s="247"/>
      <c r="L105" s="252"/>
      <c r="M105" s="253"/>
      <c r="N105" s="203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3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3">
      <c r="B110" s="245"/>
      <c r="C110" s="255"/>
      <c r="D110" s="247"/>
      <c r="E110" s="248"/>
      <c r="F110" s="248"/>
      <c r="G110" s="199"/>
      <c r="H110" s="257"/>
      <c r="I110" s="222"/>
      <c r="J110" s="343"/>
      <c r="K110" s="262"/>
      <c r="L110" s="252"/>
      <c r="M110" s="253"/>
      <c r="N110" s="203"/>
    </row>
    <row r="111" spans="2:14" x14ac:dyDescent="0.3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3">
      <c r="B112" s="245"/>
      <c r="C112" s="255"/>
      <c r="D112" s="247"/>
      <c r="E112" s="248"/>
      <c r="F112" s="248"/>
      <c r="G112" s="199"/>
      <c r="H112" s="250"/>
      <c r="I112" s="221"/>
      <c r="J112" s="342"/>
      <c r="K112" s="247"/>
      <c r="L112" s="252"/>
      <c r="M112" s="253"/>
      <c r="N112" s="203"/>
    </row>
    <row r="113" spans="2:14" x14ac:dyDescent="0.3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3">
      <c r="B114" s="245"/>
      <c r="C114" s="246"/>
      <c r="D114" s="247"/>
      <c r="E114" s="248"/>
      <c r="F114" s="248"/>
      <c r="G114" s="254"/>
      <c r="H114" s="200"/>
      <c r="I114" s="221"/>
      <c r="J114" s="342"/>
      <c r="K114" s="247"/>
      <c r="L114" s="252"/>
      <c r="M114" s="253"/>
      <c r="N114" s="203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3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3">
      <c r="B117" s="245"/>
      <c r="C117" s="246"/>
      <c r="D117" s="247"/>
      <c r="E117" s="248"/>
      <c r="F117" s="248"/>
      <c r="G117" s="254"/>
      <c r="H117" s="200"/>
      <c r="I117" s="221"/>
      <c r="J117" s="342"/>
      <c r="K117" s="247"/>
      <c r="L117" s="252"/>
      <c r="M117" s="253"/>
      <c r="N117" s="203"/>
    </row>
    <row r="118" spans="2:14" x14ac:dyDescent="0.3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3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3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58"/>
    </row>
    <row r="121" spans="2:14" x14ac:dyDescent="0.3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03"/>
      <c r="M121" s="253"/>
      <c r="N121" s="258"/>
    </row>
    <row r="122" spans="2:14" x14ac:dyDescent="0.3">
      <c r="B122" s="245"/>
      <c r="C122" s="246"/>
      <c r="D122" s="247"/>
      <c r="E122" s="248"/>
      <c r="F122" s="248"/>
      <c r="G122" s="254"/>
      <c r="H122" s="20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55"/>
      <c r="D123" s="247"/>
      <c r="E123" s="248"/>
      <c r="F123" s="248"/>
      <c r="G123" s="199"/>
      <c r="H123" s="25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55"/>
      <c r="D124" s="247"/>
      <c r="E124" s="248"/>
      <c r="F124" s="248"/>
      <c r="G124" s="199"/>
      <c r="H124" s="20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55"/>
      <c r="D125" s="245"/>
      <c r="E125" s="248"/>
      <c r="F125" s="248"/>
      <c r="G125" s="201"/>
      <c r="H125" s="20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55"/>
      <c r="D133" s="247"/>
      <c r="E133" s="248"/>
      <c r="F133" s="248"/>
      <c r="G133" s="199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55"/>
      <c r="D137" s="247"/>
      <c r="E137" s="248"/>
      <c r="F137" s="248"/>
      <c r="G137" s="199"/>
      <c r="H137" s="250"/>
      <c r="I137" s="221"/>
      <c r="J137" s="342"/>
      <c r="K137" s="247"/>
      <c r="L137" s="252"/>
      <c r="M137" s="253"/>
      <c r="N137" s="203"/>
    </row>
    <row r="138" spans="2:14" x14ac:dyDescent="0.3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3">
      <c r="B139" s="245"/>
      <c r="C139" s="255"/>
      <c r="D139" s="247"/>
      <c r="E139" s="248"/>
      <c r="F139" s="248"/>
      <c r="G139" s="199"/>
      <c r="H139" s="250"/>
      <c r="I139" s="251"/>
      <c r="J139" s="341"/>
      <c r="K139" s="247"/>
      <c r="L139" s="252"/>
      <c r="M139" s="253"/>
      <c r="N139" s="203"/>
    </row>
    <row r="140" spans="2:14" x14ac:dyDescent="0.3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55"/>
      <c r="D144" s="245"/>
      <c r="E144" s="248"/>
      <c r="F144" s="248"/>
      <c r="G144" s="201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55"/>
      <c r="D145" s="247"/>
      <c r="E145" s="248"/>
      <c r="F145" s="248"/>
      <c r="G145" s="199"/>
      <c r="H145" s="250"/>
      <c r="I145" s="221"/>
      <c r="J145" s="342"/>
      <c r="K145" s="247"/>
      <c r="L145" s="252"/>
      <c r="M145" s="253"/>
      <c r="N145" s="203"/>
    </row>
    <row r="146" spans="2:14" x14ac:dyDescent="0.3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58"/>
    </row>
    <row r="147" spans="2:14" x14ac:dyDescent="0.3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55"/>
      <c r="D156" s="247"/>
      <c r="E156" s="248"/>
      <c r="F156" s="248"/>
      <c r="G156" s="199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55"/>
      <c r="D160" s="247"/>
      <c r="E160" s="248"/>
      <c r="F160" s="248"/>
      <c r="G160" s="199"/>
      <c r="H160" s="20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3">
      <c r="B165" s="245"/>
      <c r="C165" s="255"/>
      <c r="D165" s="247"/>
      <c r="E165" s="248"/>
      <c r="F165" s="248"/>
      <c r="G165" s="199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3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03"/>
      <c r="M176" s="253"/>
      <c r="N176" s="258"/>
    </row>
    <row r="177" spans="2:14" x14ac:dyDescent="0.3">
      <c r="B177" s="245"/>
      <c r="C177" s="246"/>
      <c r="D177" s="247"/>
      <c r="E177" s="248"/>
      <c r="F177" s="248"/>
      <c r="G177" s="254"/>
      <c r="H177" s="250"/>
      <c r="I177" s="221"/>
      <c r="J177" s="342"/>
      <c r="K177" s="247"/>
      <c r="L177" s="252"/>
      <c r="M177" s="253"/>
      <c r="N177" s="258"/>
    </row>
    <row r="178" spans="2:14" x14ac:dyDescent="0.3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3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3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3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52"/>
      <c r="M181" s="253"/>
      <c r="N181" s="203"/>
    </row>
    <row r="182" spans="2:14" x14ac:dyDescent="0.3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3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3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3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03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3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3">
      <c r="B188" s="245"/>
      <c r="C188" s="255"/>
      <c r="D188" s="247"/>
      <c r="E188" s="248"/>
      <c r="F188" s="248"/>
      <c r="G188" s="199"/>
      <c r="H188" s="244"/>
      <c r="I188" s="222"/>
      <c r="J188" s="343"/>
      <c r="K188" s="247"/>
      <c r="L188" s="252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03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03"/>
    </row>
    <row r="193" spans="2:14" x14ac:dyDescent="0.3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3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03"/>
      <c r="M194" s="253"/>
      <c r="N194" s="203"/>
    </row>
    <row r="195" spans="2:14" x14ac:dyDescent="0.3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3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3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3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3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3">
      <c r="B201" s="245"/>
      <c r="C201" s="246"/>
      <c r="D201" s="245"/>
      <c r="E201" s="248"/>
      <c r="F201" s="248"/>
      <c r="G201" s="261"/>
      <c r="H201" s="200"/>
      <c r="I201" s="221"/>
      <c r="J201" s="342"/>
      <c r="K201" s="247"/>
      <c r="L201" s="252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3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3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3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03"/>
      <c r="M205" s="253"/>
      <c r="N205" s="203"/>
    </row>
    <row r="206" spans="2:14" x14ac:dyDescent="0.3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3">
      <c r="B207" s="245"/>
      <c r="C207" s="246"/>
      <c r="D207" s="245"/>
      <c r="E207" s="248"/>
      <c r="F207" s="248"/>
      <c r="G207" s="261"/>
      <c r="H207" s="200"/>
      <c r="I207" s="221"/>
      <c r="J207" s="342"/>
      <c r="K207" s="247"/>
      <c r="L207" s="252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3">
      <c r="B210" s="245"/>
      <c r="C210" s="255"/>
      <c r="D210" s="247"/>
      <c r="E210" s="248"/>
      <c r="F210" s="248"/>
      <c r="G210" s="261"/>
      <c r="H210" s="263"/>
      <c r="I210" s="260"/>
      <c r="J210" s="344"/>
      <c r="K210" s="247"/>
      <c r="L210" s="252"/>
      <c r="M210" s="253"/>
      <c r="N210" s="203"/>
    </row>
    <row r="211" spans="2:14" x14ac:dyDescent="0.3">
      <c r="B211" s="245"/>
      <c r="C211" s="246"/>
      <c r="D211" s="245"/>
      <c r="E211" s="248"/>
      <c r="F211" s="248"/>
      <c r="G211" s="261"/>
      <c r="H211" s="200"/>
      <c r="I211" s="221"/>
      <c r="J211" s="342"/>
      <c r="K211" s="245"/>
      <c r="L211" s="252"/>
      <c r="M211" s="253"/>
      <c r="N211" s="203"/>
    </row>
    <row r="212" spans="2:14" x14ac:dyDescent="0.3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3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3">
      <c r="B220" s="245"/>
      <c r="C220" s="255"/>
      <c r="D220" s="247"/>
      <c r="E220" s="248"/>
      <c r="F220" s="248"/>
      <c r="G220" s="199"/>
      <c r="H220" s="244"/>
      <c r="I220" s="222"/>
      <c r="J220" s="343"/>
      <c r="K220" s="247"/>
      <c r="L220" s="252"/>
      <c r="M220" s="253"/>
      <c r="N220" s="203"/>
    </row>
    <row r="221" spans="2:14" x14ac:dyDescent="0.3">
      <c r="B221" s="245"/>
      <c r="C221" s="255"/>
      <c r="D221" s="247"/>
      <c r="E221" s="248"/>
      <c r="F221" s="248"/>
      <c r="G221" s="199"/>
      <c r="H221" s="200"/>
      <c r="I221" s="221"/>
      <c r="J221" s="342"/>
      <c r="K221" s="247"/>
      <c r="L221" s="252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03"/>
      <c r="M222" s="253"/>
      <c r="N222" s="203"/>
    </row>
    <row r="223" spans="2:14" x14ac:dyDescent="0.3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3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3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3">
      <c r="B244" s="245"/>
      <c r="C244" s="255"/>
      <c r="D244" s="247"/>
      <c r="E244" s="248"/>
      <c r="F244" s="248"/>
      <c r="G244" s="261"/>
      <c r="H244" s="200"/>
      <c r="I244" s="221"/>
      <c r="J244" s="342"/>
      <c r="K244" s="245"/>
      <c r="L244" s="252"/>
      <c r="M244" s="253"/>
      <c r="N244" s="203"/>
    </row>
    <row r="245" spans="2:14" x14ac:dyDescent="0.3">
      <c r="B245" s="245"/>
      <c r="C245" s="246"/>
      <c r="D245" s="247"/>
      <c r="E245" s="248"/>
      <c r="F245" s="248"/>
      <c r="G245" s="254"/>
      <c r="H245" s="200"/>
      <c r="I245" s="221"/>
      <c r="J245" s="342"/>
      <c r="K245" s="262"/>
      <c r="L245" s="252"/>
      <c r="M245" s="253"/>
      <c r="N245" s="203"/>
    </row>
    <row r="246" spans="2:14" x14ac:dyDescent="0.3">
      <c r="B246" s="245"/>
      <c r="C246" s="255"/>
      <c r="D246" s="245"/>
      <c r="E246" s="248"/>
      <c r="F246" s="248"/>
      <c r="G246" s="201"/>
      <c r="H246" s="200"/>
      <c r="I246" s="221"/>
      <c r="J246" s="342"/>
      <c r="K246" s="262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5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46"/>
      <c r="D250" s="245"/>
      <c r="E250" s="248"/>
      <c r="F250" s="248"/>
      <c r="G250" s="261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55"/>
      <c r="D251" s="247"/>
      <c r="E251" s="248"/>
      <c r="F251" s="248"/>
      <c r="G251" s="199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55"/>
      <c r="D256" s="245"/>
      <c r="E256" s="248"/>
      <c r="F256" s="248"/>
      <c r="G256" s="201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55"/>
      <c r="D257" s="245"/>
      <c r="E257" s="248"/>
      <c r="F257" s="248"/>
      <c r="G257" s="261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55"/>
      <c r="D261" s="247"/>
      <c r="E261" s="248"/>
      <c r="F261" s="248"/>
      <c r="G261" s="199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46"/>
      <c r="D262" s="245"/>
      <c r="E262" s="248"/>
      <c r="F262" s="248"/>
      <c r="G262" s="261"/>
      <c r="H262" s="200"/>
      <c r="I262" s="221"/>
      <c r="J262" s="342"/>
      <c r="K262" s="247"/>
      <c r="L262" s="252"/>
      <c r="M262" s="253"/>
      <c r="N262" s="203"/>
    </row>
    <row r="263" spans="2:14" x14ac:dyDescent="0.3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3">
      <c r="B264" s="245"/>
      <c r="C264" s="255"/>
      <c r="D264" s="245"/>
      <c r="E264" s="248"/>
      <c r="F264" s="248"/>
      <c r="G264" s="201"/>
      <c r="H264" s="200"/>
      <c r="I264" s="221"/>
      <c r="J264" s="342"/>
      <c r="K264" s="247"/>
      <c r="L264" s="252"/>
      <c r="M264" s="253"/>
      <c r="N264" s="203"/>
    </row>
    <row r="265" spans="2:14" x14ac:dyDescent="0.3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3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3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3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3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3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3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3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3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3">
      <c r="B277" s="245"/>
      <c r="C277" s="246"/>
      <c r="D277" s="247"/>
      <c r="E277" s="248"/>
      <c r="F277" s="248"/>
      <c r="G277" s="254"/>
      <c r="H277" s="202"/>
      <c r="I277" s="223"/>
      <c r="J277" s="345"/>
      <c r="K277" s="264"/>
      <c r="L277" s="252"/>
      <c r="M277" s="253"/>
      <c r="N277" s="265"/>
    </row>
    <row r="278" spans="2:14" x14ac:dyDescent="0.3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3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3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3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3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3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3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3">
      <c r="B285" s="245"/>
      <c r="C285" s="246"/>
      <c r="D285" s="245"/>
      <c r="E285" s="248"/>
      <c r="F285" s="248"/>
      <c r="G285" s="261"/>
      <c r="H285" s="202"/>
      <c r="I285" s="223"/>
      <c r="J285" s="345"/>
      <c r="K285" s="266"/>
      <c r="L285" s="252"/>
      <c r="M285" s="253"/>
      <c r="N285" s="265"/>
    </row>
    <row r="286" spans="2:14" x14ac:dyDescent="0.3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3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3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3">
      <c r="B358" s="245"/>
      <c r="C358" s="255"/>
      <c r="D358" s="247"/>
      <c r="E358" s="248"/>
      <c r="F358" s="248"/>
      <c r="G358" s="199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55"/>
      <c r="D369" s="247"/>
      <c r="E369" s="248"/>
      <c r="F369" s="248"/>
      <c r="G369" s="199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55"/>
      <c r="D400" s="247"/>
      <c r="E400" s="248"/>
      <c r="F400" s="248"/>
      <c r="G400" s="199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3">
      <c r="B411" s="245"/>
      <c r="C411" s="246"/>
      <c r="D411" s="247"/>
      <c r="E411" s="248"/>
      <c r="F411" s="248"/>
      <c r="G411" s="254"/>
      <c r="H411" s="202"/>
      <c r="I411" s="223"/>
      <c r="J411" s="345"/>
      <c r="K411" s="264"/>
      <c r="L411" s="252"/>
      <c r="M411" s="253"/>
      <c r="N411" s="265"/>
    </row>
    <row r="412" spans="2:14" x14ac:dyDescent="0.3">
      <c r="B412" s="245"/>
      <c r="C412" s="246"/>
      <c r="D412" s="245"/>
      <c r="E412" s="248"/>
      <c r="F412" s="248"/>
      <c r="G412" s="261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4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55"/>
      <c r="D426" s="247"/>
      <c r="E426" s="248"/>
      <c r="F426" s="248"/>
      <c r="G426" s="199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55"/>
      <c r="D429" s="247"/>
      <c r="E429" s="248"/>
      <c r="F429" s="248"/>
      <c r="G429" s="199"/>
      <c r="H429" s="202"/>
      <c r="I429" s="223"/>
      <c r="J429" s="345"/>
      <c r="K429" s="266"/>
      <c r="L429" s="252"/>
      <c r="M429" s="253"/>
      <c r="N429" s="265"/>
    </row>
    <row r="430" spans="2:14" x14ac:dyDescent="0.3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3">
      <c r="B433" s="245"/>
      <c r="C433" s="246"/>
      <c r="D433" s="247"/>
      <c r="E433" s="268"/>
      <c r="F433" s="268"/>
      <c r="G433" s="269"/>
      <c r="H433" s="270"/>
      <c r="I433" s="271"/>
      <c r="J433" s="346"/>
      <c r="K433" s="266"/>
      <c r="L433" s="252"/>
      <c r="M433" s="253"/>
      <c r="N433" s="265"/>
    </row>
    <row r="434" spans="2:14" x14ac:dyDescent="0.3">
      <c r="B434" s="245"/>
      <c r="C434" s="255"/>
      <c r="D434" s="247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55"/>
      <c r="D436" s="247"/>
      <c r="E436" s="248"/>
      <c r="F436" s="248"/>
      <c r="G436" s="199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4"/>
      <c r="L443" s="252"/>
      <c r="M443" s="253"/>
      <c r="N443" s="265"/>
    </row>
    <row r="444" spans="2:14" x14ac:dyDescent="0.3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3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3">
      <c r="B472" s="245"/>
      <c r="C472" s="246"/>
      <c r="D472" s="245"/>
      <c r="E472" s="248"/>
      <c r="F472" s="248"/>
      <c r="G472" s="261"/>
      <c r="H472" s="202"/>
      <c r="I472" s="223"/>
      <c r="J472" s="345"/>
      <c r="K472" s="264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4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55"/>
      <c r="D485" s="247"/>
      <c r="E485" s="248"/>
      <c r="F485" s="248"/>
      <c r="G485" s="199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7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5"/>
      <c r="E505" s="248"/>
      <c r="F505" s="272"/>
      <c r="G505" s="261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5"/>
      <c r="E522" s="248"/>
      <c r="F522" s="248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5"/>
      <c r="E528" s="248"/>
      <c r="F528" s="248"/>
      <c r="G528" s="261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55"/>
      <c r="D548" s="245"/>
      <c r="E548" s="248"/>
      <c r="F548" s="248"/>
      <c r="G548" s="201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3">
      <c r="B554" s="245"/>
      <c r="C554" s="255"/>
      <c r="D554" s="245"/>
      <c r="E554" s="248"/>
      <c r="F554" s="248"/>
      <c r="G554" s="201"/>
      <c r="H554" s="202"/>
      <c r="I554" s="223"/>
      <c r="J554" s="345"/>
      <c r="K554" s="264"/>
      <c r="L554" s="252"/>
      <c r="M554" s="253"/>
      <c r="N554" s="265"/>
    </row>
    <row r="555" spans="2:14" x14ac:dyDescent="0.3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55"/>
      <c r="D556" s="247"/>
      <c r="E556" s="248"/>
      <c r="F556" s="248"/>
      <c r="G556" s="199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55"/>
      <c r="D564" s="247"/>
      <c r="E564" s="248"/>
      <c r="F564" s="248"/>
      <c r="G564" s="199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55"/>
      <c r="D567" s="247"/>
      <c r="E567" s="248"/>
      <c r="F567" s="248"/>
      <c r="G567" s="199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5"/>
      <c r="E576" s="248"/>
      <c r="F576" s="248"/>
      <c r="G576" s="261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55"/>
      <c r="D586" s="245"/>
      <c r="E586" s="248"/>
      <c r="F586" s="248"/>
      <c r="G586" s="201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3">
      <c r="B596" s="245"/>
      <c r="C596" s="246"/>
      <c r="D596" s="247"/>
      <c r="E596" s="248"/>
      <c r="F596" s="248"/>
      <c r="G596" s="254"/>
      <c r="H596" s="202"/>
      <c r="I596" s="223"/>
      <c r="J596" s="345"/>
      <c r="K596" s="264"/>
      <c r="L596" s="252"/>
      <c r="M596" s="253"/>
      <c r="N596" s="265"/>
    </row>
    <row r="597" spans="2:14" x14ac:dyDescent="0.3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5"/>
      <c r="E598" s="248"/>
      <c r="F598" s="248"/>
      <c r="G598" s="261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4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3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3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5"/>
      <c r="E659" s="248"/>
      <c r="F659" s="248"/>
      <c r="G659" s="261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55"/>
      <c r="D664" s="247"/>
      <c r="E664" s="248"/>
      <c r="F664" s="248"/>
      <c r="G664" s="199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5"/>
      <c r="E667" s="248"/>
      <c r="F667" s="248"/>
      <c r="G667" s="261"/>
      <c r="H667" s="202"/>
      <c r="I667" s="223"/>
      <c r="J667" s="345"/>
      <c r="K667" s="266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3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55"/>
      <c r="D683" s="245"/>
      <c r="E683" s="248"/>
      <c r="F683" s="248"/>
      <c r="G683" s="201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3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3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3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3">
      <c r="B690" s="245"/>
      <c r="C690" s="255"/>
      <c r="D690" s="247"/>
      <c r="E690" s="248"/>
      <c r="F690" s="248"/>
      <c r="G690" s="199"/>
      <c r="H690" s="202"/>
      <c r="I690" s="223"/>
      <c r="J690" s="345"/>
      <c r="K690" s="264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4"/>
      <c r="L704" s="252"/>
      <c r="M704" s="253"/>
      <c r="N704" s="265"/>
    </row>
    <row r="705" spans="2:14" x14ac:dyDescent="0.3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3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55"/>
      <c r="D710" s="247"/>
      <c r="E710" s="248"/>
      <c r="F710" s="248"/>
      <c r="G710" s="199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3">
      <c r="B722" s="245"/>
      <c r="C722" s="255"/>
      <c r="D722" s="247"/>
      <c r="E722" s="248"/>
      <c r="F722" s="248"/>
      <c r="G722" s="199"/>
      <c r="H722" s="202"/>
      <c r="I722" s="223"/>
      <c r="J722" s="345"/>
      <c r="K722" s="266"/>
      <c r="L722" s="252"/>
      <c r="M722" s="253"/>
      <c r="N722" s="273"/>
    </row>
    <row r="723" spans="2:14" x14ac:dyDescent="0.3">
      <c r="B723" s="245"/>
      <c r="C723" s="255"/>
      <c r="D723" s="245"/>
      <c r="E723" s="248"/>
      <c r="F723" s="248"/>
      <c r="G723" s="201"/>
      <c r="H723" s="202"/>
      <c r="I723" s="223"/>
      <c r="J723" s="345"/>
      <c r="K723" s="266"/>
      <c r="L723" s="252"/>
      <c r="M723" s="253"/>
      <c r="N723" s="203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3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3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03"/>
    </row>
    <row r="728" spans="2:14" x14ac:dyDescent="0.3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4"/>
      <c r="L735" s="252"/>
      <c r="M735" s="253"/>
      <c r="N735" s="203"/>
    </row>
    <row r="736" spans="2:14" x14ac:dyDescent="0.3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03"/>
    </row>
    <row r="737" spans="2:14" x14ac:dyDescent="0.3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3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3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3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3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5"/>
      <c r="E742" s="248"/>
      <c r="F742" s="248"/>
      <c r="G742" s="261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46"/>
      <c r="D747" s="245"/>
      <c r="E747" s="248"/>
      <c r="F747" s="248"/>
      <c r="G747" s="261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55"/>
      <c r="D748" s="245"/>
      <c r="E748" s="248"/>
      <c r="F748" s="248"/>
      <c r="G748" s="201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3">
      <c r="B760" s="245"/>
      <c r="C760" s="255"/>
      <c r="D760" s="247"/>
      <c r="E760" s="248"/>
      <c r="F760" s="248"/>
      <c r="G760" s="254"/>
      <c r="H760" s="202"/>
      <c r="I760" s="223"/>
      <c r="J760" s="345"/>
      <c r="K760" s="264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3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3">
      <c r="B785" s="245"/>
      <c r="C785" s="246"/>
      <c r="D785" s="247"/>
      <c r="E785" s="248"/>
      <c r="F785" s="248"/>
      <c r="G785" s="254"/>
      <c r="H785" s="202"/>
      <c r="I785" s="223"/>
      <c r="J785" s="345"/>
      <c r="K785" s="264"/>
      <c r="L785" s="252"/>
      <c r="M785" s="253"/>
      <c r="N785" s="203"/>
    </row>
    <row r="786" spans="2:14" x14ac:dyDescent="0.3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46"/>
      <c r="D787" s="245"/>
      <c r="E787" s="248"/>
      <c r="F787" s="248"/>
      <c r="G787" s="261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55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5"/>
      <c r="E790" s="248"/>
      <c r="F790" s="248"/>
      <c r="G790" s="261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55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55"/>
      <c r="D808" s="247"/>
      <c r="E808" s="248"/>
      <c r="F808" s="248"/>
      <c r="G808" s="199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5"/>
      <c r="E819" s="248"/>
      <c r="F819" s="248"/>
      <c r="G819" s="261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4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3">
      <c r="B828" s="245"/>
      <c r="C828" s="246"/>
      <c r="D828" s="245"/>
      <c r="E828" s="248"/>
      <c r="F828" s="248"/>
      <c r="G828" s="261"/>
      <c r="H828" s="202"/>
      <c r="I828" s="223"/>
      <c r="J828" s="345"/>
      <c r="K828" s="264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3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3">
      <c r="B838" s="245"/>
      <c r="C838" s="255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3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55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3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3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55"/>
      <c r="D860" s="247"/>
      <c r="E860" s="248"/>
      <c r="F860" s="248"/>
      <c r="G860" s="199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55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74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5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3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3">
      <c r="B884" s="245"/>
      <c r="C884" s="255"/>
      <c r="D884" s="247"/>
      <c r="E884" s="248"/>
      <c r="F884" s="248"/>
      <c r="G884" s="254"/>
      <c r="H884" s="202"/>
      <c r="I884" s="223"/>
      <c r="J884" s="345"/>
      <c r="K884" s="267"/>
      <c r="L884" s="252"/>
      <c r="M884" s="253"/>
      <c r="N884" s="203"/>
    </row>
    <row r="885" spans="2:14" x14ac:dyDescent="0.3">
      <c r="B885" s="245"/>
      <c r="C885" s="255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3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199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55"/>
      <c r="D944" s="247"/>
      <c r="E944" s="248"/>
      <c r="F944" s="248"/>
      <c r="G944" s="199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199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199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201"/>
      <c r="H999" s="202"/>
      <c r="I999" s="223"/>
      <c r="J999" s="345"/>
      <c r="K999" s="266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4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01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5"/>
      <c r="E1030" s="248"/>
      <c r="F1030" s="248"/>
      <c r="G1030" s="261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3">
      <c r="B1043" s="245"/>
      <c r="C1043" s="255"/>
      <c r="D1043" s="245"/>
      <c r="E1043" s="248"/>
      <c r="F1043" s="248"/>
      <c r="G1043" s="261"/>
      <c r="H1043" s="202"/>
      <c r="I1043" s="223"/>
      <c r="J1043" s="345"/>
      <c r="K1043" s="264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03"/>
      <c r="M1069" s="253"/>
      <c r="N1069" s="203"/>
    </row>
    <row r="1070" spans="2:14" x14ac:dyDescent="0.3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5"/>
      <c r="E1071" s="275"/>
      <c r="F1071" s="275"/>
      <c r="G1071" s="205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199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5"/>
      <c r="E1079" s="248"/>
      <c r="F1079" s="248"/>
      <c r="G1079" s="205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199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199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3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03"/>
      <c r="M1100" s="253"/>
      <c r="N1100" s="203"/>
    </row>
    <row r="1101" spans="2:14" x14ac:dyDescent="0.3">
      <c r="B1101" s="245"/>
      <c r="C1101" s="255"/>
      <c r="D1101" s="245"/>
      <c r="E1101" s="248"/>
      <c r="F1101" s="248"/>
      <c r="G1101" s="205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199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5"/>
      <c r="E1110" s="248"/>
      <c r="F1110" s="248"/>
      <c r="G1110" s="206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3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76"/>
      <c r="D1121" s="276"/>
      <c r="E1121" s="248"/>
      <c r="F1121" s="277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5"/>
      <c r="E1123" s="248"/>
      <c r="F1123" s="248"/>
      <c r="G1123" s="201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4"/>
      <c r="L1127" s="252"/>
      <c r="M1127" s="253"/>
      <c r="N1127" s="203"/>
    </row>
    <row r="1128" spans="2:14" x14ac:dyDescent="0.3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3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3">
      <c r="B1130" s="245"/>
      <c r="C1130" s="255"/>
      <c r="D1130" s="245"/>
      <c r="E1130" s="248"/>
      <c r="F1130" s="248"/>
      <c r="G1130" s="261"/>
      <c r="H1130" s="202"/>
      <c r="I1130" s="223"/>
      <c r="J1130" s="345"/>
      <c r="K1130" s="266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74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199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61"/>
      <c r="H1137" s="202"/>
      <c r="I1137" s="223"/>
      <c r="J1137" s="345"/>
      <c r="K1137" s="266"/>
      <c r="L1137" s="252"/>
      <c r="M1137" s="253"/>
      <c r="N1137" s="203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3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3">
      <c r="B1140" s="245"/>
      <c r="C1140" s="255"/>
      <c r="D1140" s="247"/>
      <c r="E1140" s="248"/>
      <c r="F1140" s="248"/>
      <c r="G1140" s="199"/>
      <c r="H1140" s="202"/>
      <c r="I1140" s="223"/>
      <c r="J1140" s="345"/>
      <c r="K1140" s="266"/>
      <c r="L1140" s="252"/>
      <c r="M1140" s="253"/>
      <c r="N1140" s="204"/>
    </row>
    <row r="1141" spans="2:14" x14ac:dyDescent="0.3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3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3">
      <c r="B1145" s="245"/>
      <c r="C1145" s="255"/>
      <c r="D1145" s="245"/>
      <c r="E1145" s="275"/>
      <c r="F1145" s="275"/>
      <c r="G1145" s="205"/>
      <c r="H1145" s="202"/>
      <c r="I1145" s="223"/>
      <c r="J1145" s="345"/>
      <c r="K1145" s="274"/>
      <c r="L1145" s="252"/>
      <c r="M1145" s="253"/>
      <c r="N1145" s="204"/>
    </row>
    <row r="1146" spans="2:14" x14ac:dyDescent="0.3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3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3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3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74"/>
      <c r="L1152" s="252"/>
      <c r="M1152" s="253"/>
      <c r="N1152" s="204"/>
    </row>
    <row r="1153" spans="2:14" x14ac:dyDescent="0.3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4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3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3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3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5"/>
      <c r="E1172" s="248"/>
      <c r="F1172" s="248"/>
      <c r="G1172" s="261"/>
      <c r="H1172" s="202"/>
      <c r="I1172" s="223"/>
      <c r="J1172" s="345"/>
      <c r="K1172" s="266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74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3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78"/>
      <c r="L1183" s="252"/>
      <c r="M1183" s="253"/>
      <c r="N1183" s="204"/>
    </row>
    <row r="1184" spans="2:14" x14ac:dyDescent="0.3">
      <c r="B1184" s="245"/>
      <c r="C1184" s="255"/>
      <c r="D1184" s="245"/>
      <c r="E1184" s="275"/>
      <c r="F1184" s="275"/>
      <c r="G1184" s="205"/>
      <c r="H1184" s="202"/>
      <c r="I1184" s="223"/>
      <c r="J1184" s="345"/>
      <c r="K1184" s="279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3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3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3">
      <c r="B1192" s="245"/>
      <c r="C1192" s="255"/>
      <c r="D1192" s="245"/>
      <c r="E1192" s="248"/>
      <c r="F1192" s="248"/>
      <c r="G1192" s="205"/>
      <c r="H1192" s="202"/>
      <c r="I1192" s="223"/>
      <c r="J1192" s="345"/>
      <c r="K1192" s="279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01"/>
      <c r="H1194" s="202"/>
      <c r="I1194" s="223"/>
      <c r="J1194" s="345"/>
      <c r="K1194" s="279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3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3">
      <c r="B1198" s="245"/>
      <c r="C1198" s="255"/>
      <c r="D1198" s="245"/>
      <c r="E1198" s="248"/>
      <c r="F1198" s="248"/>
      <c r="G1198" s="206"/>
      <c r="H1198" s="202"/>
      <c r="I1198" s="223"/>
      <c r="J1198" s="345"/>
      <c r="K1198" s="279"/>
      <c r="L1198" s="252"/>
      <c r="M1198" s="253"/>
      <c r="N1198" s="204"/>
    </row>
    <row r="1199" spans="2:14" x14ac:dyDescent="0.3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3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3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3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03"/>
      <c r="M1214" s="253"/>
      <c r="N1214" s="204"/>
    </row>
    <row r="1215" spans="2:14" x14ac:dyDescent="0.3">
      <c r="B1215" s="245"/>
      <c r="C1215" s="280"/>
      <c r="D1215" s="281"/>
      <c r="E1215" s="275"/>
      <c r="F1215" s="275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03"/>
      <c r="M1217" s="253"/>
      <c r="N1217" s="204"/>
    </row>
    <row r="1218" spans="2:14" x14ac:dyDescent="0.3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3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3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3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3">
      <c r="B1223" s="245"/>
      <c r="C1223" s="246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3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3">
      <c r="B1225" s="245"/>
      <c r="C1225" s="276"/>
      <c r="D1225" s="276"/>
      <c r="E1225" s="277"/>
      <c r="F1225" s="277"/>
      <c r="G1225" s="209"/>
      <c r="H1225" s="207"/>
      <c r="I1225" s="221"/>
      <c r="J1225" s="342"/>
      <c r="K1225" s="282"/>
      <c r="L1225" s="252"/>
      <c r="M1225" s="253"/>
      <c r="N1225" s="208"/>
    </row>
    <row r="1226" spans="2:14" x14ac:dyDescent="0.3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3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3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3">
      <c r="B1229" s="245"/>
      <c r="C1229" s="255"/>
      <c r="D1229" s="245"/>
      <c r="E1229" s="248"/>
      <c r="F1229" s="248"/>
      <c r="G1229" s="261"/>
      <c r="H1229" s="207"/>
      <c r="I1229" s="221"/>
      <c r="J1229" s="342"/>
      <c r="K1229" s="279"/>
      <c r="L1229" s="252"/>
      <c r="M1229" s="253"/>
      <c r="N1229" s="208"/>
    </row>
    <row r="1230" spans="2:14" x14ac:dyDescent="0.3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3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3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3">
      <c r="B1233" s="245"/>
      <c r="C1233" s="246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3">
      <c r="B1234" s="245"/>
      <c r="C1234" s="255"/>
      <c r="D1234" s="247"/>
      <c r="E1234" s="248"/>
      <c r="F1234" s="248"/>
      <c r="G1234" s="205"/>
      <c r="H1234" s="207"/>
      <c r="I1234" s="221"/>
      <c r="J1234" s="342"/>
      <c r="K1234" s="279"/>
      <c r="L1234" s="252"/>
      <c r="M1234" s="253"/>
      <c r="N1234" s="208"/>
    </row>
    <row r="1235" spans="2:14" x14ac:dyDescent="0.3">
      <c r="B1235" s="245"/>
      <c r="C1235" s="246"/>
      <c r="D1235" s="247"/>
      <c r="E1235" s="248"/>
      <c r="F1235" s="248"/>
      <c r="G1235" s="261"/>
      <c r="H1235" s="207"/>
      <c r="I1235" s="221"/>
      <c r="J1235" s="342"/>
      <c r="K1235" s="279"/>
      <c r="L1235" s="252"/>
      <c r="M1235" s="253"/>
      <c r="N1235" s="208"/>
    </row>
    <row r="1236" spans="2:14" x14ac:dyDescent="0.3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3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10"/>
      <c r="M1237" s="253"/>
      <c r="N1237" s="208"/>
    </row>
    <row r="1238" spans="2:14" x14ac:dyDescent="0.3">
      <c r="B1238" s="245"/>
      <c r="C1238" s="255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46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3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x14ac:dyDescent="0.3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x14ac:dyDescent="0.3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x14ac:dyDescent="0.3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3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3">
      <c r="B1246" s="37"/>
      <c r="C1246" s="78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3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x14ac:dyDescent="0.3">
      <c r="B1248" s="37"/>
      <c r="C1248" s="286"/>
      <c r="D1248" s="37"/>
      <c r="E1248" s="60"/>
      <c r="F1248" s="60"/>
      <c r="G1248" s="213"/>
      <c r="H1248" s="211"/>
      <c r="I1248" s="224"/>
      <c r="J1248" s="347"/>
      <c r="K1248" s="69"/>
      <c r="L1248" s="285"/>
      <c r="M1248" s="116"/>
      <c r="N1248" s="212"/>
    </row>
    <row r="1249" spans="2:14" x14ac:dyDescent="0.3">
      <c r="B1249" s="37"/>
      <c r="C1249" s="78"/>
      <c r="D1249" s="109"/>
      <c r="E1249" s="68"/>
      <c r="F1249" s="68"/>
      <c r="G1249" s="214"/>
      <c r="H1249" s="211"/>
      <c r="I1249" s="224"/>
      <c r="J1249" s="347"/>
      <c r="K1249" s="69"/>
      <c r="L1249" s="285"/>
      <c r="M1249" s="116"/>
      <c r="N1249" s="212"/>
    </row>
    <row r="1250" spans="2:14" x14ac:dyDescent="0.3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x14ac:dyDescent="0.3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x14ac:dyDescent="0.3">
      <c r="B1252" s="37"/>
      <c r="C1252" s="66"/>
      <c r="D1252" s="287"/>
      <c r="E1252" s="68"/>
      <c r="F1252" s="68"/>
      <c r="G1252" s="214"/>
      <c r="H1252" s="211"/>
      <c r="I1252" s="224"/>
      <c r="J1252" s="347"/>
      <c r="K1252" s="69"/>
      <c r="L1252" s="285"/>
      <c r="M1252" s="116"/>
      <c r="N1252" s="212"/>
    </row>
    <row r="1253" spans="2:14" x14ac:dyDescent="0.3">
      <c r="B1253" s="30"/>
      <c r="C1253" s="283"/>
      <c r="D1253" s="109"/>
      <c r="E1253" s="68"/>
      <c r="F1253" s="68"/>
      <c r="G1253" s="288"/>
      <c r="H1253" s="215"/>
      <c r="I1253" s="224"/>
      <c r="J1253" s="347"/>
      <c r="K1253" s="69"/>
      <c r="L1253" s="285"/>
      <c r="M1253" s="116"/>
      <c r="N1253" s="212"/>
    </row>
    <row r="1254" spans="2:14" x14ac:dyDescent="0.3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x14ac:dyDescent="0.3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x14ac:dyDescent="0.3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x14ac:dyDescent="0.3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x14ac:dyDescent="0.3">
      <c r="B1258" s="30"/>
      <c r="C1258" s="78"/>
      <c r="D1258" s="109"/>
      <c r="E1258" s="68"/>
      <c r="F1258" s="68"/>
      <c r="G1258" s="214"/>
      <c r="H1258" s="215"/>
      <c r="I1258" s="224"/>
      <c r="J1258" s="347"/>
      <c r="K1258" s="69"/>
      <c r="L1258" s="285"/>
      <c r="M1258" s="116"/>
      <c r="N1258" s="212"/>
    </row>
    <row r="1259" spans="2:14" x14ac:dyDescent="0.3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x14ac:dyDescent="0.3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x14ac:dyDescent="0.3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x14ac:dyDescent="0.3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x14ac:dyDescent="0.3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x14ac:dyDescent="0.3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x14ac:dyDescent="0.3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x14ac:dyDescent="0.3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x14ac:dyDescent="0.3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x14ac:dyDescent="0.3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x14ac:dyDescent="0.3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16"/>
      <c r="M1269" s="116"/>
      <c r="N1269" s="212"/>
    </row>
    <row r="1270" spans="2:14" x14ac:dyDescent="0.3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x14ac:dyDescent="0.3">
      <c r="B1271" s="65"/>
      <c r="C1271" s="78"/>
      <c r="D1271" s="109"/>
      <c r="E1271" s="68"/>
      <c r="F1271" s="68"/>
      <c r="G1271" s="214"/>
      <c r="H1271" s="215"/>
      <c r="I1271" s="224"/>
      <c r="J1271" s="347"/>
      <c r="K1271" s="69"/>
      <c r="L1271" s="285"/>
      <c r="M1271" s="116"/>
      <c r="N1271" s="212"/>
    </row>
    <row r="1272" spans="2:14" x14ac:dyDescent="0.3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16"/>
      <c r="M1272" s="116"/>
      <c r="N1272" s="212"/>
    </row>
    <row r="1273" spans="2:14" x14ac:dyDescent="0.3">
      <c r="B1273" s="65"/>
      <c r="C1273" s="78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x14ac:dyDescent="0.3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16"/>
      <c r="M1277" s="116"/>
      <c r="N1277" s="212"/>
    </row>
    <row r="1278" spans="2:14" x14ac:dyDescent="0.3">
      <c r="B1278" s="65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65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x14ac:dyDescent="0.3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16"/>
      <c r="M1281" s="116"/>
      <c r="N1281" s="212"/>
    </row>
    <row r="1282" spans="2:14" x14ac:dyDescent="0.3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30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x14ac:dyDescent="0.3">
      <c r="B1286" s="30"/>
      <c r="C1286" s="289"/>
      <c r="D1286" s="290"/>
      <c r="E1286" s="291"/>
      <c r="F1286" s="291"/>
      <c r="G1286" s="284"/>
      <c r="H1286" s="215"/>
      <c r="I1286" s="224"/>
      <c r="J1286" s="347"/>
      <c r="K1286" s="69"/>
      <c r="L1286" s="216"/>
      <c r="M1286" s="116"/>
      <c r="N1286" s="212"/>
    </row>
    <row r="1287" spans="2:14" x14ac:dyDescent="0.3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3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x14ac:dyDescent="0.3">
      <c r="B1290" s="30"/>
      <c r="C1290" s="78"/>
      <c r="D1290" s="109"/>
      <c r="E1290" s="68"/>
      <c r="F1290" s="68"/>
      <c r="G1290" s="288"/>
      <c r="H1290" s="211"/>
      <c r="I1290" s="224"/>
      <c r="J1290" s="347"/>
      <c r="K1290" s="80"/>
      <c r="L1290" s="285"/>
      <c r="M1290" s="116"/>
      <c r="N1290" s="212"/>
    </row>
    <row r="1291" spans="2:14" x14ac:dyDescent="0.3">
      <c r="B1291" s="30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x14ac:dyDescent="0.3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x14ac:dyDescent="0.3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16"/>
      <c r="M1297" s="116"/>
      <c r="N1297" s="212"/>
    </row>
    <row r="1298" spans="2:14" x14ac:dyDescent="0.3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x14ac:dyDescent="0.3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x14ac:dyDescent="0.3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3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3">
      <c r="B1309" s="65"/>
      <c r="C1309" s="78"/>
      <c r="D1309" s="109"/>
      <c r="E1309" s="68"/>
      <c r="F1309" s="68"/>
      <c r="G1309" s="21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x14ac:dyDescent="0.3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292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1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x14ac:dyDescent="0.3">
      <c r="B1328" s="65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x14ac:dyDescent="0.3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x14ac:dyDescent="0.3">
      <c r="B1330" s="292"/>
      <c r="C1330" s="78"/>
      <c r="D1330" s="109"/>
      <c r="E1330" s="68"/>
      <c r="F1330" s="68"/>
      <c r="G1330" s="284"/>
      <c r="H1330" s="215"/>
      <c r="I1330" s="293"/>
      <c r="J1330" s="348"/>
      <c r="K1330" s="69"/>
      <c r="L1330" s="285"/>
      <c r="M1330" s="116"/>
      <c r="N1330" s="212"/>
    </row>
    <row r="1331" spans="2:14" x14ac:dyDescent="0.3">
      <c r="B1331" s="292"/>
      <c r="C1331" s="78"/>
      <c r="D1331" s="109"/>
      <c r="E1331" s="68"/>
      <c r="F1331" s="68"/>
      <c r="G1331" s="214"/>
      <c r="H1331" s="215"/>
      <c r="I1331" s="293"/>
      <c r="J1331" s="348"/>
      <c r="K1331" s="69"/>
      <c r="L1331" s="285"/>
      <c r="M1331" s="116"/>
      <c r="N1331" s="212"/>
    </row>
    <row r="1332" spans="2:14" x14ac:dyDescent="0.3">
      <c r="B1332" s="292"/>
      <c r="C1332" s="78"/>
      <c r="D1332" s="109"/>
      <c r="E1332" s="68"/>
      <c r="F1332" s="68"/>
      <c r="G1332" s="288"/>
      <c r="H1332" s="215"/>
      <c r="I1332" s="293"/>
      <c r="J1332" s="348"/>
      <c r="K1332" s="69"/>
      <c r="L1332" s="285"/>
      <c r="M1332" s="116"/>
      <c r="N1332" s="212"/>
    </row>
    <row r="1333" spans="2:14" x14ac:dyDescent="0.3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x14ac:dyDescent="0.3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x14ac:dyDescent="0.3">
      <c r="B1335" s="292"/>
      <c r="C1335" s="78"/>
      <c r="D1335" s="109"/>
      <c r="E1335" s="68"/>
      <c r="F1335" s="68"/>
      <c r="G1335" s="213"/>
      <c r="H1335" s="215"/>
      <c r="I1335" s="293"/>
      <c r="J1335" s="348"/>
      <c r="K1335" s="69"/>
      <c r="L1335" s="285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8"/>
      <c r="H1336" s="211"/>
      <c r="I1336" s="224"/>
      <c r="J1336" s="347"/>
      <c r="K1336" s="80"/>
      <c r="L1336" s="216"/>
      <c r="M1336" s="116"/>
      <c r="N1336" s="212"/>
    </row>
    <row r="1337" spans="2:14" x14ac:dyDescent="0.3">
      <c r="B1337" s="292"/>
      <c r="C1337" s="78"/>
      <c r="D1337" s="109"/>
      <c r="E1337" s="68"/>
      <c r="F1337" s="68"/>
      <c r="G1337" s="288"/>
      <c r="H1337" s="215"/>
      <c r="I1337" s="293"/>
      <c r="J1337" s="348"/>
      <c r="K1337" s="69"/>
      <c r="L1337" s="285"/>
      <c r="M1337" s="116"/>
      <c r="N1337" s="212"/>
    </row>
    <row r="1338" spans="2:14" x14ac:dyDescent="0.3">
      <c r="B1338" s="65"/>
      <c r="C1338" s="289"/>
      <c r="D1338" s="290"/>
      <c r="E1338" s="294"/>
      <c r="F1338" s="295"/>
      <c r="G1338" s="296"/>
      <c r="H1338" s="215"/>
      <c r="I1338" s="293"/>
      <c r="J1338" s="348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x14ac:dyDescent="0.3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x14ac:dyDescent="0.3">
      <c r="B1341" s="292"/>
      <c r="C1341" s="78"/>
      <c r="D1341" s="109"/>
      <c r="E1341" s="297"/>
      <c r="F1341" s="298"/>
      <c r="G1341" s="299"/>
      <c r="H1341" s="300"/>
      <c r="I1341" s="301"/>
      <c r="J1341" s="349"/>
      <c r="K1341" s="69"/>
      <c r="L1341" s="285"/>
      <c r="M1341" s="116"/>
      <c r="N1341" s="212"/>
    </row>
    <row r="1342" spans="2:14" x14ac:dyDescent="0.3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x14ac:dyDescent="0.3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x14ac:dyDescent="0.3">
      <c r="B1344" s="292"/>
      <c r="C1344" s="78"/>
      <c r="D1344" s="109"/>
      <c r="E1344" s="68"/>
      <c r="F1344" s="77"/>
      <c r="G1344" s="214"/>
      <c r="H1344" s="215"/>
      <c r="I1344" s="293"/>
      <c r="J1344" s="348"/>
      <c r="K1344" s="69"/>
      <c r="L1344" s="216"/>
      <c r="M1344" s="116"/>
      <c r="N1344" s="212"/>
    </row>
    <row r="1345" spans="2:14" x14ac:dyDescent="0.3">
      <c r="B1345" s="292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x14ac:dyDescent="0.3">
      <c r="B1346" s="65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65"/>
      <c r="C1347" s="289"/>
      <c r="D1347" s="290"/>
      <c r="E1347" s="291"/>
      <c r="F1347" s="284"/>
      <c r="G1347" s="284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65"/>
      <c r="C1348" s="66"/>
      <c r="D1348" s="109"/>
      <c r="E1348" s="68"/>
      <c r="F1348" s="77"/>
      <c r="G1348" s="296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65"/>
      <c r="C1349" s="78"/>
      <c r="D1349" s="109"/>
      <c r="E1349" s="68"/>
      <c r="F1349" s="77"/>
      <c r="G1349" s="284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x14ac:dyDescent="0.3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292"/>
      <c r="C1356" s="66"/>
      <c r="D1356" s="109"/>
      <c r="E1356" s="68"/>
      <c r="F1356" s="77"/>
      <c r="G1356" s="296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292"/>
      <c r="C1362" s="78"/>
      <c r="D1362" s="109"/>
      <c r="E1362" s="68"/>
      <c r="F1362" s="77"/>
      <c r="G1362" s="288"/>
      <c r="H1362" s="215"/>
      <c r="I1362" s="293"/>
      <c r="J1362" s="348"/>
      <c r="K1362" s="69"/>
      <c r="L1362" s="285"/>
      <c r="M1362" s="116"/>
      <c r="N1362" s="212"/>
    </row>
    <row r="1363" spans="2:14" x14ac:dyDescent="0.3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78"/>
      <c r="D1365" s="109"/>
      <c r="E1365" s="68"/>
      <c r="F1365" s="77"/>
      <c r="G1365" s="21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66"/>
      <c r="D1368" s="109"/>
      <c r="E1368" s="68"/>
      <c r="F1368" s="68"/>
      <c r="G1368" s="296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214"/>
      <c r="H1369" s="215"/>
      <c r="I1369" s="293"/>
      <c r="J1369" s="348"/>
      <c r="K1369" s="69"/>
      <c r="L1369" s="285"/>
      <c r="M1369" s="116"/>
      <c r="N1369" s="212"/>
    </row>
    <row r="1370" spans="2:14" x14ac:dyDescent="0.3">
      <c r="B1370" s="65"/>
      <c r="C1370" s="78"/>
      <c r="D1370" s="109"/>
      <c r="E1370" s="68"/>
      <c r="F1370" s="77"/>
      <c r="G1370" s="302"/>
      <c r="H1370" s="211"/>
      <c r="I1370" s="224"/>
      <c r="J1370" s="347"/>
      <c r="K1370" s="80"/>
      <c r="L1370" s="285"/>
      <c r="M1370" s="116"/>
      <c r="N1370" s="212"/>
    </row>
    <row r="1371" spans="2:14" x14ac:dyDescent="0.3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65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65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x14ac:dyDescent="0.3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x14ac:dyDescent="0.3">
      <c r="B1377" s="65"/>
      <c r="C1377" s="289"/>
      <c r="D1377" s="290"/>
      <c r="E1377" s="291"/>
      <c r="F1377" s="304"/>
      <c r="G1377" s="284"/>
      <c r="H1377" s="303"/>
      <c r="I1377" s="225"/>
      <c r="J1377" s="350"/>
      <c r="K1377" s="69"/>
      <c r="L1377" s="285"/>
      <c r="M1377" s="116"/>
      <c r="N1377" s="212"/>
    </row>
    <row r="1378" spans="2:14" x14ac:dyDescent="0.3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x14ac:dyDescent="0.3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x14ac:dyDescent="0.3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x14ac:dyDescent="0.3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x14ac:dyDescent="0.3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x14ac:dyDescent="0.3">
      <c r="B1383" s="91"/>
      <c r="C1383" s="78"/>
      <c r="D1383" s="109"/>
      <c r="E1383" s="68"/>
      <c r="F1383" s="68"/>
      <c r="G1383" s="214"/>
      <c r="H1383" s="215"/>
      <c r="I1383" s="293"/>
      <c r="J1383" s="348"/>
      <c r="K1383" s="69"/>
      <c r="L1383" s="285"/>
      <c r="M1383" s="116"/>
      <c r="N1383" s="212"/>
    </row>
    <row r="1384" spans="2:14" x14ac:dyDescent="0.3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x14ac:dyDescent="0.3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x14ac:dyDescent="0.3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x14ac:dyDescent="0.3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x14ac:dyDescent="0.3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x14ac:dyDescent="0.3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x14ac:dyDescent="0.3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x14ac:dyDescent="0.3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x14ac:dyDescent="0.3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x14ac:dyDescent="0.3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x14ac:dyDescent="0.3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68"/>
      <c r="G1407" s="29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91"/>
      <c r="C1408" s="66"/>
      <c r="D1408" s="109"/>
      <c r="E1408" s="68"/>
      <c r="F1408" s="77"/>
      <c r="G1408" s="2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23"/>
      <c r="D1415" s="37"/>
      <c r="E1415" s="60"/>
      <c r="F1415" s="26"/>
      <c r="G1415" s="26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65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x14ac:dyDescent="0.3">
      <c r="B1417" s="65"/>
      <c r="C1417" s="78"/>
      <c r="D1417" s="109"/>
      <c r="E1417" s="68"/>
      <c r="F1417" s="77"/>
      <c r="G1417" s="305"/>
      <c r="H1417" s="215"/>
      <c r="I1417" s="293"/>
      <c r="J1417" s="348"/>
      <c r="K1417" s="69"/>
      <c r="L1417" s="216"/>
      <c r="M1417" s="116"/>
      <c r="N1417" s="212"/>
    </row>
    <row r="1418" spans="2:14" x14ac:dyDescent="0.3">
      <c r="B1418" s="91"/>
      <c r="C1418" s="78"/>
      <c r="D1418" s="109"/>
      <c r="E1418" s="68"/>
      <c r="F1418" s="77"/>
      <c r="G1418" s="302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91"/>
      <c r="C1425" s="23"/>
      <c r="D1425" s="37"/>
      <c r="E1425" s="60"/>
      <c r="F1425" s="26"/>
      <c r="G1425" s="104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65"/>
      <c r="C1428" s="23"/>
      <c r="D1428" s="290"/>
      <c r="E1428" s="291"/>
      <c r="F1428" s="304"/>
      <c r="G1428" s="284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x14ac:dyDescent="0.3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80"/>
      <c r="L1431" s="285"/>
      <c r="M1431" s="116"/>
      <c r="N1431" s="212"/>
    </row>
    <row r="1432" spans="2:14" x14ac:dyDescent="0.3">
      <c r="B1432" s="91"/>
      <c r="C1432" s="23"/>
      <c r="D1432" s="37"/>
      <c r="E1432" s="60"/>
      <c r="F1432" s="26"/>
      <c r="G1432" s="104"/>
      <c r="H1432" s="303"/>
      <c r="I1432" s="225"/>
      <c r="J1432" s="350"/>
      <c r="K1432" s="69"/>
      <c r="L1432" s="285"/>
      <c r="M1432" s="116"/>
      <c r="N1432" s="212"/>
    </row>
    <row r="1433" spans="2:14" x14ac:dyDescent="0.3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27"/>
      <c r="L1433" s="285"/>
      <c r="M1433" s="116"/>
      <c r="N1433" s="212"/>
    </row>
    <row r="1434" spans="2:14" x14ac:dyDescent="0.3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x14ac:dyDescent="0.3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66"/>
      <c r="D1437" s="109"/>
      <c r="E1437" s="68"/>
      <c r="F1437" s="77"/>
      <c r="G1437" s="26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x14ac:dyDescent="0.3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290"/>
      <c r="L1440" s="285"/>
      <c r="M1440" s="116"/>
      <c r="N1440" s="212"/>
    </row>
    <row r="1441" spans="2:14" x14ac:dyDescent="0.3">
      <c r="B1441" s="65"/>
      <c r="C1441" s="66"/>
      <c r="D1441" s="109"/>
      <c r="E1441" s="68"/>
      <c r="F1441" s="77"/>
      <c r="G1441" s="104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65"/>
      <c r="C1443" s="286"/>
      <c r="D1443" s="286"/>
      <c r="E1443" s="306"/>
      <c r="F1443" s="307"/>
      <c r="G1443" s="307"/>
      <c r="H1443" s="303"/>
      <c r="I1443" s="225"/>
      <c r="J1443" s="350"/>
      <c r="K1443" s="69"/>
      <c r="L1443" s="285"/>
      <c r="M1443" s="116"/>
      <c r="N1443" s="212"/>
    </row>
    <row r="1444" spans="2:14" x14ac:dyDescent="0.3">
      <c r="B1444" s="65"/>
      <c r="C1444" s="78"/>
      <c r="D1444" s="109"/>
      <c r="E1444" s="68"/>
      <c r="F1444" s="77"/>
      <c r="G1444" s="214"/>
      <c r="H1444" s="215"/>
      <c r="I1444" s="293"/>
      <c r="J1444" s="348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x14ac:dyDescent="0.3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x14ac:dyDescent="0.3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x14ac:dyDescent="0.3">
      <c r="B1453" s="65"/>
      <c r="C1453" s="78"/>
      <c r="D1453" s="109"/>
      <c r="E1453" s="68"/>
      <c r="F1453" s="77"/>
      <c r="G1453" s="308"/>
      <c r="H1453" s="215"/>
      <c r="I1453" s="293"/>
      <c r="J1453" s="348"/>
      <c r="K1453" s="69"/>
      <c r="L1453" s="216"/>
      <c r="M1453" s="116"/>
      <c r="N1453" s="212"/>
    </row>
    <row r="1454" spans="2:14" x14ac:dyDescent="0.3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x14ac:dyDescent="0.3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x14ac:dyDescent="0.3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x14ac:dyDescent="0.3">
      <c r="B1458" s="65"/>
      <c r="C1458" s="66"/>
      <c r="D1458" s="109"/>
      <c r="E1458" s="68"/>
      <c r="F1458" s="77"/>
      <c r="G1458" s="310"/>
      <c r="H1458" s="121"/>
      <c r="I1458" s="107"/>
      <c r="J1458" s="351"/>
      <c r="K1458" s="69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104"/>
      <c r="H1460" s="121"/>
      <c r="I1460" s="107"/>
      <c r="J1460" s="351"/>
      <c r="K1460" s="69"/>
      <c r="L1460" s="285"/>
      <c r="M1460" s="116"/>
      <c r="N1460" s="212"/>
    </row>
    <row r="1461" spans="2:14" x14ac:dyDescent="0.3">
      <c r="B1461" s="65"/>
      <c r="C1461" s="66"/>
      <c r="D1461" s="109"/>
      <c r="E1461" s="68"/>
      <c r="F1461" s="77"/>
      <c r="G1461" s="296"/>
      <c r="H1461" s="121"/>
      <c r="I1461" s="107"/>
      <c r="J1461" s="351"/>
      <c r="K1461" s="69"/>
      <c r="L1461" s="285"/>
      <c r="M1461" s="116"/>
      <c r="N1461" s="212"/>
    </row>
    <row r="1462" spans="2:14" x14ac:dyDescent="0.3">
      <c r="B1462" s="91"/>
      <c r="C1462" s="78"/>
      <c r="D1462" s="109"/>
      <c r="E1462" s="68"/>
      <c r="F1462" s="77"/>
      <c r="G1462" s="311"/>
      <c r="H1462" s="121"/>
      <c r="I1462" s="107"/>
      <c r="J1462" s="351"/>
      <c r="K1462" s="69"/>
      <c r="L1462" s="285"/>
      <c r="M1462" s="116"/>
      <c r="N1462" s="212"/>
    </row>
    <row r="1463" spans="2:14" x14ac:dyDescent="0.3">
      <c r="B1463" s="91"/>
      <c r="C1463" s="66"/>
      <c r="D1463" s="109"/>
      <c r="E1463" s="68"/>
      <c r="F1463" s="77"/>
      <c r="G1463" s="104"/>
      <c r="H1463" s="121"/>
      <c r="I1463" s="107"/>
      <c r="J1463" s="351"/>
      <c r="K1463" s="69"/>
      <c r="L1463" s="285"/>
      <c r="M1463" s="116"/>
      <c r="N1463" s="212"/>
    </row>
    <row r="1464" spans="2:14" x14ac:dyDescent="0.3">
      <c r="B1464" s="91"/>
      <c r="C1464" s="66"/>
      <c r="D1464" s="109"/>
      <c r="E1464" s="68"/>
      <c r="F1464" s="68"/>
      <c r="G1464" s="104"/>
      <c r="H1464" s="121"/>
      <c r="I1464" s="107"/>
      <c r="J1464" s="351"/>
      <c r="K1464" s="69"/>
      <c r="L1464" s="285"/>
      <c r="M1464" s="116"/>
      <c r="N1464" s="212"/>
    </row>
    <row r="1465" spans="2:14" x14ac:dyDescent="0.3">
      <c r="B1465" s="91"/>
      <c r="C1465" s="66"/>
      <c r="D1465" s="109"/>
      <c r="E1465" s="68"/>
      <c r="F1465" s="77"/>
      <c r="G1465" s="296"/>
      <c r="H1465" s="121"/>
      <c r="I1465" s="107"/>
      <c r="J1465" s="351"/>
      <c r="K1465" s="69"/>
      <c r="L1465" s="285"/>
      <c r="M1465" s="116"/>
      <c r="N1465" s="212"/>
    </row>
    <row r="1466" spans="2:14" x14ac:dyDescent="0.3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x14ac:dyDescent="0.3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x14ac:dyDescent="0.3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x14ac:dyDescent="0.3">
      <c r="B1469" s="65"/>
      <c r="C1469" s="78"/>
      <c r="D1469" s="109"/>
      <c r="E1469" s="68"/>
      <c r="F1469" s="77"/>
      <c r="G1469" s="311"/>
      <c r="H1469" s="312"/>
      <c r="I1469" s="313"/>
      <c r="J1469" s="352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x14ac:dyDescent="0.3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x14ac:dyDescent="0.3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x14ac:dyDescent="0.3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x14ac:dyDescent="0.3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x14ac:dyDescent="0.3">
      <c r="B1475" s="91"/>
      <c r="C1475" s="78"/>
      <c r="D1475" s="109"/>
      <c r="E1475" s="68"/>
      <c r="F1475" s="77"/>
      <c r="G1475" s="311"/>
      <c r="H1475" s="312"/>
      <c r="I1475" s="313"/>
      <c r="J1475" s="352"/>
      <c r="K1475" s="69"/>
      <c r="L1475" s="285"/>
      <c r="M1475" s="116"/>
      <c r="N1475" s="212"/>
    </row>
    <row r="1476" spans="2:14" x14ac:dyDescent="0.3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x14ac:dyDescent="0.3">
      <c r="B1481" s="65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x14ac:dyDescent="0.3">
      <c r="B1482" s="314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x14ac:dyDescent="0.3">
      <c r="B1483" s="315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126"/>
      <c r="M1483" s="116"/>
      <c r="N1483" s="217"/>
    </row>
    <row r="1484" spans="2:14" x14ac:dyDescent="0.3">
      <c r="B1484" s="31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126"/>
      <c r="M1484" s="116"/>
      <c r="N1484" s="217"/>
    </row>
    <row r="1485" spans="2:14" x14ac:dyDescent="0.3">
      <c r="B1485" s="314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16"/>
      <c r="M1485" s="116"/>
      <c r="N1485" s="212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7"/>
    </row>
    <row r="1487" spans="2:14" x14ac:dyDescent="0.3">
      <c r="B1487" s="91"/>
      <c r="C1487" s="316"/>
      <c r="D1487" s="65"/>
      <c r="E1487" s="68"/>
      <c r="F1487" s="117"/>
      <c r="G1487" s="117"/>
      <c r="H1487" s="121"/>
      <c r="I1487" s="107"/>
      <c r="J1487" s="351"/>
      <c r="K1487" s="69"/>
      <c r="L1487" s="126"/>
      <c r="M1487" s="116"/>
      <c r="N1487" s="217"/>
    </row>
    <row r="1488" spans="2:14" x14ac:dyDescent="0.3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x14ac:dyDescent="0.3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x14ac:dyDescent="0.3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x14ac:dyDescent="0.3">
      <c r="B1493" s="65"/>
      <c r="C1493" s="78"/>
      <c r="D1493" s="109"/>
      <c r="E1493" s="68"/>
      <c r="F1493" s="77"/>
      <c r="G1493" s="311"/>
      <c r="H1493" s="312"/>
      <c r="I1493" s="107"/>
      <c r="J1493" s="351"/>
      <c r="K1493" s="69"/>
      <c r="L1493" s="126"/>
      <c r="M1493" s="116"/>
      <c r="N1493" s="212"/>
    </row>
    <row r="1494" spans="2:14" x14ac:dyDescent="0.3">
      <c r="B1494" s="65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126"/>
      <c r="M1494" s="116"/>
      <c r="N1494" s="212"/>
    </row>
    <row r="1495" spans="2:14" x14ac:dyDescent="0.3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x14ac:dyDescent="0.3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x14ac:dyDescent="0.3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x14ac:dyDescent="0.3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x14ac:dyDescent="0.3">
      <c r="B1499" s="6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16"/>
      <c r="M1499" s="116"/>
      <c r="N1499" s="212"/>
    </row>
    <row r="1500" spans="2:14" x14ac:dyDescent="0.3">
      <c r="B1500" s="65"/>
      <c r="C1500" s="78"/>
      <c r="D1500" s="109"/>
      <c r="E1500" s="68"/>
      <c r="F1500" s="77"/>
      <c r="G1500" s="311"/>
      <c r="H1500" s="312"/>
      <c r="I1500" s="107"/>
      <c r="J1500" s="351"/>
      <c r="K1500" s="69"/>
      <c r="L1500" s="285"/>
      <c r="M1500" s="116"/>
      <c r="N1500" s="212"/>
    </row>
    <row r="1501" spans="2:14" x14ac:dyDescent="0.3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x14ac:dyDescent="0.3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x14ac:dyDescent="0.3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x14ac:dyDescent="0.3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x14ac:dyDescent="0.3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7"/>
    </row>
    <row r="1508" spans="2:14" x14ac:dyDescent="0.3">
      <c r="B1508" s="91"/>
      <c r="C1508" s="66"/>
      <c r="D1508" s="109"/>
      <c r="E1508" s="68"/>
      <c r="F1508" s="77"/>
      <c r="G1508" s="104"/>
      <c r="H1508" s="123"/>
      <c r="I1508" s="107"/>
      <c r="J1508" s="351"/>
      <c r="K1508" s="69"/>
      <c r="L1508" s="126"/>
      <c r="M1508" s="116"/>
      <c r="N1508" s="217"/>
    </row>
    <row r="1509" spans="2:14" x14ac:dyDescent="0.3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80"/>
      <c r="L1509" s="126"/>
      <c r="M1509" s="117"/>
      <c r="N1509" s="217"/>
    </row>
    <row r="1510" spans="2:14" x14ac:dyDescent="0.3">
      <c r="B1510" s="37"/>
      <c r="C1510" s="66"/>
      <c r="D1510" s="109"/>
      <c r="E1510" s="68"/>
      <c r="F1510" s="77"/>
      <c r="G1510" s="104"/>
      <c r="H1510" s="123"/>
      <c r="I1510" s="107"/>
      <c r="J1510" s="351"/>
      <c r="K1510" s="80"/>
      <c r="L1510" s="126"/>
      <c r="M1510" s="116"/>
      <c r="N1510" s="217"/>
    </row>
    <row r="1511" spans="2:14" x14ac:dyDescent="0.3">
      <c r="B1511" s="37"/>
      <c r="C1511" s="66"/>
      <c r="D1511" s="109"/>
      <c r="E1511" s="68"/>
      <c r="F1511" s="68"/>
      <c r="G1511" s="104"/>
      <c r="H1511" s="121"/>
      <c r="I1511" s="107"/>
      <c r="J1511" s="351"/>
      <c r="K1511" s="69"/>
      <c r="L1511" s="126"/>
      <c r="M1511" s="116"/>
      <c r="N1511" s="217"/>
    </row>
    <row r="1512" spans="2:14" x14ac:dyDescent="0.3">
      <c r="B1512" s="37"/>
      <c r="C1512" s="316"/>
      <c r="D1512" s="65"/>
      <c r="E1512" s="68"/>
      <c r="F1512" s="117"/>
      <c r="G1512" s="117"/>
      <c r="H1512" s="121"/>
      <c r="I1512" s="107"/>
      <c r="J1512" s="351"/>
      <c r="K1512" s="69"/>
      <c r="L1512" s="126"/>
      <c r="M1512" s="116"/>
      <c r="N1512" s="217"/>
    </row>
    <row r="1513" spans="2:14" x14ac:dyDescent="0.3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x14ac:dyDescent="0.3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x14ac:dyDescent="0.3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x14ac:dyDescent="0.3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x14ac:dyDescent="0.3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x14ac:dyDescent="0.3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x14ac:dyDescent="0.3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x14ac:dyDescent="0.3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x14ac:dyDescent="0.3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x14ac:dyDescent="0.3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x14ac:dyDescent="0.3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x14ac:dyDescent="0.3">
      <c r="B1524" s="91"/>
      <c r="C1524" s="78"/>
      <c r="D1524" s="109"/>
      <c r="E1524" s="68"/>
      <c r="F1524" s="77"/>
      <c r="G1524" s="311"/>
      <c r="H1524" s="312"/>
      <c r="I1524" s="107"/>
      <c r="J1524" s="351"/>
      <c r="K1524" s="69"/>
      <c r="L1524" s="126"/>
      <c r="M1524" s="116"/>
      <c r="N1524" s="217"/>
    </row>
    <row r="1525" spans="2:14" x14ac:dyDescent="0.3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x14ac:dyDescent="0.3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x14ac:dyDescent="0.3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x14ac:dyDescent="0.3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x14ac:dyDescent="0.3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x14ac:dyDescent="0.3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x14ac:dyDescent="0.3">
      <c r="B1534" s="65"/>
      <c r="C1534" s="78"/>
      <c r="D1534" s="109"/>
      <c r="E1534" s="68"/>
      <c r="F1534" s="77"/>
      <c r="G1534" s="311"/>
      <c r="H1534" s="312"/>
      <c r="I1534" s="107"/>
      <c r="J1534" s="351"/>
      <c r="K1534" s="69"/>
      <c r="L1534" s="126"/>
      <c r="M1534" s="116"/>
      <c r="N1534" s="217"/>
    </row>
    <row r="1535" spans="2:14" x14ac:dyDescent="0.3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x14ac:dyDescent="0.3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66"/>
      <c r="D1539" s="109"/>
      <c r="E1539" s="68"/>
      <c r="F1539" s="68"/>
      <c r="G1539" s="104"/>
      <c r="H1539" s="121"/>
      <c r="I1539" s="107"/>
      <c r="J1539" s="351"/>
      <c r="K1539" s="69"/>
      <c r="L1539" s="126"/>
      <c r="M1539" s="116"/>
      <c r="N1539" s="217"/>
    </row>
    <row r="1540" spans="2:14" x14ac:dyDescent="0.3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x14ac:dyDescent="0.3">
      <c r="B1542" s="65"/>
      <c r="C1542" s="78"/>
      <c r="D1542" s="109"/>
      <c r="E1542" s="68"/>
      <c r="F1542" s="77"/>
      <c r="G1542" s="311"/>
      <c r="H1542" s="123"/>
      <c r="I1542" s="107"/>
      <c r="J1542" s="351"/>
      <c r="K1542" s="69"/>
      <c r="L1542" s="126"/>
      <c r="M1542" s="116"/>
      <c r="N1542" s="217"/>
    </row>
    <row r="1543" spans="2:14" x14ac:dyDescent="0.3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x14ac:dyDescent="0.3">
      <c r="B1544" s="91"/>
      <c r="C1544" s="66"/>
      <c r="D1544" s="109"/>
      <c r="E1544" s="68"/>
      <c r="F1544" s="77"/>
      <c r="G1544" s="104"/>
      <c r="H1544" s="121"/>
      <c r="I1544" s="129"/>
      <c r="J1544" s="353"/>
      <c r="K1544" s="80"/>
      <c r="L1544" s="126"/>
      <c r="M1544" s="116"/>
      <c r="N1544" s="217"/>
    </row>
    <row r="1545" spans="2:14" x14ac:dyDescent="0.3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3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317"/>
    </row>
    <row r="1547" spans="2:14" x14ac:dyDescent="0.3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317"/>
    </row>
    <row r="1548" spans="2:14" x14ac:dyDescent="0.3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x14ac:dyDescent="0.3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x14ac:dyDescent="0.3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x14ac:dyDescent="0.3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x14ac:dyDescent="0.3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x14ac:dyDescent="0.3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x14ac:dyDescent="0.3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x14ac:dyDescent="0.3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x14ac:dyDescent="0.3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79"/>
      <c r="L1557" s="126"/>
      <c r="M1557" s="115"/>
      <c r="N1557" s="217"/>
    </row>
    <row r="1558" spans="2:14" x14ac:dyDescent="0.3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x14ac:dyDescent="0.3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79"/>
      <c r="L1560" s="126"/>
      <c r="M1560" s="115"/>
      <c r="N1560" s="217"/>
    </row>
    <row r="1561" spans="2:14" x14ac:dyDescent="0.3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x14ac:dyDescent="0.3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x14ac:dyDescent="0.3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x14ac:dyDescent="0.3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x14ac:dyDescent="0.3">
      <c r="B1566" s="65"/>
      <c r="C1566" s="78"/>
      <c r="D1566" s="109"/>
      <c r="E1566" s="68"/>
      <c r="F1566" s="77"/>
      <c r="G1566" s="311"/>
      <c r="H1566" s="312"/>
      <c r="I1566" s="107"/>
      <c r="J1566" s="351"/>
      <c r="K1566" s="69"/>
      <c r="L1566" s="126"/>
      <c r="M1566" s="116"/>
      <c r="N1566" s="217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x14ac:dyDescent="0.3">
      <c r="B1568" s="65"/>
      <c r="C1568" s="66"/>
      <c r="D1568" s="109"/>
      <c r="E1568" s="68"/>
      <c r="F1568" s="77"/>
      <c r="G1568" s="104"/>
      <c r="H1568" s="123"/>
      <c r="I1568" s="107"/>
      <c r="J1568" s="351"/>
      <c r="K1568" s="69"/>
      <c r="L1568" s="126"/>
      <c r="M1568" s="116"/>
      <c r="N1568" s="217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x14ac:dyDescent="0.3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107"/>
      <c r="J1571" s="351"/>
      <c r="K1571" s="69"/>
      <c r="L1571" s="126"/>
      <c r="M1571" s="116"/>
      <c r="N1571" s="217"/>
    </row>
    <row r="1572" spans="2:14" x14ac:dyDescent="0.3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x14ac:dyDescent="0.3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x14ac:dyDescent="0.3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x14ac:dyDescent="0.3">
      <c r="B1578" s="91"/>
      <c r="C1578" s="66"/>
      <c r="D1578" s="109"/>
      <c r="E1578" s="68"/>
      <c r="F1578" s="68"/>
      <c r="G1578" s="104"/>
      <c r="H1578" s="121"/>
      <c r="I1578" s="107"/>
      <c r="J1578" s="351"/>
      <c r="K1578" s="69"/>
      <c r="L1578" s="120"/>
      <c r="M1578" s="116"/>
      <c r="N1578" s="218"/>
    </row>
    <row r="1579" spans="2:14" x14ac:dyDescent="0.3">
      <c r="B1579" s="91"/>
      <c r="C1579" s="66"/>
      <c r="D1579" s="109"/>
      <c r="E1579" s="68"/>
      <c r="F1579" s="77"/>
      <c r="G1579" s="104"/>
      <c r="H1579" s="123"/>
      <c r="I1579" s="107"/>
      <c r="J1579" s="351"/>
      <c r="K1579" s="69"/>
      <c r="L1579" s="120"/>
      <c r="M1579" s="116"/>
      <c r="N1579" s="218"/>
    </row>
    <row r="1580" spans="2:14" x14ac:dyDescent="0.3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x14ac:dyDescent="0.3">
      <c r="B1581" s="91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0"/>
      <c r="M1581" s="116"/>
      <c r="N1581" s="218"/>
    </row>
    <row r="1582" spans="2:14" x14ac:dyDescent="0.3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x14ac:dyDescent="0.3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118"/>
      <c r="M1583" s="116"/>
      <c r="N1583" s="318"/>
    </row>
    <row r="1584" spans="2:14" x14ac:dyDescent="0.3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18"/>
      <c r="M1584" s="116"/>
      <c r="N1584" s="318"/>
    </row>
    <row r="1585" spans="2:14" x14ac:dyDescent="0.3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x14ac:dyDescent="0.3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x14ac:dyDescent="0.3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x14ac:dyDescent="0.3">
      <c r="B1588" s="65"/>
      <c r="C1588" s="66"/>
      <c r="D1588" s="109"/>
      <c r="E1588" s="68"/>
      <c r="F1588" s="68"/>
      <c r="G1588" s="104"/>
      <c r="H1588" s="121"/>
      <c r="I1588" s="107"/>
      <c r="J1588" s="351"/>
      <c r="K1588" s="69"/>
      <c r="L1588" s="120"/>
      <c r="M1588" s="116"/>
      <c r="N1588" s="218"/>
    </row>
    <row r="1589" spans="2:14" x14ac:dyDescent="0.3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120"/>
      <c r="M1589" s="116"/>
      <c r="N1589" s="218"/>
    </row>
    <row r="1590" spans="2:14" x14ac:dyDescent="0.3">
      <c r="B1590" s="65"/>
      <c r="C1590" s="66"/>
      <c r="D1590" s="109"/>
      <c r="E1590" s="68"/>
      <c r="F1590" s="77"/>
      <c r="G1590" s="104"/>
      <c r="H1590" s="123"/>
      <c r="I1590" s="107"/>
      <c r="J1590" s="351"/>
      <c r="K1590" s="69"/>
      <c r="L1590" s="120"/>
      <c r="M1590" s="116"/>
      <c r="N1590" s="218"/>
    </row>
    <row r="1591" spans="2:14" x14ac:dyDescent="0.3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x14ac:dyDescent="0.3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x14ac:dyDescent="0.3">
      <c r="B1593" s="65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x14ac:dyDescent="0.3">
      <c r="B1594" s="65"/>
      <c r="C1594" s="66"/>
      <c r="D1594" s="109"/>
      <c r="E1594" s="68"/>
      <c r="F1594" s="77"/>
      <c r="G1594" s="311"/>
      <c r="H1594" s="123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x14ac:dyDescent="0.3">
      <c r="B1597" s="91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120"/>
      <c r="M1597" s="116"/>
      <c r="N1597" s="218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x14ac:dyDescent="0.3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x14ac:dyDescent="0.3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x14ac:dyDescent="0.3">
      <c r="B1601" s="91"/>
      <c r="C1601" s="66"/>
      <c r="D1601" s="109"/>
      <c r="E1601" s="68"/>
      <c r="F1601" s="77"/>
      <c r="G1601" s="104"/>
      <c r="H1601" s="123"/>
      <c r="I1601" s="107"/>
      <c r="J1601" s="351"/>
      <c r="K1601" s="69"/>
      <c r="L1601" s="120"/>
      <c r="M1601" s="116"/>
      <c r="N1601" s="218"/>
    </row>
    <row r="1602" spans="2:14" x14ac:dyDescent="0.3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x14ac:dyDescent="0.3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x14ac:dyDescent="0.3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318"/>
      <c r="M1604" s="116"/>
      <c r="N1604" s="318"/>
    </row>
    <row r="1605" spans="2:14" x14ac:dyDescent="0.3">
      <c r="B1605" s="91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18"/>
      <c r="M1605" s="116"/>
      <c r="N1605" s="318"/>
    </row>
    <row r="1606" spans="2:14" x14ac:dyDescent="0.3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x14ac:dyDescent="0.3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x14ac:dyDescent="0.3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318"/>
      <c r="M1608" s="116"/>
      <c r="N1608" s="318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x14ac:dyDescent="0.3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x14ac:dyDescent="0.3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8"/>
    </row>
    <row r="1612" spans="2:14" x14ac:dyDescent="0.3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9"/>
    </row>
    <row r="1613" spans="2:14" x14ac:dyDescent="0.3">
      <c r="B1613" s="91"/>
      <c r="C1613" s="66"/>
      <c r="D1613" s="109"/>
      <c r="E1613" s="68"/>
      <c r="F1613" s="68"/>
      <c r="G1613" s="104"/>
      <c r="H1613" s="123"/>
      <c r="I1613" s="107"/>
      <c r="J1613" s="351"/>
      <c r="K1613" s="69"/>
      <c r="L1613" s="120"/>
      <c r="M1613" s="116"/>
      <c r="N1613" s="319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319"/>
    </row>
    <row r="1615" spans="2:14" x14ac:dyDescent="0.3">
      <c r="B1615" s="91"/>
      <c r="C1615" s="78"/>
      <c r="D1615" s="109"/>
      <c r="E1615" s="68"/>
      <c r="F1615" s="77"/>
      <c r="G1615" s="311"/>
      <c r="H1615" s="123"/>
      <c r="I1615" s="107"/>
      <c r="J1615" s="351"/>
      <c r="K1615" s="69"/>
      <c r="L1615" s="120"/>
      <c r="M1615" s="116"/>
      <c r="N1615" s="319"/>
    </row>
    <row r="1616" spans="2:14" x14ac:dyDescent="0.3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x14ac:dyDescent="0.3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x14ac:dyDescent="0.3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x14ac:dyDescent="0.3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x14ac:dyDescent="0.3">
      <c r="B1620" s="91"/>
      <c r="C1620" s="66"/>
      <c r="D1620" s="109"/>
      <c r="E1620" s="68"/>
      <c r="F1620" s="77"/>
      <c r="G1620" s="311"/>
      <c r="H1620" s="123"/>
      <c r="I1620" s="107"/>
      <c r="J1620" s="351"/>
      <c r="K1620" s="69"/>
      <c r="L1620" s="120"/>
      <c r="M1620" s="116"/>
      <c r="N1620" s="219"/>
    </row>
    <row r="1621" spans="2:14" x14ac:dyDescent="0.3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x14ac:dyDescent="0.3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x14ac:dyDescent="0.3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x14ac:dyDescent="0.3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x14ac:dyDescent="0.3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x14ac:dyDescent="0.3">
      <c r="B1626" s="91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120"/>
      <c r="M1626" s="116"/>
      <c r="N1626" s="219"/>
    </row>
    <row r="1627" spans="2:14" x14ac:dyDescent="0.3">
      <c r="B1627" s="91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x14ac:dyDescent="0.3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x14ac:dyDescent="0.3">
      <c r="B1629" s="37"/>
      <c r="C1629" s="66"/>
      <c r="D1629" s="109"/>
      <c r="E1629" s="68"/>
      <c r="F1629" s="77"/>
      <c r="G1629" s="311"/>
      <c r="H1629" s="123"/>
      <c r="I1629" s="107"/>
      <c r="J1629" s="351"/>
      <c r="K1629" s="69"/>
      <c r="L1629" s="120"/>
      <c r="M1629" s="116"/>
      <c r="N1629" s="219"/>
    </row>
    <row r="1630" spans="2:14" x14ac:dyDescent="0.3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x14ac:dyDescent="0.3">
      <c r="B1631" s="37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120"/>
      <c r="M1631" s="116"/>
      <c r="N1631" s="219"/>
    </row>
    <row r="1632" spans="2:14" x14ac:dyDescent="0.3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x14ac:dyDescent="0.3">
      <c r="B1633" s="37"/>
      <c r="C1633" s="66"/>
      <c r="D1633" s="109"/>
      <c r="E1633" s="68"/>
      <c r="F1633" s="68"/>
      <c r="G1633" s="311"/>
      <c r="H1633" s="123"/>
      <c r="I1633" s="107"/>
      <c r="J1633" s="351"/>
      <c r="K1633" s="69"/>
      <c r="L1633" s="120"/>
      <c r="M1633" s="116"/>
      <c r="N1633" s="219"/>
    </row>
    <row r="1634" spans="2:14" x14ac:dyDescent="0.3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x14ac:dyDescent="0.3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318"/>
      <c r="M1635" s="116"/>
      <c r="N1635" s="319"/>
    </row>
    <row r="1636" spans="2:14" x14ac:dyDescent="0.3">
      <c r="B1636" s="37"/>
      <c r="C1636" s="78"/>
      <c r="D1636" s="109"/>
      <c r="E1636" s="68"/>
      <c r="F1636" s="77"/>
      <c r="G1636" s="311"/>
      <c r="H1636" s="123"/>
      <c r="I1636" s="107"/>
      <c r="J1636" s="351"/>
      <c r="K1636" s="69"/>
      <c r="L1636" s="118"/>
      <c r="M1636" s="116"/>
      <c r="N1636" s="319"/>
    </row>
    <row r="1637" spans="2:14" x14ac:dyDescent="0.3">
      <c r="B1637" s="37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x14ac:dyDescent="0.3">
      <c r="B1638" s="37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18"/>
      <c r="M1638" s="116"/>
      <c r="N1638" s="319"/>
    </row>
    <row r="1639" spans="2:14" x14ac:dyDescent="0.3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x14ac:dyDescent="0.3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x14ac:dyDescent="0.3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x14ac:dyDescent="0.3">
      <c r="B1643" s="65"/>
      <c r="C1643" s="78"/>
      <c r="D1643" s="109"/>
      <c r="E1643" s="68"/>
      <c r="F1643" s="77"/>
      <c r="G1643" s="311"/>
      <c r="H1643" s="312"/>
      <c r="I1643" s="313"/>
      <c r="J1643" s="352"/>
      <c r="K1643" s="69"/>
      <c r="L1643" s="318"/>
      <c r="M1643" s="116"/>
      <c r="N1643" s="319"/>
    </row>
    <row r="1644" spans="2:14" x14ac:dyDescent="0.3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37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x14ac:dyDescent="0.3">
      <c r="B1646" s="37"/>
      <c r="C1646" s="66"/>
      <c r="D1646" s="109"/>
      <c r="E1646" s="68"/>
      <c r="F1646" s="68"/>
      <c r="G1646" s="104"/>
      <c r="H1646" s="121"/>
      <c r="I1646" s="107"/>
      <c r="J1646" s="351"/>
      <c r="K1646" s="69"/>
      <c r="L1646" s="318"/>
      <c r="M1646" s="116"/>
      <c r="N1646" s="319"/>
    </row>
    <row r="1647" spans="2:14" x14ac:dyDescent="0.3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x14ac:dyDescent="0.3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x14ac:dyDescent="0.3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x14ac:dyDescent="0.3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x14ac:dyDescent="0.3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x14ac:dyDescent="0.3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x14ac:dyDescent="0.3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79"/>
      <c r="L1653" s="120"/>
      <c r="M1653" s="115"/>
      <c r="N1653" s="219"/>
    </row>
    <row r="1654" spans="2:14" x14ac:dyDescent="0.3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x14ac:dyDescent="0.3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x14ac:dyDescent="0.3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114"/>
      <c r="L1656" s="118"/>
      <c r="M1656" s="117"/>
      <c r="N1656" s="320"/>
    </row>
    <row r="1657" spans="2:14" x14ac:dyDescent="0.3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x14ac:dyDescent="0.3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x14ac:dyDescent="0.3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20"/>
    </row>
    <row r="1660" spans="2:14" x14ac:dyDescent="0.3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x14ac:dyDescent="0.3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x14ac:dyDescent="0.3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318"/>
      <c r="M1664" s="116"/>
      <c r="N1664" s="319"/>
    </row>
    <row r="1665" spans="2:14" x14ac:dyDescent="0.3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x14ac:dyDescent="0.3">
      <c r="B1667" s="91"/>
      <c r="C1667" s="66"/>
      <c r="D1667" s="109"/>
      <c r="E1667" s="68"/>
      <c r="F1667" s="68"/>
      <c r="G1667" s="104"/>
      <c r="H1667" s="121"/>
      <c r="I1667" s="107"/>
      <c r="J1667" s="351"/>
      <c r="K1667" s="69"/>
      <c r="L1667" s="118"/>
      <c r="M1667" s="116"/>
      <c r="N1667" s="320"/>
    </row>
    <row r="1668" spans="2:14" x14ac:dyDescent="0.3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x14ac:dyDescent="0.3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x14ac:dyDescent="0.3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116"/>
      <c r="N1672" s="319"/>
    </row>
    <row r="1673" spans="2:14" x14ac:dyDescent="0.3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82"/>
      <c r="N1673" s="319"/>
    </row>
    <row r="1674" spans="2:14" x14ac:dyDescent="0.3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x14ac:dyDescent="0.3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x14ac:dyDescent="0.3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x14ac:dyDescent="0.3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x14ac:dyDescent="0.3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x14ac:dyDescent="0.3">
      <c r="B1679" s="91"/>
      <c r="C1679" s="78"/>
      <c r="D1679" s="100"/>
      <c r="E1679" s="101"/>
      <c r="F1679" s="77"/>
      <c r="G1679" s="311"/>
      <c r="H1679" s="321"/>
      <c r="I1679" s="107"/>
      <c r="J1679" s="351"/>
      <c r="K1679" s="69"/>
      <c r="L1679" s="84"/>
      <c r="M1679" s="82"/>
      <c r="N1679" s="319"/>
    </row>
    <row r="1680" spans="2:14" x14ac:dyDescent="0.3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x14ac:dyDescent="0.3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x14ac:dyDescent="0.3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x14ac:dyDescent="0.3">
      <c r="B1683" s="65"/>
      <c r="C1683" s="78"/>
      <c r="D1683" s="100"/>
      <c r="E1683" s="101"/>
      <c r="F1683" s="77"/>
      <c r="G1683" s="311"/>
      <c r="H1683" s="321"/>
      <c r="I1683" s="313"/>
      <c r="J1683" s="352"/>
      <c r="K1683" s="69"/>
      <c r="L1683" s="84"/>
      <c r="M1683" s="82"/>
      <c r="N1683" s="319"/>
    </row>
    <row r="1684" spans="2:14" x14ac:dyDescent="0.3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x14ac:dyDescent="0.3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x14ac:dyDescent="0.3">
      <c r="B1686" s="65"/>
      <c r="C1686" s="78"/>
      <c r="D1686" s="100"/>
      <c r="E1686" s="101"/>
      <c r="F1686" s="77"/>
      <c r="G1686" s="311"/>
      <c r="H1686" s="321"/>
      <c r="I1686" s="313"/>
      <c r="J1686" s="352"/>
      <c r="K1686" s="69"/>
      <c r="L1686" s="84"/>
      <c r="M1686" s="82"/>
      <c r="N1686" s="319"/>
    </row>
    <row r="1687" spans="2:14" x14ac:dyDescent="0.3">
      <c r="B1687" s="65"/>
      <c r="C1687" s="66"/>
      <c r="D1687" s="109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x14ac:dyDescent="0.3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84"/>
      <c r="M1688" s="82"/>
      <c r="N1688" s="319"/>
    </row>
    <row r="1689" spans="2:14" x14ac:dyDescent="0.3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322"/>
      <c r="M1689" s="82"/>
      <c r="N1689" s="319"/>
    </row>
    <row r="1690" spans="2:14" x14ac:dyDescent="0.3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19"/>
    </row>
    <row r="1691" spans="2:14" x14ac:dyDescent="0.3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x14ac:dyDescent="0.3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x14ac:dyDescent="0.3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x14ac:dyDescent="0.3">
      <c r="B1694" s="65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23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x14ac:dyDescent="0.3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x14ac:dyDescent="0.3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x14ac:dyDescent="0.3">
      <c r="B1700" s="91"/>
      <c r="C1700" s="66"/>
      <c r="D1700" s="100"/>
      <c r="E1700" s="101"/>
      <c r="F1700" s="68"/>
      <c r="G1700" s="104"/>
      <c r="H1700" s="106"/>
      <c r="I1700" s="107"/>
      <c r="J1700" s="351"/>
      <c r="K1700" s="69"/>
      <c r="L1700" s="84"/>
      <c r="M1700" s="82"/>
      <c r="N1700" s="323"/>
    </row>
    <row r="1701" spans="2:14" x14ac:dyDescent="0.3">
      <c r="B1701" s="91"/>
      <c r="C1701" s="78"/>
      <c r="D1701" s="100"/>
      <c r="E1701" s="101"/>
      <c r="F1701" s="77"/>
      <c r="G1701" s="311"/>
      <c r="H1701" s="321"/>
      <c r="I1701" s="107"/>
      <c r="J1701" s="351"/>
      <c r="K1701" s="69"/>
      <c r="L1701" s="84"/>
      <c r="M1701" s="82"/>
      <c r="N1701" s="323"/>
    </row>
    <row r="1702" spans="2:14" x14ac:dyDescent="0.3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x14ac:dyDescent="0.3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70"/>
      <c r="L1703" s="84"/>
      <c r="M1703" s="82"/>
      <c r="N1703" s="323"/>
    </row>
    <row r="1704" spans="2:14" x14ac:dyDescent="0.3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23"/>
    </row>
    <row r="1705" spans="2:14" x14ac:dyDescent="0.3">
      <c r="B1705" s="91"/>
      <c r="C1705" s="78"/>
      <c r="D1705" s="100"/>
      <c r="E1705" s="101"/>
      <c r="F1705" s="68"/>
      <c r="G1705" s="311"/>
      <c r="H1705" s="321"/>
      <c r="I1705" s="107"/>
      <c r="J1705" s="351"/>
      <c r="K1705" s="69"/>
      <c r="L1705" s="84"/>
      <c r="M1705" s="82"/>
      <c r="N1705" s="323"/>
    </row>
    <row r="1706" spans="2:14" x14ac:dyDescent="0.3">
      <c r="B1706" s="91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23"/>
    </row>
    <row r="1707" spans="2:14" x14ac:dyDescent="0.3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x14ac:dyDescent="0.3">
      <c r="B1708" s="65"/>
      <c r="C1708" s="66"/>
      <c r="D1708" s="100"/>
      <c r="E1708" s="101"/>
      <c r="F1708" s="68"/>
      <c r="G1708" s="104"/>
      <c r="H1708" s="106"/>
      <c r="I1708" s="107"/>
      <c r="J1708" s="351"/>
      <c r="K1708" s="69"/>
      <c r="L1708" s="84"/>
      <c r="M1708" s="82"/>
      <c r="N1708" s="323"/>
    </row>
    <row r="1709" spans="2:14" x14ac:dyDescent="0.3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84"/>
      <c r="M1709" s="82"/>
      <c r="N1709" s="323"/>
    </row>
    <row r="1710" spans="2:14" x14ac:dyDescent="0.3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3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x14ac:dyDescent="0.3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x14ac:dyDescent="0.3">
      <c r="B1714" s="65"/>
      <c r="C1714" s="78"/>
      <c r="D1714" s="100"/>
      <c r="E1714" s="101"/>
      <c r="F1714" s="77"/>
      <c r="G1714" s="311"/>
      <c r="H1714" s="321"/>
      <c r="I1714" s="313"/>
      <c r="J1714" s="352"/>
      <c r="K1714" s="69"/>
      <c r="L1714" s="322"/>
      <c r="M1714" s="82"/>
      <c r="N1714" s="323"/>
    </row>
    <row r="1715" spans="2:14" x14ac:dyDescent="0.3">
      <c r="B1715" s="65"/>
      <c r="C1715" s="78"/>
      <c r="D1715" s="100"/>
      <c r="E1715" s="102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x14ac:dyDescent="0.3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x14ac:dyDescent="0.3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x14ac:dyDescent="0.3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3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x14ac:dyDescent="0.3">
      <c r="B1720" s="65"/>
      <c r="C1720" s="66"/>
      <c r="D1720" s="90"/>
      <c r="E1720" s="67"/>
      <c r="F1720" s="77"/>
      <c r="G1720" s="77"/>
      <c r="H1720" s="106"/>
      <c r="I1720" s="94"/>
      <c r="J1720" s="356"/>
      <c r="K1720" s="80"/>
      <c r="L1720" s="84"/>
      <c r="M1720" s="82"/>
      <c r="N1720" s="327"/>
    </row>
    <row r="1721" spans="2:14" x14ac:dyDescent="0.3">
      <c r="B1721" s="65"/>
      <c r="C1721" s="78"/>
      <c r="D1721" s="90"/>
      <c r="E1721" s="67"/>
      <c r="F1721" s="77"/>
      <c r="G1721" s="328"/>
      <c r="H1721" s="321"/>
      <c r="I1721" s="326"/>
      <c r="J1721" s="355"/>
      <c r="K1721" s="69"/>
      <c r="L1721" s="322"/>
      <c r="M1721" s="82"/>
      <c r="N1721" s="327"/>
    </row>
    <row r="1722" spans="2:14" x14ac:dyDescent="0.3">
      <c r="B1722" s="65"/>
      <c r="C1722" s="66"/>
      <c r="D1722" s="90"/>
      <c r="E1722" s="67"/>
      <c r="F1722" s="77"/>
      <c r="G1722" s="77"/>
      <c r="H1722" s="106"/>
      <c r="I1722" s="95"/>
      <c r="J1722" s="357"/>
      <c r="K1722" s="80"/>
      <c r="L1722" s="84"/>
      <c r="M1722" s="82"/>
      <c r="N1722" s="327"/>
    </row>
    <row r="1723" spans="2:14" x14ac:dyDescent="0.3">
      <c r="B1723" s="91"/>
      <c r="C1723" s="66"/>
      <c r="D1723" s="90"/>
      <c r="E1723" s="67"/>
      <c r="F1723" s="77"/>
      <c r="G1723" s="77"/>
      <c r="H1723" s="106"/>
      <c r="I1723" s="95"/>
      <c r="J1723" s="357"/>
      <c r="K1723" s="69"/>
      <c r="L1723" s="84"/>
      <c r="M1723" s="82"/>
      <c r="N1723" s="327"/>
    </row>
    <row r="1724" spans="2:14" x14ac:dyDescent="0.3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x14ac:dyDescent="0.3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x14ac:dyDescent="0.3">
      <c r="B1726" s="91"/>
      <c r="C1726" s="66"/>
      <c r="D1726" s="90"/>
      <c r="E1726" s="67"/>
      <c r="F1726" s="77"/>
      <c r="G1726" s="77"/>
      <c r="H1726" s="106"/>
      <c r="I1726" s="95"/>
      <c r="J1726" s="357"/>
      <c r="K1726" s="80"/>
      <c r="L1726" s="84"/>
      <c r="M1726" s="82"/>
      <c r="N1726" s="327"/>
    </row>
    <row r="1727" spans="2:14" x14ac:dyDescent="0.3">
      <c r="B1727" s="91"/>
      <c r="C1727" s="66"/>
      <c r="D1727" s="90"/>
      <c r="E1727" s="67"/>
      <c r="F1727" s="77"/>
      <c r="G1727" s="77"/>
      <c r="H1727" s="106"/>
      <c r="I1727" s="95"/>
      <c r="J1727" s="357"/>
      <c r="K1727" s="69"/>
      <c r="L1727" s="84"/>
      <c r="M1727" s="82"/>
      <c r="N1727" s="327"/>
    </row>
    <row r="1728" spans="2:14" x14ac:dyDescent="0.3">
      <c r="B1728" s="91"/>
      <c r="C1728" s="78"/>
      <c r="D1728" s="90"/>
      <c r="E1728" s="67"/>
      <c r="F1728" s="77"/>
      <c r="G1728" s="328"/>
      <c r="H1728" s="321"/>
      <c r="I1728" s="326"/>
      <c r="J1728" s="355"/>
      <c r="K1728" s="69"/>
      <c r="L1728" s="84"/>
      <c r="M1728" s="82"/>
      <c r="N1728" s="327"/>
    </row>
    <row r="1729" spans="2:14" x14ac:dyDescent="0.3">
      <c r="B1729" s="91"/>
      <c r="C1729" s="66"/>
      <c r="D1729" s="90"/>
      <c r="E1729" s="67"/>
      <c r="F1729" s="77"/>
      <c r="G1729" s="77"/>
      <c r="H1729" s="106"/>
      <c r="I1729" s="94"/>
      <c r="J1729" s="356"/>
      <c r="K1729" s="69"/>
      <c r="L1729" s="84"/>
      <c r="M1729" s="82"/>
      <c r="N1729" s="327"/>
    </row>
    <row r="1730" spans="2:14" x14ac:dyDescent="0.3">
      <c r="B1730" s="91"/>
      <c r="C1730" s="66"/>
      <c r="D1730" s="90"/>
      <c r="E1730" s="67"/>
      <c r="F1730" s="77"/>
      <c r="G1730" s="77"/>
      <c r="H1730" s="106"/>
      <c r="I1730" s="95"/>
      <c r="J1730" s="357"/>
      <c r="K1730" s="69"/>
      <c r="L1730" s="84"/>
      <c r="M1730" s="82"/>
      <c r="N1730" s="327"/>
    </row>
    <row r="1731" spans="2:14" x14ac:dyDescent="0.3">
      <c r="B1731" s="91"/>
      <c r="C1731" s="66"/>
      <c r="D1731" s="90"/>
      <c r="E1731" s="67"/>
      <c r="F1731" s="77"/>
      <c r="G1731" s="77"/>
      <c r="H1731" s="106"/>
      <c r="I1731" s="95"/>
      <c r="J1731" s="357"/>
      <c r="K1731" s="80"/>
      <c r="L1731" s="84"/>
      <c r="M1731" s="82"/>
      <c r="N1731" s="327"/>
    </row>
    <row r="1732" spans="2:14" x14ac:dyDescent="0.3">
      <c r="B1732" s="91"/>
      <c r="C1732" s="66"/>
      <c r="D1732" s="90"/>
      <c r="E1732" s="67"/>
      <c r="F1732" s="77"/>
      <c r="G1732" s="77"/>
      <c r="H1732" s="106"/>
      <c r="I1732" s="94"/>
      <c r="J1732" s="356"/>
      <c r="K1732" s="69"/>
      <c r="L1732" s="84"/>
      <c r="M1732" s="82"/>
      <c r="N1732" s="323"/>
    </row>
    <row r="1733" spans="2:14" x14ac:dyDescent="0.3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322"/>
      <c r="M1733" s="82"/>
      <c r="N1733" s="323"/>
    </row>
    <row r="1734" spans="2:14" x14ac:dyDescent="0.3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84"/>
      <c r="M1734" s="82"/>
      <c r="N1734" s="323"/>
    </row>
    <row r="1735" spans="2:14" x14ac:dyDescent="0.3">
      <c r="B1735" s="65"/>
      <c r="C1735" s="78"/>
      <c r="D1735" s="90"/>
      <c r="E1735" s="67"/>
      <c r="F1735" s="77"/>
      <c r="G1735" s="328"/>
      <c r="H1735" s="321"/>
      <c r="I1735" s="326"/>
      <c r="J1735" s="355"/>
      <c r="K1735" s="69"/>
      <c r="L1735" s="322"/>
      <c r="M1735" s="82"/>
      <c r="N1735" s="323"/>
    </row>
    <row r="1736" spans="2:14" x14ac:dyDescent="0.3">
      <c r="B1736" s="37"/>
      <c r="C1736" s="52"/>
      <c r="D1736" s="24"/>
      <c r="E1736" s="25"/>
      <c r="F1736" s="26"/>
      <c r="G1736" s="26"/>
      <c r="H1736" s="329"/>
      <c r="I1736" s="41"/>
      <c r="J1736" s="358"/>
      <c r="K1736" s="27"/>
      <c r="L1736" s="330"/>
      <c r="M1736" s="34"/>
      <c r="N1736" s="331"/>
    </row>
    <row r="1737" spans="2:14" x14ac:dyDescent="0.3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"/>
      <c r="M1737" s="34"/>
      <c r="N1737" s="331"/>
    </row>
    <row r="1738" spans="2:14" x14ac:dyDescent="0.3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x14ac:dyDescent="0.3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x14ac:dyDescent="0.3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x14ac:dyDescent="0.3">
      <c r="B1741" s="30"/>
      <c r="C1741" s="52"/>
      <c r="D1741" s="24"/>
      <c r="E1741" s="25"/>
      <c r="F1741" s="26"/>
      <c r="G1741" s="26"/>
      <c r="H1741" s="329"/>
      <c r="I1741" s="41"/>
      <c r="J1741" s="358"/>
      <c r="K1741" s="27"/>
      <c r="L1741" s="330"/>
      <c r="M1741" s="34"/>
      <c r="N1741" s="331"/>
    </row>
    <row r="1742" spans="2:14" x14ac:dyDescent="0.3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x14ac:dyDescent="0.3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x14ac:dyDescent="0.3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x14ac:dyDescent="0.3">
      <c r="B1745" s="30"/>
      <c r="C1745" s="2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x14ac:dyDescent="0.3">
      <c r="B1746" s="30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x14ac:dyDescent="0.3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x14ac:dyDescent="0.3">
      <c r="B1748" s="37"/>
      <c r="C1748" s="52"/>
      <c r="D1748" s="24"/>
      <c r="E1748" s="25"/>
      <c r="F1748" s="60"/>
      <c r="G1748" s="26"/>
      <c r="H1748" s="329"/>
      <c r="I1748" s="41"/>
      <c r="J1748" s="358"/>
      <c r="K1748" s="27"/>
      <c r="L1748" s="33"/>
      <c r="M1748" s="34"/>
      <c r="N1748" s="35"/>
    </row>
    <row r="1749" spans="2:14" x14ac:dyDescent="0.3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x14ac:dyDescent="0.3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x14ac:dyDescent="0.3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x14ac:dyDescent="0.3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x14ac:dyDescent="0.3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x14ac:dyDescent="0.3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5"/>
    </row>
    <row r="1756" spans="2:14" x14ac:dyDescent="0.3">
      <c r="B1756" s="37"/>
      <c r="C1756" s="23"/>
      <c r="D1756" s="24"/>
      <c r="E1756" s="25"/>
      <c r="F1756" s="60"/>
      <c r="G1756" s="26"/>
      <c r="H1756" s="329"/>
      <c r="I1756" s="42"/>
      <c r="J1756" s="360"/>
      <c r="K1756" s="27"/>
      <c r="L1756" s="33"/>
      <c r="M1756" s="34"/>
      <c r="N1756" s="35"/>
    </row>
    <row r="1757" spans="2:14" x14ac:dyDescent="0.3">
      <c r="B1757" s="37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"/>
      <c r="M1757" s="34"/>
      <c r="N1757" s="35"/>
    </row>
    <row r="1758" spans="2:14" x14ac:dyDescent="0.3">
      <c r="B1758" s="37"/>
      <c r="C1758" s="52"/>
      <c r="D1758" s="24"/>
      <c r="E1758" s="25"/>
      <c r="F1758" s="60"/>
      <c r="G1758" s="26"/>
      <c r="H1758" s="329"/>
      <c r="I1758" s="41"/>
      <c r="J1758" s="358"/>
      <c r="K1758" s="27"/>
      <c r="L1758" s="33"/>
      <c r="M1758" s="34"/>
      <c r="N1758" s="35"/>
    </row>
    <row r="1759" spans="2:14" x14ac:dyDescent="0.3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x14ac:dyDescent="0.3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"/>
      <c r="M1760" s="34"/>
      <c r="N1760" s="35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x14ac:dyDescent="0.3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x14ac:dyDescent="0.3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x14ac:dyDescent="0.3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x14ac:dyDescent="0.3">
      <c r="B1770" s="30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3">
      <c r="B1771" s="30"/>
      <c r="C1771" s="23"/>
      <c r="D1771" s="24"/>
      <c r="E1771" s="25"/>
      <c r="F1771" s="26"/>
      <c r="G1771" s="26"/>
      <c r="H1771" s="329"/>
      <c r="I1771" s="41"/>
      <c r="J1771" s="358"/>
      <c r="K1771" s="36"/>
      <c r="L1771" s="33"/>
      <c r="M1771" s="34"/>
      <c r="N1771" s="35"/>
    </row>
    <row r="1772" spans="2:14" x14ac:dyDescent="0.3">
      <c r="B1772" s="30"/>
      <c r="C1772" s="23"/>
      <c r="D1772" s="24"/>
      <c r="E1772" s="25"/>
      <c r="F1772" s="26"/>
      <c r="G1772" s="325"/>
      <c r="H1772" s="332"/>
      <c r="I1772" s="333"/>
      <c r="J1772" s="359"/>
      <c r="K1772" s="27"/>
      <c r="L1772" s="33"/>
      <c r="M1772" s="34"/>
      <c r="N1772" s="35"/>
    </row>
    <row r="1773" spans="2:14" x14ac:dyDescent="0.3">
      <c r="B1773" s="30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26"/>
      <c r="G1774" s="26"/>
      <c r="H1774" s="329"/>
      <c r="I1774" s="42"/>
      <c r="J1774" s="360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3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x14ac:dyDescent="0.3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x14ac:dyDescent="0.3">
      <c r="B1779" s="37"/>
      <c r="C1779" s="52"/>
      <c r="D1779" s="24"/>
      <c r="E1779" s="25"/>
      <c r="F1779" s="26"/>
      <c r="G1779" s="26"/>
      <c r="H1779" s="329"/>
      <c r="I1779" s="42"/>
      <c r="J1779" s="360"/>
      <c r="K1779" s="27"/>
      <c r="L1779" s="33"/>
      <c r="M1779" s="34"/>
      <c r="N1779" s="35"/>
    </row>
    <row r="1780" spans="2:14" x14ac:dyDescent="0.3">
      <c r="B1780" s="37"/>
      <c r="C1780" s="23"/>
      <c r="D1780" s="24"/>
      <c r="E1780" s="25"/>
      <c r="F1780" s="26"/>
      <c r="G1780" s="325"/>
      <c r="H1780" s="332"/>
      <c r="I1780" s="334"/>
      <c r="J1780" s="361"/>
      <c r="K1780" s="27"/>
      <c r="L1780" s="33"/>
      <c r="M1780" s="34"/>
      <c r="N1780" s="35"/>
    </row>
    <row r="1781" spans="2:14" x14ac:dyDescent="0.3">
      <c r="B1781" s="37"/>
      <c r="C1781" s="52"/>
      <c r="D1781" s="24"/>
      <c r="E1781" s="25"/>
      <c r="F1781" s="26"/>
      <c r="G1781" s="26"/>
      <c r="H1781" s="329"/>
      <c r="I1781" s="42"/>
      <c r="J1781" s="360"/>
      <c r="K1781" s="36"/>
      <c r="L1781" s="33"/>
      <c r="M1781" s="34"/>
      <c r="N1781" s="35"/>
    </row>
    <row r="1782" spans="2:14" x14ac:dyDescent="0.3">
      <c r="B1782" s="37"/>
      <c r="C1782" s="53"/>
      <c r="D1782" s="24"/>
      <c r="E1782" s="25"/>
      <c r="F1782" s="26"/>
      <c r="G1782" s="26"/>
      <c r="H1782" s="329"/>
      <c r="I1782" s="334"/>
      <c r="J1782" s="361"/>
      <c r="K1782" s="36"/>
      <c r="L1782" s="330"/>
      <c r="M1782" s="34"/>
      <c r="N1782" s="35"/>
    </row>
    <row r="1783" spans="2:14" x14ac:dyDescent="0.3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0"/>
      <c r="M1783" s="34"/>
      <c r="N1783" s="35"/>
    </row>
    <row r="1784" spans="2:14" x14ac:dyDescent="0.3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26"/>
      <c r="H1785" s="329"/>
      <c r="I1785" s="333"/>
      <c r="J1785" s="359"/>
      <c r="K1785" s="36"/>
      <c r="L1785" s="33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x14ac:dyDescent="0.3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3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x14ac:dyDescent="0.3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x14ac:dyDescent="0.3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x14ac:dyDescent="0.3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3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x14ac:dyDescent="0.3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x14ac:dyDescent="0.3">
      <c r="B1796" s="30"/>
      <c r="C1796" s="23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x14ac:dyDescent="0.3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x14ac:dyDescent="0.3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x14ac:dyDescent="0.3">
      <c r="B1799" s="30"/>
      <c r="C1799" s="23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x14ac:dyDescent="0.3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x14ac:dyDescent="0.3">
      <c r="B1801" s="30"/>
      <c r="C1801" s="53"/>
      <c r="D1801" s="24"/>
      <c r="E1801" s="25"/>
      <c r="F1801" s="26"/>
      <c r="G1801" s="325"/>
      <c r="H1801" s="332"/>
      <c r="I1801" s="333"/>
      <c r="J1801" s="359"/>
      <c r="K1801" s="36"/>
      <c r="L1801" s="33"/>
      <c r="M1801" s="34"/>
      <c r="N1801" s="35"/>
    </row>
    <row r="1802" spans="2:14" x14ac:dyDescent="0.3">
      <c r="B1802" s="30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3">
      <c r="B1803" s="30"/>
      <c r="C1803" s="52"/>
      <c r="D1803" s="24"/>
      <c r="E1803" s="25"/>
      <c r="F1803" s="26"/>
      <c r="G1803" s="26"/>
      <c r="H1803" s="329"/>
      <c r="I1803" s="41"/>
      <c r="J1803" s="358"/>
      <c r="K1803" s="36"/>
      <c r="L1803" s="33"/>
      <c r="M1803" s="34"/>
      <c r="N1803" s="35"/>
    </row>
    <row r="1804" spans="2:14" x14ac:dyDescent="0.3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x14ac:dyDescent="0.3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x14ac:dyDescent="0.3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x14ac:dyDescent="0.3">
      <c r="B1807" s="37"/>
      <c r="C1807" s="23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3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"/>
      <c r="M1808" s="34"/>
      <c r="N1808" s="35"/>
    </row>
    <row r="1809" spans="2:14" x14ac:dyDescent="0.3">
      <c r="B1809" s="37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x14ac:dyDescent="0.3">
      <c r="B1810" s="37"/>
      <c r="C1810" s="52"/>
      <c r="D1810" s="24"/>
      <c r="E1810" s="25"/>
      <c r="F1810" s="26"/>
      <c r="G1810" s="26"/>
      <c r="H1810" s="329"/>
      <c r="I1810" s="42"/>
      <c r="J1810" s="360"/>
      <c r="K1810" s="36"/>
      <c r="L1810" s="330"/>
      <c r="M1810" s="34"/>
      <c r="N1810" s="35"/>
    </row>
    <row r="1811" spans="2:14" x14ac:dyDescent="0.3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3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x14ac:dyDescent="0.3">
      <c r="B1813" s="37"/>
      <c r="C1813" s="23"/>
      <c r="D1813" s="24"/>
      <c r="E1813" s="25"/>
      <c r="F1813" s="26"/>
      <c r="G1813" s="325"/>
      <c r="H1813" s="332"/>
      <c r="I1813" s="334"/>
      <c r="J1813" s="361"/>
      <c r="K1813" s="27"/>
      <c r="L1813" s="33"/>
      <c r="M1813" s="34"/>
      <c r="N1813" s="35"/>
    </row>
    <row r="1814" spans="2:14" x14ac:dyDescent="0.3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x14ac:dyDescent="0.3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x14ac:dyDescent="0.3">
      <c r="B1816" s="37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3">
      <c r="B1817" s="37"/>
      <c r="C1817" s="23"/>
      <c r="D1817" s="24"/>
      <c r="E1817" s="25"/>
      <c r="F1817" s="26"/>
      <c r="G1817" s="325"/>
      <c r="H1817" s="332"/>
      <c r="I1817" s="334"/>
      <c r="J1817" s="361"/>
      <c r="K1817" s="27"/>
      <c r="L1817" s="33"/>
      <c r="M1817" s="34"/>
      <c r="N1817" s="35"/>
    </row>
    <row r="1818" spans="2:14" x14ac:dyDescent="0.3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x14ac:dyDescent="0.3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x14ac:dyDescent="0.3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x14ac:dyDescent="0.3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x14ac:dyDescent="0.3">
      <c r="B1822" s="37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x14ac:dyDescent="0.3">
      <c r="B1823" s="30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3">
      <c r="B1824" s="30"/>
      <c r="C1824" s="23"/>
      <c r="D1824" s="24"/>
      <c r="E1824" s="25"/>
      <c r="F1824" s="26"/>
      <c r="G1824" s="26"/>
      <c r="H1824" s="329"/>
      <c r="I1824" s="41"/>
      <c r="J1824" s="358"/>
      <c r="K1824" s="36"/>
      <c r="L1824" s="33"/>
      <c r="M1824" s="34"/>
      <c r="N1824" s="35"/>
    </row>
    <row r="1825" spans="2:14" x14ac:dyDescent="0.3">
      <c r="B1825" s="30"/>
      <c r="C1825" s="23"/>
      <c r="D1825" s="24"/>
      <c r="E1825" s="25"/>
      <c r="F1825" s="26"/>
      <c r="G1825" s="325"/>
      <c r="H1825" s="332"/>
      <c r="I1825" s="333"/>
      <c r="J1825" s="359"/>
      <c r="K1825" s="27"/>
      <c r="L1825" s="33"/>
      <c r="M1825" s="34"/>
      <c r="N1825" s="35"/>
    </row>
    <row r="1826" spans="2:14" x14ac:dyDescent="0.3">
      <c r="B1826" s="30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3">
      <c r="B1827" s="37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3">
      <c r="B1828" s="37"/>
      <c r="C1828" s="23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x14ac:dyDescent="0.3">
      <c r="B1829" s="30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3">
      <c r="B1830" s="30"/>
      <c r="C1830" s="23"/>
      <c r="D1830" s="24"/>
      <c r="E1830" s="25"/>
      <c r="F1830" s="26"/>
      <c r="G1830" s="26"/>
      <c r="H1830" s="329"/>
      <c r="I1830" s="42"/>
      <c r="J1830" s="360"/>
      <c r="K1830" s="27"/>
      <c r="L1830" s="33"/>
      <c r="M1830" s="34"/>
      <c r="N1830" s="35"/>
    </row>
    <row r="1831" spans="2:14" x14ac:dyDescent="0.3">
      <c r="B1831" s="30"/>
      <c r="C1831" s="23"/>
      <c r="D1831" s="24"/>
      <c r="E1831" s="25"/>
      <c r="F1831" s="26"/>
      <c r="G1831" s="325"/>
      <c r="H1831" s="332"/>
      <c r="I1831" s="333"/>
      <c r="J1831" s="359"/>
      <c r="K1831" s="27"/>
      <c r="L1831" s="33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3">
      <c r="B1833" s="37"/>
      <c r="C1833" s="23"/>
      <c r="D1833" s="24"/>
      <c r="E1833" s="25"/>
      <c r="F1833" s="26"/>
      <c r="G1833" s="26"/>
      <c r="H1833" s="329"/>
      <c r="I1833" s="334"/>
      <c r="J1833" s="361"/>
      <c r="K1833" s="27"/>
      <c r="L1833" s="33"/>
      <c r="M1833" s="34"/>
      <c r="N1833" s="35"/>
    </row>
    <row r="1834" spans="2:14" x14ac:dyDescent="0.3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x14ac:dyDescent="0.3">
      <c r="B1836" s="37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x14ac:dyDescent="0.3">
      <c r="B1837" s="30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x14ac:dyDescent="0.3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0"/>
      <c r="M1842" s="34"/>
      <c r="N1842" s="35"/>
    </row>
    <row r="1843" spans="2:14" x14ac:dyDescent="0.3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3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3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x14ac:dyDescent="0.3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3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3">
      <c r="B1849" s="37"/>
      <c r="C1849" s="23"/>
      <c r="D1849" s="24"/>
      <c r="E1849" s="25"/>
      <c r="F1849" s="26"/>
      <c r="G1849" s="26"/>
      <c r="H1849" s="329"/>
      <c r="I1849" s="41"/>
      <c r="J1849" s="358"/>
      <c r="K1849" s="36"/>
      <c r="L1849" s="33"/>
      <c r="M1849" s="34"/>
      <c r="N1849" s="35"/>
    </row>
  </sheetData>
  <sortState xmlns:xlrd2="http://schemas.microsoft.com/office/spreadsheetml/2017/richdata2" ref="B7:I1048557">
    <sortCondition ref="C7:C28"/>
  </sortState>
  <mergeCells count="3">
    <mergeCell ref="D1:H1"/>
    <mergeCell ref="D2:K2"/>
    <mergeCell ref="B3:F4"/>
  </mergeCells>
  <phoneticPr fontId="19" type="noConversion"/>
  <conditionalFormatting sqref="H1822:H184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2:H184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2:H184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2:E184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2:E184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2:E184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2:E184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2:E184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2:E184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2:E184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2:E184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2:H184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2:H184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2:H184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2:E184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2:H184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2:E184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2:H1849">
    <cfRule type="iconSet" priority="282941">
      <iconSet>
        <cfvo type="percent" val="0"/>
        <cfvo type="percent" val="23"/>
        <cfvo type="percent" val="70"/>
      </iconSet>
    </cfRule>
  </conditionalFormatting>
  <conditionalFormatting sqref="H1822:H184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2:H184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2:H184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2:H184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2:E184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2:H184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2:H184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2:H184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2:H184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2:H184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2:E184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2:H184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2:H184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2:E184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2:E184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2:H184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2:H184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2:H184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2:E184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2:H184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2:H184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2:H184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2:H184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2:H184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2:H184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2:E184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2:H184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2:H184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2:H184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2:H184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2:H184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2:H184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2:E184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2:H184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2:E184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2:H184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2:E184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2:H184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09">
      <iconSet>
        <cfvo type="percent" val="0"/>
        <cfvo type="num" val="22"/>
        <cfvo type="num" val="26"/>
      </iconSet>
    </cfRule>
  </conditionalFormatting>
  <conditionalFormatting sqref="H1822:H184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15">
      <iconSet>
        <cfvo type="percent" val="0"/>
        <cfvo type="num" val="21"/>
        <cfvo type="num" val="25"/>
      </iconSet>
    </cfRule>
  </conditionalFormatting>
  <conditionalFormatting sqref="H1822:H1849">
    <cfRule type="iconSet" priority="283417">
      <iconSet>
        <cfvo type="percent" val="0"/>
        <cfvo type="num" val="19"/>
        <cfvo type="num" val="23"/>
      </iconSet>
    </cfRule>
  </conditionalFormatting>
  <conditionalFormatting sqref="H1822:H1849">
    <cfRule type="iconSet" priority="283419">
      <iconSet>
        <cfvo type="percent" val="0"/>
        <cfvo type="num" val="23"/>
        <cfvo type="num" val="27"/>
      </iconSet>
    </cfRule>
  </conditionalFormatting>
  <conditionalFormatting sqref="E1736:E173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1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30:E1159 E7:E28">
    <cfRule type="cellIs" dxfId="19" priority="170" operator="greaterThan">
      <formula>7</formula>
    </cfRule>
  </conditionalFormatting>
  <conditionalFormatting sqref="E1469:E4747">
    <cfRule type="cellIs" dxfId="18" priority="137" operator="greaterThan">
      <formula>7</formula>
    </cfRule>
  </conditionalFormatting>
  <conditionalFormatting sqref="I30:I1231 G30:G32 I7:I28">
    <cfRule type="cellIs" dxfId="17" priority="41" operator="lessThan">
      <formula>E7</formula>
    </cfRule>
  </conditionalFormatting>
  <conditionalFormatting sqref="I1822:I184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2:I184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2:I184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2:I184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2:I184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2:I184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2:I184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2:I184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2:I184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2:I184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2:I184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2:I184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2:I184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2:I184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8:H1455 H1242:H1416 H30:H1231 H7:H28">
    <cfRule type="cellIs" dxfId="16" priority="297758" operator="greaterThan">
      <formula>$H$29</formula>
    </cfRule>
  </conditionalFormatting>
  <conditionalFormatting sqref="L7:L1231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E1736:E1738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E1716:E1735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$H$29</xm:f>
              </x14:cfvo>
              <x14:cfIcon iconSet="NoIcons" iconId="0"/>
              <x14:cfIcon iconSet="NoIcons" iconId="0"/>
              <x14:cfIcon iconSet="3Stars" iconId="2"/>
            </x14:iconSet>
          </x14:cfRule>
          <xm:sqref>H1242:H1252 H30:H1231 H7:H28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5">
        <v>43</v>
      </c>
      <c r="C46" t="s">
        <v>145</v>
      </c>
      <c r="F46" t="s">
        <v>80</v>
      </c>
    </row>
    <row r="47" spans="2:16" ht="16.5" x14ac:dyDescent="0.3">
      <c r="B47" s="365">
        <v>44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F11" sqref="F11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 s="375">
        <v>4246</v>
      </c>
      <c r="E7" s="375">
        <v>91828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 s="375">
        <v>4275</v>
      </c>
      <c r="E8" s="375">
        <v>92105</v>
      </c>
    </row>
    <row r="9" spans="3:42" x14ac:dyDescent="0.3">
      <c r="C9" s="153" t="s">
        <v>148</v>
      </c>
      <c r="D9" s="375">
        <v>799</v>
      </c>
      <c r="E9" s="375">
        <v>16062</v>
      </c>
      <c r="I9" t="s">
        <v>138</v>
      </c>
    </row>
    <row r="10" spans="3:42" x14ac:dyDescent="0.3">
      <c r="C10" s="153" t="s">
        <v>117</v>
      </c>
      <c r="D10" s="375">
        <v>9320</v>
      </c>
      <c r="E10" s="375">
        <v>199995</v>
      </c>
      <c r="F10">
        <f>E10/D10</f>
        <v>21.458690987124463</v>
      </c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606.57142857142856</v>
      </c>
      <c r="E12">
        <f>(GETPIVOTDATA("Suma de Usuarios",$C$6,"Ruta","87TR")*500)/3000</f>
        <v>15304.666666666666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610.71428571428567</v>
      </c>
      <c r="E13">
        <f>(GETPIVOTDATA("Suma de Usuarios",$C$6,"Ruta","88VILL")*500)/3000</f>
        <v>15350.833333333334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2026-02-02T05:31:40Z</cp:lastPrinted>
  <dcterms:created xsi:type="dcterms:W3CDTF">2021-05-05T13:25:05Z</dcterms:created>
  <dcterms:modified xsi:type="dcterms:W3CDTF">2026-02-02T05:42:12Z</dcterms:modified>
</cp:coreProperties>
</file>