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556B7BCC-4084-4759-92FC-6F18EC16669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Import!$B$6:$N$1865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Import!$B$1:$R$45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5" i="1" l="1"/>
  <c r="T44" i="1"/>
  <c r="Q44" i="1"/>
  <c r="O44" i="1"/>
  <c r="N44" i="1"/>
  <c r="M44" i="1"/>
  <c r="H44" i="1"/>
  <c r="T43" i="1"/>
  <c r="Q43" i="1"/>
  <c r="O43" i="1"/>
  <c r="N43" i="1"/>
  <c r="M43" i="1"/>
  <c r="H43" i="1"/>
  <c r="T42" i="1"/>
  <c r="Q42" i="1"/>
  <c r="O42" i="1"/>
  <c r="N42" i="1"/>
  <c r="M42" i="1"/>
  <c r="H42" i="1"/>
  <c r="T41" i="1"/>
  <c r="Q41" i="1"/>
  <c r="O41" i="1"/>
  <c r="N41" i="1"/>
  <c r="M41" i="1"/>
  <c r="H41" i="1"/>
  <c r="T40" i="1"/>
  <c r="Q40" i="1"/>
  <c r="O40" i="1"/>
  <c r="N40" i="1"/>
  <c r="M40" i="1"/>
  <c r="H40" i="1"/>
  <c r="T39" i="1"/>
  <c r="Q39" i="1"/>
  <c r="O39" i="1"/>
  <c r="N39" i="1"/>
  <c r="M39" i="1"/>
  <c r="H39" i="1"/>
  <c r="T38" i="1"/>
  <c r="O38" i="1"/>
  <c r="Q38" i="1" s="1"/>
  <c r="N38" i="1"/>
  <c r="M38" i="1"/>
  <c r="H38" i="1"/>
  <c r="T37" i="1"/>
  <c r="Q37" i="1"/>
  <c r="O37" i="1"/>
  <c r="N37" i="1"/>
  <c r="M37" i="1"/>
  <c r="H37" i="1"/>
  <c r="T36" i="1"/>
  <c r="Q36" i="1"/>
  <c r="O36" i="1"/>
  <c r="N36" i="1"/>
  <c r="M36" i="1"/>
  <c r="H36" i="1"/>
  <c r="T35" i="1"/>
  <c r="Q35" i="1"/>
  <c r="O35" i="1"/>
  <c r="N35" i="1"/>
  <c r="M35" i="1"/>
  <c r="H35" i="1"/>
  <c r="T34" i="1"/>
  <c r="Q34" i="1"/>
  <c r="O34" i="1"/>
  <c r="N34" i="1"/>
  <c r="M34" i="1"/>
  <c r="H34" i="1"/>
  <c r="T33" i="1"/>
  <c r="Q33" i="1"/>
  <c r="O33" i="1"/>
  <c r="N33" i="1"/>
  <c r="M33" i="1"/>
  <c r="H33" i="1"/>
  <c r="T32" i="1"/>
  <c r="Q32" i="1"/>
  <c r="O32" i="1"/>
  <c r="N32" i="1"/>
  <c r="M32" i="1"/>
  <c r="H32" i="1"/>
  <c r="T31" i="1"/>
  <c r="Q31" i="1"/>
  <c r="O31" i="1"/>
  <c r="N31" i="1"/>
  <c r="M31" i="1"/>
  <c r="H31" i="1"/>
  <c r="T30" i="1"/>
  <c r="Q30" i="1"/>
  <c r="O30" i="1"/>
  <c r="N30" i="1"/>
  <c r="M30" i="1"/>
  <c r="H30" i="1"/>
  <c r="T29" i="1"/>
  <c r="Q29" i="1"/>
  <c r="O29" i="1"/>
  <c r="N29" i="1"/>
  <c r="M29" i="1"/>
  <c r="H29" i="1"/>
  <c r="T28" i="1"/>
  <c r="Q28" i="1"/>
  <c r="O28" i="1"/>
  <c r="N28" i="1"/>
  <c r="M28" i="1"/>
  <c r="H28" i="1"/>
  <c r="T27" i="1"/>
  <c r="Q27" i="1"/>
  <c r="O27" i="1"/>
  <c r="N27" i="1"/>
  <c r="M27" i="1"/>
  <c r="H27" i="1"/>
  <c r="T26" i="1"/>
  <c r="Q26" i="1"/>
  <c r="O26" i="1"/>
  <c r="N26" i="1"/>
  <c r="M26" i="1"/>
  <c r="H26" i="1"/>
  <c r="T25" i="1"/>
  <c r="Q25" i="1"/>
  <c r="O25" i="1"/>
  <c r="N25" i="1"/>
  <c r="M25" i="1"/>
  <c r="H25" i="1"/>
  <c r="T24" i="1"/>
  <c r="O24" i="1"/>
  <c r="Q24" i="1" s="1"/>
  <c r="N24" i="1"/>
  <c r="M24" i="1"/>
  <c r="H24" i="1"/>
  <c r="T23" i="1"/>
  <c r="Q23" i="1"/>
  <c r="O23" i="1"/>
  <c r="N23" i="1"/>
  <c r="M23" i="1"/>
  <c r="H23" i="1"/>
  <c r="T22" i="1"/>
  <c r="Q22" i="1"/>
  <c r="O22" i="1"/>
  <c r="N22" i="1"/>
  <c r="M22" i="1"/>
  <c r="H22" i="1"/>
  <c r="T21" i="1"/>
  <c r="Q21" i="1"/>
  <c r="O21" i="1"/>
  <c r="N21" i="1"/>
  <c r="M21" i="1"/>
  <c r="H21" i="1"/>
  <c r="T20" i="1"/>
  <c r="Q20" i="1"/>
  <c r="O20" i="1"/>
  <c r="N20" i="1"/>
  <c r="M20" i="1"/>
  <c r="H20" i="1"/>
  <c r="T19" i="1"/>
  <c r="Q19" i="1"/>
  <c r="O19" i="1"/>
  <c r="N19" i="1"/>
  <c r="M19" i="1"/>
  <c r="H19" i="1"/>
  <c r="T18" i="1"/>
  <c r="O18" i="1"/>
  <c r="Q18" i="1" s="1"/>
  <c r="N18" i="1"/>
  <c r="M18" i="1"/>
  <c r="H18" i="1"/>
  <c r="T17" i="1"/>
  <c r="Q17" i="1"/>
  <c r="O17" i="1"/>
  <c r="N17" i="1"/>
  <c r="M17" i="1"/>
  <c r="H17" i="1"/>
  <c r="T16" i="1"/>
  <c r="Q16" i="1"/>
  <c r="O16" i="1"/>
  <c r="N16" i="1"/>
  <c r="M16" i="1"/>
  <c r="H16" i="1"/>
  <c r="T15" i="1"/>
  <c r="Q15" i="1"/>
  <c r="O15" i="1"/>
  <c r="N15" i="1"/>
  <c r="M15" i="1"/>
  <c r="H15" i="1"/>
  <c r="T14" i="1"/>
  <c r="Q14" i="1"/>
  <c r="O14" i="1"/>
  <c r="N14" i="1"/>
  <c r="M14" i="1"/>
  <c r="H14" i="1"/>
  <c r="T13" i="1"/>
  <c r="Q13" i="1"/>
  <c r="O13" i="1"/>
  <c r="N13" i="1"/>
  <c r="M13" i="1"/>
  <c r="H13" i="1"/>
  <c r="T12" i="1"/>
  <c r="Q12" i="1"/>
  <c r="O12" i="1"/>
  <c r="N12" i="1"/>
  <c r="M12" i="1"/>
  <c r="H12" i="1"/>
  <c r="T11" i="1"/>
  <c r="Q11" i="1"/>
  <c r="O11" i="1"/>
  <c r="N11" i="1"/>
  <c r="M11" i="1"/>
  <c r="H11" i="1"/>
  <c r="T10" i="1"/>
  <c r="Q10" i="1"/>
  <c r="O10" i="1"/>
  <c r="N10" i="1"/>
  <c r="M10" i="1"/>
  <c r="H10" i="1"/>
  <c r="T9" i="1"/>
  <c r="Q9" i="1"/>
  <c r="O9" i="1"/>
  <c r="N9" i="1"/>
  <c r="M9" i="1"/>
  <c r="H9" i="1"/>
  <c r="T8" i="1"/>
  <c r="Q8" i="1"/>
  <c r="O8" i="1"/>
  <c r="N8" i="1"/>
  <c r="M8" i="1"/>
  <c r="H8" i="1"/>
  <c r="G45" i="1"/>
  <c r="I44" i="1" s="1"/>
  <c r="F45" i="1"/>
  <c r="E45" i="1"/>
  <c r="G11" i="6"/>
  <c r="P3" i="6" s="1"/>
  <c r="F11" i="6"/>
  <c r="E11" i="6"/>
  <c r="T7" i="1"/>
  <c r="O7" i="1"/>
  <c r="Q7" i="1" s="1"/>
  <c r="M7" i="1"/>
  <c r="H7" i="1"/>
  <c r="M9" i="6"/>
  <c r="H10" i="3"/>
  <c r="S152" i="6"/>
  <c r="V11" i="6"/>
  <c r="I11" i="6"/>
  <c r="H11" i="6"/>
  <c r="V10" i="6"/>
  <c r="V9" i="6"/>
  <c r="V8" i="6"/>
  <c r="V7" i="6"/>
  <c r="M7" i="6"/>
  <c r="T60" i="1"/>
  <c r="O60" i="1"/>
  <c r="P60" i="1" s="1"/>
  <c r="T59" i="1"/>
  <c r="O59" i="1"/>
  <c r="P59" i="1" s="1"/>
  <c r="T58" i="1"/>
  <c r="O58" i="1"/>
  <c r="Q58" i="1" s="1"/>
  <c r="T57" i="1"/>
  <c r="O57" i="1"/>
  <c r="Q57" i="1" s="1"/>
  <c r="T56" i="1"/>
  <c r="O56" i="1"/>
  <c r="P56" i="1" s="1"/>
  <c r="U55" i="1"/>
  <c r="T55" i="1"/>
  <c r="O55" i="1"/>
  <c r="P55" i="1" s="1"/>
  <c r="U54" i="1"/>
  <c r="T54" i="1"/>
  <c r="O54" i="1"/>
  <c r="P54" i="1" s="1"/>
  <c r="U53" i="1"/>
  <c r="T53" i="1"/>
  <c r="O53" i="1"/>
  <c r="Q53" i="1" s="1"/>
  <c r="U52" i="1"/>
  <c r="T52" i="1"/>
  <c r="O52" i="1"/>
  <c r="Q52" i="1" s="1"/>
  <c r="U51" i="1"/>
  <c r="T51" i="1"/>
  <c r="O51" i="1"/>
  <c r="P51" i="1" s="1"/>
  <c r="U50" i="1"/>
  <c r="T50" i="1"/>
  <c r="O50" i="1"/>
  <c r="P50" i="1" s="1"/>
  <c r="U49" i="1"/>
  <c r="T49" i="1"/>
  <c r="O49" i="1"/>
  <c r="Q49" i="1" s="1"/>
  <c r="U48" i="1"/>
  <c r="T48" i="1"/>
  <c r="O48" i="1"/>
  <c r="Q48" i="1" s="1"/>
  <c r="U47" i="1"/>
  <c r="T47" i="1"/>
  <c r="O47" i="1"/>
  <c r="P47" i="1" s="1"/>
  <c r="T46" i="1"/>
  <c r="O46" i="1"/>
  <c r="P46" i="1" s="1"/>
  <c r="T45" i="1"/>
  <c r="O45" i="1"/>
  <c r="Q45" i="1" s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E12" i="3"/>
  <c r="H11" i="3"/>
  <c r="D12" i="3"/>
  <c r="AP6" i="3"/>
  <c r="E13" i="3"/>
  <c r="D13" i="3"/>
  <c r="I9" i="1" l="1"/>
  <c r="P9" i="1" s="1"/>
  <c r="L9" i="1" s="1"/>
  <c r="I41" i="1"/>
  <c r="P41" i="1" s="1"/>
  <c r="L41" i="1" s="1"/>
  <c r="I12" i="1"/>
  <c r="P12" i="1" s="1"/>
  <c r="L12" i="1" s="1"/>
  <c r="I15" i="1"/>
  <c r="J15" i="1" s="1"/>
  <c r="I25" i="1"/>
  <c r="P25" i="1" s="1"/>
  <c r="L25" i="1" s="1"/>
  <c r="I13" i="1"/>
  <c r="P13" i="1" s="1"/>
  <c r="L13" i="1" s="1"/>
  <c r="I29" i="1"/>
  <c r="P29" i="1" s="1"/>
  <c r="L29" i="1" s="1"/>
  <c r="I33" i="1"/>
  <c r="P33" i="1" s="1"/>
  <c r="L33" i="1" s="1"/>
  <c r="I16" i="1"/>
  <c r="I19" i="1"/>
  <c r="I37" i="1"/>
  <c r="P37" i="1" s="1"/>
  <c r="L37" i="1" s="1"/>
  <c r="I8" i="1"/>
  <c r="I11" i="1"/>
  <c r="I17" i="1"/>
  <c r="P17" i="1" s="1"/>
  <c r="L17" i="1" s="1"/>
  <c r="I21" i="1"/>
  <c r="P21" i="1" s="1"/>
  <c r="L21" i="1" s="1"/>
  <c r="P44" i="1"/>
  <c r="L44" i="1" s="1"/>
  <c r="J44" i="1"/>
  <c r="J9" i="1"/>
  <c r="I10" i="1"/>
  <c r="I14" i="1"/>
  <c r="I18" i="1"/>
  <c r="I22" i="1"/>
  <c r="J25" i="1"/>
  <c r="I26" i="1"/>
  <c r="I30" i="1"/>
  <c r="I34" i="1"/>
  <c r="I38" i="1"/>
  <c r="J41" i="1"/>
  <c r="I42" i="1"/>
  <c r="I23" i="1"/>
  <c r="I27" i="1"/>
  <c r="I31" i="1"/>
  <c r="I35" i="1"/>
  <c r="I39" i="1"/>
  <c r="I43" i="1"/>
  <c r="I20" i="1"/>
  <c r="I24" i="1"/>
  <c r="I28" i="1"/>
  <c r="I32" i="1"/>
  <c r="I36" i="1"/>
  <c r="I40" i="1"/>
  <c r="I7" i="1"/>
  <c r="J7" i="1" s="1"/>
  <c r="N7" i="1"/>
  <c r="H45" i="1"/>
  <c r="U29" i="1" s="1"/>
  <c r="Q51" i="1"/>
  <c r="P52" i="1"/>
  <c r="Q3" i="1"/>
  <c r="Q47" i="1"/>
  <c r="P48" i="1"/>
  <c r="Q55" i="1"/>
  <c r="R3" i="1"/>
  <c r="Q50" i="1"/>
  <c r="Q54" i="1"/>
  <c r="P49" i="1"/>
  <c r="P53" i="1"/>
  <c r="M10" i="6"/>
  <c r="M8" i="6"/>
  <c r="Q3" i="6"/>
  <c r="R3" i="6" s="1"/>
  <c r="S3" i="6" s="1"/>
  <c r="AO7" i="3"/>
  <c r="H12" i="3"/>
  <c r="I12" i="3" s="1"/>
  <c r="I11" i="3"/>
  <c r="Q60" i="1"/>
  <c r="Q59" i="1"/>
  <c r="Q46" i="1"/>
  <c r="Q56" i="1"/>
  <c r="P58" i="1"/>
  <c r="P45" i="1"/>
  <c r="P57" i="1"/>
  <c r="J33" i="1" l="1"/>
  <c r="P15" i="1"/>
  <c r="L15" i="1" s="1"/>
  <c r="J37" i="1"/>
  <c r="J12" i="1"/>
  <c r="U38" i="1"/>
  <c r="J29" i="1"/>
  <c r="U23" i="1"/>
  <c r="U26" i="1"/>
  <c r="U34" i="1"/>
  <c r="J17" i="1"/>
  <c r="U35" i="1"/>
  <c r="P8" i="1"/>
  <c r="L8" i="1" s="1"/>
  <c r="J8" i="1"/>
  <c r="U44" i="1"/>
  <c r="U25" i="1"/>
  <c r="U21" i="1"/>
  <c r="U32" i="1"/>
  <c r="U39" i="1"/>
  <c r="U24" i="1"/>
  <c r="U41" i="1"/>
  <c r="U30" i="1"/>
  <c r="U20" i="1"/>
  <c r="J19" i="1"/>
  <c r="P19" i="1"/>
  <c r="L19" i="1" s="1"/>
  <c r="U13" i="1"/>
  <c r="U12" i="1"/>
  <c r="U42" i="1"/>
  <c r="U37" i="1"/>
  <c r="U31" i="1"/>
  <c r="U22" i="1"/>
  <c r="U14" i="1"/>
  <c r="U11" i="1"/>
  <c r="U9" i="1"/>
  <c r="U8" i="1"/>
  <c r="U18" i="1"/>
  <c r="U17" i="1"/>
  <c r="U16" i="1"/>
  <c r="U10" i="1"/>
  <c r="U36" i="1"/>
  <c r="U27" i="1"/>
  <c r="U15" i="1"/>
  <c r="U33" i="1"/>
  <c r="P16" i="1"/>
  <c r="L16" i="1" s="1"/>
  <c r="J16" i="1"/>
  <c r="J21" i="1"/>
  <c r="J13" i="1"/>
  <c r="U28" i="1"/>
  <c r="J11" i="1"/>
  <c r="P11" i="1"/>
  <c r="L11" i="1" s="1"/>
  <c r="U19" i="1"/>
  <c r="U40" i="1"/>
  <c r="U43" i="1"/>
  <c r="P40" i="1"/>
  <c r="L40" i="1" s="1"/>
  <c r="J40" i="1"/>
  <c r="J24" i="1"/>
  <c r="P24" i="1"/>
  <c r="L24" i="1" s="1"/>
  <c r="J35" i="1"/>
  <c r="P35" i="1"/>
  <c r="L35" i="1" s="1"/>
  <c r="P42" i="1"/>
  <c r="L42" i="1" s="1"/>
  <c r="J42" i="1"/>
  <c r="P34" i="1"/>
  <c r="L34" i="1" s="1"/>
  <c r="J34" i="1"/>
  <c r="P26" i="1"/>
  <c r="L26" i="1" s="1"/>
  <c r="J26" i="1"/>
  <c r="P18" i="1"/>
  <c r="L18" i="1" s="1"/>
  <c r="J18" i="1"/>
  <c r="P10" i="1"/>
  <c r="L10" i="1" s="1"/>
  <c r="J10" i="1"/>
  <c r="P36" i="1"/>
  <c r="L36" i="1" s="1"/>
  <c r="J36" i="1"/>
  <c r="P20" i="1"/>
  <c r="L20" i="1" s="1"/>
  <c r="J20" i="1"/>
  <c r="J31" i="1"/>
  <c r="P31" i="1"/>
  <c r="L31" i="1" s="1"/>
  <c r="I45" i="1"/>
  <c r="P32" i="1"/>
  <c r="L32" i="1" s="1"/>
  <c r="J32" i="1"/>
  <c r="J43" i="1"/>
  <c r="P43" i="1"/>
  <c r="L43" i="1" s="1"/>
  <c r="J27" i="1"/>
  <c r="P27" i="1"/>
  <c r="L27" i="1" s="1"/>
  <c r="P38" i="1"/>
  <c r="L38" i="1" s="1"/>
  <c r="J38" i="1"/>
  <c r="P30" i="1"/>
  <c r="L30" i="1" s="1"/>
  <c r="J30" i="1"/>
  <c r="P22" i="1"/>
  <c r="L22" i="1" s="1"/>
  <c r="J22" i="1"/>
  <c r="P14" i="1"/>
  <c r="L14" i="1" s="1"/>
  <c r="J14" i="1"/>
  <c r="J28" i="1"/>
  <c r="P28" i="1"/>
  <c r="L28" i="1" s="1"/>
  <c r="J39" i="1"/>
  <c r="P39" i="1"/>
  <c r="L39" i="1" s="1"/>
  <c r="J23" i="1"/>
  <c r="P23" i="1"/>
  <c r="L23" i="1" s="1"/>
  <c r="P7" i="1"/>
  <c r="L7" i="1" s="1"/>
  <c r="U7" i="1"/>
  <c r="M11" i="6"/>
  <c r="N45" i="1"/>
  <c r="S3" i="1"/>
  <c r="T3" i="1" s="1"/>
  <c r="U60" i="1"/>
  <c r="U59" i="1"/>
  <c r="U56" i="1"/>
  <c r="U45" i="1"/>
  <c r="U57" i="1"/>
  <c r="U58" i="1"/>
  <c r="U46" i="1"/>
  <c r="J45" i="1" l="1"/>
  <c r="R44" i="1"/>
  <c r="S44" i="1" s="1"/>
  <c r="R40" i="1"/>
  <c r="S40" i="1" s="1"/>
  <c r="R36" i="1"/>
  <c r="S36" i="1" s="1"/>
  <c r="R32" i="1"/>
  <c r="S32" i="1" s="1"/>
  <c r="R28" i="1"/>
  <c r="S28" i="1" s="1"/>
  <c r="R24" i="1"/>
  <c r="S24" i="1" s="1"/>
  <c r="R20" i="1"/>
  <c r="S20" i="1" s="1"/>
  <c r="R16" i="1"/>
  <c r="S16" i="1" s="1"/>
  <c r="R12" i="1"/>
  <c r="S12" i="1" s="1"/>
  <c r="R8" i="1"/>
  <c r="S8" i="1" s="1"/>
  <c r="R13" i="1"/>
  <c r="S13" i="1" s="1"/>
  <c r="R9" i="1"/>
  <c r="S9" i="1" s="1"/>
  <c r="R43" i="1"/>
  <c r="S43" i="1" s="1"/>
  <c r="R39" i="1"/>
  <c r="S39" i="1" s="1"/>
  <c r="R35" i="1"/>
  <c r="S35" i="1" s="1"/>
  <c r="R31" i="1"/>
  <c r="S31" i="1" s="1"/>
  <c r="R27" i="1"/>
  <c r="S27" i="1" s="1"/>
  <c r="R23" i="1"/>
  <c r="S23" i="1" s="1"/>
  <c r="R19" i="1"/>
  <c r="S19" i="1" s="1"/>
  <c r="R15" i="1"/>
  <c r="S15" i="1" s="1"/>
  <c r="R11" i="1"/>
  <c r="S11" i="1" s="1"/>
  <c r="R25" i="1"/>
  <c r="S25" i="1" s="1"/>
  <c r="R21" i="1"/>
  <c r="S21" i="1" s="1"/>
  <c r="R42" i="1"/>
  <c r="S42" i="1" s="1"/>
  <c r="R38" i="1"/>
  <c r="S38" i="1" s="1"/>
  <c r="R34" i="1"/>
  <c r="S34" i="1" s="1"/>
  <c r="R30" i="1"/>
  <c r="S30" i="1" s="1"/>
  <c r="R26" i="1"/>
  <c r="S26" i="1" s="1"/>
  <c r="R22" i="1"/>
  <c r="S22" i="1" s="1"/>
  <c r="R18" i="1"/>
  <c r="S18" i="1" s="1"/>
  <c r="R14" i="1"/>
  <c r="S14" i="1" s="1"/>
  <c r="R10" i="1"/>
  <c r="S10" i="1" s="1"/>
  <c r="R41" i="1"/>
  <c r="S41" i="1" s="1"/>
  <c r="R37" i="1"/>
  <c r="S37" i="1" s="1"/>
  <c r="R33" i="1"/>
  <c r="S33" i="1" s="1"/>
  <c r="R29" i="1"/>
  <c r="S29" i="1" s="1"/>
  <c r="R17" i="1"/>
  <c r="S17" i="1" s="1"/>
  <c r="R7" i="1"/>
  <c r="S7" i="1" s="1"/>
  <c r="R50" i="1"/>
  <c r="S50" i="1" s="1"/>
  <c r="R49" i="1"/>
  <c r="S49" i="1" s="1"/>
  <c r="R53" i="1"/>
  <c r="S53" i="1" s="1"/>
  <c r="R45" i="1"/>
  <c r="S45" i="1" s="1"/>
  <c r="R55" i="1"/>
  <c r="S55" i="1" s="1"/>
  <c r="R46" i="1"/>
  <c r="S46" i="1" s="1"/>
  <c r="R52" i="1"/>
  <c r="S52" i="1" s="1"/>
  <c r="R57" i="1"/>
  <c r="S57" i="1" s="1"/>
  <c r="R51" i="1"/>
  <c r="S51" i="1" s="1"/>
  <c r="R58" i="1"/>
  <c r="S58" i="1" s="1"/>
  <c r="R56" i="1"/>
  <c r="S56" i="1" s="1"/>
  <c r="R54" i="1"/>
  <c r="S54" i="1" s="1"/>
  <c r="R48" i="1"/>
  <c r="S48" i="1" s="1"/>
  <c r="R60" i="1"/>
  <c r="S60" i="1" s="1"/>
  <c r="R59" i="1"/>
  <c r="S59" i="1" s="1"/>
  <c r="R47" i="1"/>
  <c r="S4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<sst xmlns="http://schemas.openxmlformats.org/spreadsheetml/2006/main" count="306" uniqueCount="198">
  <si>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</si>
  <si>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</si>
  <si>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</si>
  <si>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</si>
  <si>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</si>
  <si>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</si>
  <si>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</si>
  <si>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</si>
  <si>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</si>
  <si>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</si>
  <si>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</si>
  <si>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</si>
  <si>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</si>
  <si>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</si>
  <si>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</si>
  <si>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</si>
  <si>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</si>
  <si>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</si>
  <si>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</si>
  <si>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</si>
  <si>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</si>
  <si>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</si>
  <si>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</si>
  <si>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</si>
  <si>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</si>
  <si>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</si>
  <si>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</si>
  <si>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</si>
  <si>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</si>
  <si>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</si>
  <si>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</si>
  <si>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</si>
  <si>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</si>
  <si>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</si>
  <si>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</si>
  <si>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</si>
  <si>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</si>
  <si>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</si>
  <si>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</si>
  <si>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</si>
  <si>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</si>
  <si>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</si>
  <si>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</si>
  <si>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</si>
  <si>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</si>
  <si>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</si>
  <si>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</si>
  <si>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</si>
  <si>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</si>
  <si>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</si>
  <si>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</si>
  <si>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</si>
  <si>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</si>
  <si>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</si>
  <si>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</si>
  <si>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</si>
  <si>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</si>
  <si>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</si>
  <si>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</si>
  <si>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</si>
  <si>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</si>
  <si>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</si>
  <si>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</si>
  <si>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</si>
  <si>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</si>
  <si>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</si>
  <si>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</si>
  <si>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</si>
  <si>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</si>
  <si>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</si>
  <si>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</si>
  <si>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</si>
  <si>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</si>
  <si>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</si>
  <si>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</si>
  <si>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</si>
  <si>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</si>
  <si>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</si>
  <si>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</si>
  <si>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</si>
  <si>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</si>
  <si>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</si>
  <si>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</si>
  <si>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</si>
  <si>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</si>
  <si>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</si>
  <si>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</si>
  <si>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</si>
  <si>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</si>
  <si>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</si>
  <si>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</si>
  <si>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</si>
  <si>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</si>
  <si>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</si>
  <si>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</si>
  <si>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</si>
  <si>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</si>
  <si>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</si>
  <si>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</si>
  <si>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</si>
  <si>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</si>
  <si>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</si>
  <si>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</si>
  <si>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</si>
  <si>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</si>
  <si>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</si>
  <si>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</si>
  <si>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</si>
  <si>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</si>
  <si>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</si>
  <si>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</si>
  <si>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</si>
  <si>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</si>
  <si>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</si>
  <si>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</si>
  <si>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</si>
  <si>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</si>
  <si>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</si>
  <si>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</si>
  <si>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</si>
  <si>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</si>
  <si>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</si>
  <si>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</si>
  <si>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</si>
  <si>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</si>
  <si>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</si>
  <si>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</si>
  <si>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</si>
  <si>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</si>
  <si>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</si>
  <si>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</si>
  <si>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</si>
  <si>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</si>
  <si>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</si>
  <si>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</si>
  <si>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</si>
  <si>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</si>
  <si>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</si>
  <si>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</si>
  <si>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</si>
  <si>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</si>
  <si>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</si>
  <si>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</si>
  <si>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</si>
  <si>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</si>
  <si>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</si>
  <si>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</si>
  <si>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</si>
  <si>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LEON PEREZ RAUL ENRIQUE</t>
  </si>
  <si>
    <t>AGUDELO GARCIA LLORDIN ELIAS</t>
  </si>
  <si>
    <t>OCAMPO OCAMPO ANTONIO JOSE</t>
  </si>
  <si>
    <t>ALBERTO ARISTIZABAL RAFAEL</t>
  </si>
  <si>
    <t>JIMENEZ HERNANDEZ ESTEBAN CAMILO</t>
  </si>
  <si>
    <t>OSORIO URREGO SANTIAGO</t>
  </si>
  <si>
    <t>SUAREZ ESCUDERO JONATAN</t>
  </si>
  <si>
    <t>GUTIERREZ ARICAPA DANIEL HUMBERTO</t>
  </si>
  <si>
    <t>PEREZ GARCIA JUAN ESTEBAN</t>
  </si>
  <si>
    <t>MURILLO  YORMAN ANDRES</t>
  </si>
  <si>
    <t>IBARGUEN GARRIDO JUAN ESTEBAN</t>
  </si>
  <si>
    <t>LAYOS JIMENEZ JOHAN CAMILO</t>
  </si>
  <si>
    <t>AGUDELO GARCIA DENIN ANGELO</t>
  </si>
  <si>
    <t>HINCAPIE VILLA JUAN ESTIVEN</t>
  </si>
  <si>
    <t>SALDARRIAGA PARRA LUIS ALBERTO</t>
  </si>
  <si>
    <t>PARRA VILLA YUBER ALONSO</t>
  </si>
  <si>
    <t>MARULANDA JARAMILLO DAWER ANDRES</t>
  </si>
  <si>
    <t>YEPES TORRES JHON ALEXANDER</t>
  </si>
  <si>
    <t>MONTOYA OSPINA GILBERTO ANTONIO</t>
  </si>
  <si>
    <t>ARAQUE ARROYAVE JOSE ALBEIRO</t>
  </si>
  <si>
    <t>FRANCO CARVAJAL GERARDO ANTONIO</t>
  </si>
  <si>
    <t>PARIAS MURIEL JHON FREDY</t>
  </si>
  <si>
    <t>PALMAR PANA EDIXON JOSUE</t>
  </si>
  <si>
    <t>LONDOÑO LOPERA DUVAN ANDRES</t>
  </si>
  <si>
    <t>LOPEZ PINEDA DANIEL ESTIVEN</t>
  </si>
  <si>
    <t>TUBERQUIA URREGO HAROL</t>
  </si>
  <si>
    <t>SANCHEZ BETANCOURT FRANSCISCO</t>
  </si>
  <si>
    <t>DAVID  HENRY GIOVANNY</t>
  </si>
  <si>
    <t>VERENZUELA MARTINEZ ALEXANDER</t>
  </si>
  <si>
    <t>MARIN ALZATE KEVIN ANDRES</t>
  </si>
  <si>
    <t>VALENCIA MENDOZA JHON</t>
  </si>
  <si>
    <t xml:space="preserve">GONZALEZ PEREZ RAFAEL JOSE </t>
  </si>
  <si>
    <t xml:space="preserve">CARTAGENA RAMIREZ FREDY ALONSO </t>
  </si>
  <si>
    <t xml:space="preserve">HERNANDEZ MACIAS GILBERTO </t>
  </si>
  <si>
    <t xml:space="preserve">MACEA ARBELAEZ MATEO </t>
  </si>
  <si>
    <t xml:space="preserve">JARAMILLO JARAMILLO FRANCISCO WBEIMAR </t>
  </si>
  <si>
    <t xml:space="preserve">MACIAS HERNANDEZ JULIAN DAVID </t>
  </si>
  <si>
    <t xml:space="preserve">3 Descuentos (Conduct y usuarios desubicados) </t>
  </si>
  <si>
    <t xml:space="preserve">1 Descuento (Despachador) </t>
  </si>
  <si>
    <t xml:space="preserve">1 Descuento (Usuario desubicado) </t>
  </si>
  <si>
    <t xml:space="preserve">1 Descuento (Asociado) </t>
  </si>
  <si>
    <t xml:space="preserve">2 Descuentos (Usuarios desubicados) </t>
  </si>
  <si>
    <t xml:space="preserve">3 Descuentos (Usuarios desubicados y despachador) </t>
  </si>
  <si>
    <t xml:space="preserve">6 Descuentos (Transbordo) </t>
  </si>
  <si>
    <t xml:space="preserve">6 Descuentos (Jefe de ruta, conducts, despachador y asociado)   </t>
  </si>
  <si>
    <t xml:space="preserve">1 Descuento (Jefe de ruta) </t>
  </si>
  <si>
    <t xml:space="preserve">2 Descuentos (Despachador y usuario desubicado)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</si>
  <si>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22.9 USUARIOS</t>
    </r>
  </si>
  <si>
    <t xml:space="preserve">Se descuenta 0.5 viaje de 1 55 pm ya que abandona ruta sin autorización </t>
  </si>
  <si>
    <t>Se descuenta 0.5 viaje de 1 37 pm ya que abandona ruta sin autorización. JOSE DURANGO Realizó 3 viajes donde movilizó 50 Usuarios.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</si>
</sst>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  <numFmt numFmtId="179" formatCode="#,##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0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79" fontId="0" fillId="0" borderId="0" xfId="0" applyNumberFormat="1" applyAlignment="1">
      <alignment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Import!$C$7:$C$45</c:f>
              <c:numCache>
                <c:formatCode>0</c:formatCode>
                <c:ptCount val="3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 formatCode="General">
                  <c:v>18</c:v>
                </c:pt>
                <c:pt idx="15" formatCode="General">
                  <c:v>19</c:v>
                </c:pt>
                <c:pt idx="16">
                  <c:v>20</c:v>
                </c:pt>
                <c:pt idx="17">
                  <c:v>21</c:v>
                </c:pt>
                <c:pt idx="18" formatCode="General">
                  <c:v>22</c:v>
                </c:pt>
                <c:pt idx="19" formatCode="General">
                  <c:v>23</c:v>
                </c:pt>
                <c:pt idx="20">
                  <c:v>24</c:v>
                </c:pt>
                <c:pt idx="21" formatCode="General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 formatCode="General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42</c:v>
                </c:pt>
              </c:numCache>
            </c:numRef>
          </c:cat>
          <c:val>
            <c:numRef>
              <c:f>Import!$H$7:$H$45</c:f>
              <c:numCache>
                <c:formatCode>_-* #,##0.0_-;\-* #,##0.0_-;_-* "-"??_-;_-@_-</c:formatCode>
                <c:ptCount val="38"/>
                <c:pt idx="0">
                  <c:v>25.111111111111111</c:v>
                </c:pt>
                <c:pt idx="1">
                  <c:v>20.2</c:v>
                </c:pt>
                <c:pt idx="2">
                  <c:v>26.777777777777779</c:v>
                </c:pt>
                <c:pt idx="3">
                  <c:v>24.888888888888889</c:v>
                </c:pt>
                <c:pt idx="4">
                  <c:v>25.181818181818183</c:v>
                </c:pt>
                <c:pt idx="5">
                  <c:v>24.833333333333332</c:v>
                </c:pt>
                <c:pt idx="6">
                  <c:v>21.4</c:v>
                </c:pt>
                <c:pt idx="7">
                  <c:v>22</c:v>
                </c:pt>
                <c:pt idx="8">
                  <c:v>27.444444444444443</c:v>
                </c:pt>
                <c:pt idx="9">
                  <c:v>30.4</c:v>
                </c:pt>
                <c:pt idx="10">
                  <c:v>24.571428571428573</c:v>
                </c:pt>
                <c:pt idx="11">
                  <c:v>23.285714285714285</c:v>
                </c:pt>
                <c:pt idx="12">
                  <c:v>24</c:v>
                </c:pt>
                <c:pt idx="13">
                  <c:v>25.9</c:v>
                </c:pt>
                <c:pt idx="14">
                  <c:v>21.666666666666668</c:v>
                </c:pt>
                <c:pt idx="15">
                  <c:v>16.666666666666668</c:v>
                </c:pt>
                <c:pt idx="16">
                  <c:v>21.333333333333332</c:v>
                </c:pt>
                <c:pt idx="17">
                  <c:v>22.166666666666668</c:v>
                </c:pt>
                <c:pt idx="18">
                  <c:v>22.333333333333332</c:v>
                </c:pt>
                <c:pt idx="19">
                  <c:v>22.133333333333333</c:v>
                </c:pt>
                <c:pt idx="20">
                  <c:v>19.888888888888889</c:v>
                </c:pt>
                <c:pt idx="21">
                  <c:v>26.222222222222221</c:v>
                </c:pt>
                <c:pt idx="22">
                  <c:v>22</c:v>
                </c:pt>
                <c:pt idx="23">
                  <c:v>27.444444444444443</c:v>
                </c:pt>
                <c:pt idx="24">
                  <c:v>18.888888888888889</c:v>
                </c:pt>
                <c:pt idx="25">
                  <c:v>21.666666666666668</c:v>
                </c:pt>
                <c:pt idx="26">
                  <c:v>15.75</c:v>
                </c:pt>
                <c:pt idx="27">
                  <c:v>21.777777777777779</c:v>
                </c:pt>
                <c:pt idx="28">
                  <c:v>20</c:v>
                </c:pt>
                <c:pt idx="29">
                  <c:v>21.555555555555557</c:v>
                </c:pt>
                <c:pt idx="30">
                  <c:v>23.923076923076923</c:v>
                </c:pt>
                <c:pt idx="31">
                  <c:v>27.714285714285715</c:v>
                </c:pt>
                <c:pt idx="32">
                  <c:v>16.100000000000001</c:v>
                </c:pt>
                <c:pt idx="33">
                  <c:v>30.333333333333332</c:v>
                </c:pt>
                <c:pt idx="34">
                  <c:v>22.8</c:v>
                </c:pt>
                <c:pt idx="35">
                  <c:v>22.75</c:v>
                </c:pt>
                <c:pt idx="36">
                  <c:v>21.142857142857142</c:v>
                </c:pt>
                <c:pt idx="37">
                  <c:v>26.2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109</xdr:row>
      <xdr:rowOff>5161</xdr:rowOff>
    </xdr:from>
    <xdr:to>
      <xdr:col>20</xdr:col>
      <xdr:colOff>148828</xdr:colOff>
      <xdr:row>143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5" totalsRowCount="1" headerRowDxfId="62" dataDxfId="61" totalsRowDxfId="60">
  <sortState xmlns:xlrd2="http://schemas.microsoft.com/office/spreadsheetml/2017/richdata2" ref="B7:N31">
    <sortCondition descending="1" ref="H7:H31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17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2.9 USUARIOS" dataDxfId="16" totalsRowDxfId="3"/>
    <tableColumn id="9" xr3:uid="{00000000-0010-0000-0000-000009000000}" name="VALOR OPERACIÓN" dataDxfId="15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+(SUMIFS(G:G,M:M,"MICRO",E:E,"&gt;0")*100)/COUNTIF($E$7:$E$44,"&gt;0")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apel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5"/>
  <sheetViews>
    <sheetView showGridLines="0" tabSelected="1" showWhiteSpace="0" zoomScaleNormal="100" workbookViewId="0">
      <selection activeCell="D2" sqref="D2:K2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10.375" style="362" hidden="1" customWidth="1"/>
    <col min="11" max="11" width="53.12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6" t="s">
        <v>142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5">
      <c r="D2" s="367" t="s">
        <v>141</v>
      </c>
      <c r="E2" s="367"/>
      <c r="F2" s="367"/>
      <c r="G2" s="367"/>
      <c r="H2" s="367"/>
      <c r="I2" s="367"/>
      <c r="J2" s="367"/>
      <c r="K2" s="367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+SUM(G6:G1856)/2</f>
        <v>7684</v>
      </c>
      <c r="R3" s="55">
        <f>+SUM(E6:E1856)/2</f>
        <v>334.5</v>
      </c>
      <c r="S3" s="55">
        <f>+Q3-R3</f>
        <v>7349.5</v>
      </c>
      <c r="T3" s="56">
        <f>+S3/R3</f>
        <v>21.971599402092675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45997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122</v>
      </c>
      <c r="C7" s="166">
        <v>2</v>
      </c>
      <c r="D7" s="151" t="s">
        <v>169</v>
      </c>
      <c r="E7" s="150">
        <v>9</v>
      </c>
      <c r="F7" s="150">
        <v>0</v>
      </c>
      <c r="G7" s="165">
        <v>226</v>
      </c>
      <c r="H7" s="226">
        <f t="shared" ref="H7:H44" si="0">+G7/E7</f>
        <v>25.111111111111111</v>
      </c>
      <c r="I7" s="227">
        <f>+(SUM($G$7:$G$1048576)/SUM($E$7:$E$1048576))*E7</f>
        <v>206.74439461883406</v>
      </c>
      <c r="J7" s="363">
        <f>+Tabla2[[#This Row],[PROM DE USUARIOS]]-Tabla2[[#This Row],[USUARIOS]]</f>
        <v>-19.255605381165935</v>
      </c>
      <c r="K7" s="151"/>
      <c r="L7" s="163">
        <f t="shared" ref="L7:L12" si="1">P7*585</f>
        <v>115680.47085201793</v>
      </c>
      <c r="M7" s="162">
        <f>+VLOOKUP(C7,Lista!B:D,3,0)</f>
        <v>0</v>
      </c>
      <c r="N7" s="365">
        <f>+(SUMIFS(G:G,M:M,"MICRO",E:E,"&gt;0")*100)/COUNTIF($E$7:$E$44,"&gt;0")</f>
        <v>12465.78947368421</v>
      </c>
      <c r="O7" s="50">
        <f t="shared" ref="O7:O12" si="2">+(E7*1)-V7</f>
        <v>9</v>
      </c>
      <c r="P7" s="47">
        <f t="shared" ref="P7:P12" si="3">+I7-O7-W7</f>
        <v>197.74439461883406</v>
      </c>
      <c r="Q7" s="49">
        <f t="shared" ref="Q7:Q12" si="4">+G7-O7</f>
        <v>217</v>
      </c>
      <c r="R7" s="51">
        <f t="shared" ref="R7:R12" si="5">+E7*$T$3</f>
        <v>197.74439461883406</v>
      </c>
      <c r="S7" s="46">
        <f t="shared" ref="S7:S39" si="6">+R7*550</f>
        <v>108759.41704035873</v>
      </c>
      <c r="T7" t="str">
        <f t="shared" ref="T7:T12" si="7">+IF(K7&lt;&gt;"",K7,"")</f>
        <v/>
      </c>
      <c r="U7">
        <f>+RANK(H7,$H$6:$H$1048576,1)</f>
        <v>29</v>
      </c>
      <c r="V7"/>
      <c r="W7"/>
      <c r="Y7" t="str">
        <f>TRIM(Tabla2[[#This Row],[CONDUCTOR]])</f>
        <v>PARIAS MURIEL JHON FREDY</v>
      </c>
    </row>
    <row r="8" spans="1:32" x14ac:dyDescent="0.2">
      <c r="B8" s="136" t="s">
        <v>121</v>
      </c>
      <c r="C8" s="166">
        <v>3</v>
      </c>
      <c r="D8" s="151" t="s">
        <v>161</v>
      </c>
      <c r="E8" s="150">
        <v>10</v>
      </c>
      <c r="F8" s="150">
        <v>0</v>
      </c>
      <c r="G8" s="146">
        <v>202</v>
      </c>
      <c r="H8" s="226">
        <f t="shared" ref="H8:H44" si="8">+G8/E8</f>
        <v>20.2</v>
      </c>
      <c r="I8" s="227">
        <f t="shared" ref="I8:I44" si="9">+(SUM($G$7:$G$1048576)/SUM($E$7:$E$1048576))*E8</f>
        <v>229.71599402092676</v>
      </c>
      <c r="J8" s="363">
        <f>+Tabla2[[#This Row],[PROM DE USUARIOS]]-Tabla2[[#This Row],[USUARIOS]]</f>
        <v>27.715994020926757</v>
      </c>
      <c r="K8" s="151"/>
      <c r="L8" s="163">
        <f t="shared" ref="L8:L44" si="10">P8*585</f>
        <v>128533.85650224215</v>
      </c>
      <c r="M8" s="162" t="str">
        <f>+VLOOKUP(C8,Lista!B:D,3,0)</f>
        <v>MICRO</v>
      </c>
      <c r="N8" s="365">
        <f t="shared" ref="N8:N44" si="11">+(SUMIFS(G:G,M:M,"MICRO",E:E,"&gt;0")*100)/COUNTIF($E$7:$E$44,"&gt;0")</f>
        <v>12465.78947368421</v>
      </c>
      <c r="O8" s="50">
        <f t="shared" ref="O8:O44" si="12">+(E8*1)-V8</f>
        <v>10</v>
      </c>
      <c r="P8" s="47">
        <f t="shared" ref="P8:P44" si="13">+I8-O8-W8</f>
        <v>219.71599402092676</v>
      </c>
      <c r="Q8" s="49">
        <f t="shared" ref="Q8:Q44" si="14">+G8-O8</f>
        <v>192</v>
      </c>
      <c r="R8" s="51">
        <f t="shared" ref="R8:R44" si="15">+E8*$T$3</f>
        <v>219.71599402092676</v>
      </c>
      <c r="S8" s="46">
        <f t="shared" ref="S8:S44" si="16">+R8*550</f>
        <v>120843.79671150971</v>
      </c>
      <c r="T8" t="str">
        <f t="shared" ref="T8:T44" si="17">+IF(K8&lt;&gt;"",K8,"")</f>
        <v/>
      </c>
      <c r="U8">
        <f t="shared" ref="U8:U44" si="18">+RANK(H8,$H$6:$H$1048576,1)</f>
        <v>7</v>
      </c>
      <c r="Y8" t="str">
        <f>TRIM(Tabla2[[#This Row],[CONDUCTOR]])</f>
        <v>HINCAPIE VILLA JUAN ESTIVEN</v>
      </c>
    </row>
    <row r="9" spans="1:32" x14ac:dyDescent="0.2">
      <c r="B9" s="136" t="s">
        <v>122</v>
      </c>
      <c r="C9" s="166">
        <v>4</v>
      </c>
      <c r="D9" s="151" t="s">
        <v>174</v>
      </c>
      <c r="E9" s="150">
        <v>9</v>
      </c>
      <c r="F9" s="150">
        <v>0</v>
      </c>
      <c r="G9" s="146">
        <v>241</v>
      </c>
      <c r="H9" s="226">
        <f t="shared" si="8"/>
        <v>26.777777777777779</v>
      </c>
      <c r="I9" s="227">
        <f t="shared" si="9"/>
        <v>206.74439461883406</v>
      </c>
      <c r="J9" s="363">
        <f>+Tabla2[[#This Row],[PROM DE USUARIOS]]-Tabla2[[#This Row],[USUARIOS]]</f>
        <v>-34.255605381165935</v>
      </c>
      <c r="K9" s="151"/>
      <c r="L9" s="163">
        <f t="shared" si="10"/>
        <v>115680.47085201793</v>
      </c>
      <c r="M9" s="162" t="str">
        <f>+VLOOKUP(C9,Lista!B:D,3,0)</f>
        <v>MICRO</v>
      </c>
      <c r="N9" s="365">
        <f t="shared" si="11"/>
        <v>12465.78947368421</v>
      </c>
      <c r="O9" s="50">
        <f t="shared" si="12"/>
        <v>9</v>
      </c>
      <c r="P9" s="47">
        <f t="shared" si="13"/>
        <v>197.74439461883406</v>
      </c>
      <c r="Q9" s="49">
        <f t="shared" si="14"/>
        <v>232</v>
      </c>
      <c r="R9" s="51">
        <f t="shared" si="15"/>
        <v>197.74439461883406</v>
      </c>
      <c r="S9" s="46">
        <f t="shared" si="16"/>
        <v>108759.41704035873</v>
      </c>
      <c r="T9" t="str">
        <f t="shared" si="17"/>
        <v/>
      </c>
      <c r="U9">
        <f t="shared" si="18"/>
        <v>34</v>
      </c>
      <c r="Y9" t="str">
        <f>TRIM(Tabla2[[#This Row],[CONDUCTOR]])</f>
        <v>SANCHEZ BETANCOURT FRANSCISCO</v>
      </c>
    </row>
    <row r="10" spans="1:32" x14ac:dyDescent="0.2">
      <c r="B10" s="136" t="s">
        <v>121</v>
      </c>
      <c r="C10" s="166">
        <v>5</v>
      </c>
      <c r="D10" s="151" t="s">
        <v>171</v>
      </c>
      <c r="E10" s="150">
        <v>9</v>
      </c>
      <c r="F10" s="150">
        <v>0</v>
      </c>
      <c r="G10" s="165">
        <v>224</v>
      </c>
      <c r="H10" s="226">
        <f t="shared" si="8"/>
        <v>24.888888888888889</v>
      </c>
      <c r="I10" s="227">
        <f t="shared" si="9"/>
        <v>206.74439461883406</v>
      </c>
      <c r="J10" s="363">
        <f>+Tabla2[[#This Row],[PROM DE USUARIOS]]-Tabla2[[#This Row],[USUARIOS]]</f>
        <v>-17.255605381165935</v>
      </c>
      <c r="K10" s="151"/>
      <c r="L10" s="163">
        <f t="shared" si="10"/>
        <v>115680.47085201793</v>
      </c>
      <c r="M10" s="162">
        <f>+VLOOKUP(C10,Lista!B:D,3,0)</f>
        <v>0</v>
      </c>
      <c r="N10" s="365">
        <f t="shared" si="11"/>
        <v>12465.78947368421</v>
      </c>
      <c r="O10" s="50">
        <f t="shared" si="12"/>
        <v>9</v>
      </c>
      <c r="P10" s="47">
        <f t="shared" si="13"/>
        <v>197.74439461883406</v>
      </c>
      <c r="Q10" s="49">
        <f t="shared" si="14"/>
        <v>215</v>
      </c>
      <c r="R10" s="51">
        <f t="shared" si="15"/>
        <v>197.74439461883406</v>
      </c>
      <c r="S10" s="46">
        <f t="shared" si="16"/>
        <v>108759.41704035873</v>
      </c>
      <c r="T10" t="str">
        <f t="shared" si="17"/>
        <v/>
      </c>
      <c r="U10">
        <f t="shared" si="18"/>
        <v>28</v>
      </c>
      <c r="Y10" t="str">
        <f>TRIM(Tabla2[[#This Row],[CONDUCTOR]])</f>
        <v>LONDOÑO LOPERA DUVAN ANDRES</v>
      </c>
    </row>
    <row r="11" spans="1:32" x14ac:dyDescent="0.2">
      <c r="B11" s="136" t="s">
        <v>122</v>
      </c>
      <c r="C11" s="166">
        <v>6</v>
      </c>
      <c r="D11" s="151" t="s">
        <v>172</v>
      </c>
      <c r="E11" s="150">
        <v>11</v>
      </c>
      <c r="F11" s="150">
        <v>0</v>
      </c>
      <c r="G11" s="146">
        <v>277</v>
      </c>
      <c r="H11" s="226">
        <f t="shared" si="8"/>
        <v>25.181818181818183</v>
      </c>
      <c r="I11" s="227">
        <f t="shared" si="9"/>
        <v>252.68759342301942</v>
      </c>
      <c r="J11" s="363">
        <f>+Tabla2[[#This Row],[PROM DE USUARIOS]]-Tabla2[[#This Row],[USUARIOS]]</f>
        <v>-24.312406576980578</v>
      </c>
      <c r="K11" s="151" t="s">
        <v>185</v>
      </c>
      <c r="L11" s="163">
        <f t="shared" si="10"/>
        <v>141387.24215246635</v>
      </c>
      <c r="M11" s="162" t="str">
        <f>+VLOOKUP(C11,Lista!B:D,3,0)</f>
        <v>MICRO</v>
      </c>
      <c r="N11" s="365">
        <f t="shared" si="11"/>
        <v>12465.78947368421</v>
      </c>
      <c r="O11" s="50">
        <f t="shared" si="12"/>
        <v>11</v>
      </c>
      <c r="P11" s="47">
        <f t="shared" si="13"/>
        <v>241.68759342301942</v>
      </c>
      <c r="Q11" s="49">
        <f t="shared" si="14"/>
        <v>266</v>
      </c>
      <c r="R11" s="51">
        <f t="shared" si="15"/>
        <v>241.68759342301942</v>
      </c>
      <c r="S11" s="46">
        <f t="shared" si="16"/>
        <v>132928.17638266069</v>
      </c>
      <c r="T11" t="str">
        <f t="shared" si="17"/>
        <v xml:space="preserve">3 Descuentos (Conduct y usuarios desubicados) </v>
      </c>
      <c r="U11">
        <f t="shared" si="18"/>
        <v>30</v>
      </c>
      <c r="Y11" t="str">
        <f>TRIM(Tabla2[[#This Row],[CONDUCTOR]])</f>
        <v>LOPEZ PINEDA DANIEL ESTIVEN</v>
      </c>
    </row>
    <row r="12" spans="1:32" x14ac:dyDescent="0.2">
      <c r="B12" s="136" t="s">
        <v>121</v>
      </c>
      <c r="C12" s="166">
        <v>7</v>
      </c>
      <c r="D12" s="151" t="s">
        <v>173</v>
      </c>
      <c r="E12" s="150">
        <v>12</v>
      </c>
      <c r="F12" s="150">
        <v>0</v>
      </c>
      <c r="G12" s="165">
        <v>298</v>
      </c>
      <c r="H12" s="226">
        <f t="shared" si="8"/>
        <v>24.833333333333332</v>
      </c>
      <c r="I12" s="227">
        <f t="shared" si="9"/>
        <v>275.65919282511209</v>
      </c>
      <c r="J12" s="363">
        <f>+Tabla2[[#This Row],[PROM DE USUARIOS]]-Tabla2[[#This Row],[USUARIOS]]</f>
        <v>-22.340807174887914</v>
      </c>
      <c r="K12" s="151"/>
      <c r="L12" s="163">
        <f t="shared" si="10"/>
        <v>154240.62780269058</v>
      </c>
      <c r="M12" s="162">
        <f>+VLOOKUP(C12,Lista!B:D,3,0)</f>
        <v>0</v>
      </c>
      <c r="N12" s="365">
        <f t="shared" si="11"/>
        <v>12465.78947368421</v>
      </c>
      <c r="O12" s="50">
        <f t="shared" si="12"/>
        <v>12</v>
      </c>
      <c r="P12" s="47">
        <f t="shared" si="13"/>
        <v>263.65919282511209</v>
      </c>
      <c r="Q12" s="49">
        <f t="shared" si="14"/>
        <v>286</v>
      </c>
      <c r="R12" s="51">
        <f t="shared" si="15"/>
        <v>263.65919282511209</v>
      </c>
      <c r="S12" s="46">
        <f t="shared" si="16"/>
        <v>145012.55605381166</v>
      </c>
      <c r="T12" t="str">
        <f t="shared" si="17"/>
        <v/>
      </c>
      <c r="U12">
        <f t="shared" si="18"/>
        <v>27</v>
      </c>
      <c r="Y12" t="str">
        <f>TRIM(Tabla2[[#This Row],[CONDUCTOR]])</f>
        <v>TUBERQUIA URREGO HAROL</v>
      </c>
    </row>
    <row r="13" spans="1:32" x14ac:dyDescent="0.2">
      <c r="B13" s="136" t="s">
        <v>122</v>
      </c>
      <c r="C13" s="166">
        <v>8</v>
      </c>
      <c r="D13" s="151" t="s">
        <v>179</v>
      </c>
      <c r="E13" s="150">
        <v>10</v>
      </c>
      <c r="F13" s="150">
        <v>0</v>
      </c>
      <c r="G13" s="165">
        <v>214</v>
      </c>
      <c r="H13" s="226">
        <f t="shared" si="8"/>
        <v>21.4</v>
      </c>
      <c r="I13" s="227">
        <f t="shared" si="9"/>
        <v>229.71599402092676</v>
      </c>
      <c r="J13" s="363">
        <f>+Tabla2[[#This Row],[PROM DE USUARIOS]]-Tabla2[[#This Row],[USUARIOS]]</f>
        <v>15.715994020926757</v>
      </c>
      <c r="K13" s="151" t="s">
        <v>186</v>
      </c>
      <c r="L13" s="163">
        <f t="shared" si="10"/>
        <v>128533.85650224215</v>
      </c>
      <c r="M13" s="162">
        <f>+VLOOKUP(C13,Lista!B:D,3,0)</f>
        <v>0</v>
      </c>
      <c r="N13" s="365">
        <f t="shared" si="11"/>
        <v>12465.78947368421</v>
      </c>
      <c r="O13" s="50">
        <f t="shared" si="12"/>
        <v>10</v>
      </c>
      <c r="P13" s="47">
        <f t="shared" si="13"/>
        <v>219.71599402092676</v>
      </c>
      <c r="Q13" s="49">
        <f t="shared" si="14"/>
        <v>204</v>
      </c>
      <c r="R13" s="51">
        <f t="shared" si="15"/>
        <v>219.71599402092676</v>
      </c>
      <c r="S13" s="46">
        <f t="shared" si="16"/>
        <v>120843.79671150971</v>
      </c>
      <c r="T13" t="str">
        <f t="shared" si="17"/>
        <v xml:space="preserve">1 Descuento (Despachador) </v>
      </c>
      <c r="U13">
        <f t="shared" si="18"/>
        <v>10</v>
      </c>
      <c r="Y13" t="str">
        <f>TRIM(Tabla2[[#This Row],[CONDUCTOR]])</f>
        <v>GONZALEZ PEREZ RAFAEL JOSE</v>
      </c>
    </row>
    <row r="14" spans="1:32" x14ac:dyDescent="0.2">
      <c r="B14" s="136" t="s">
        <v>121</v>
      </c>
      <c r="C14" s="166">
        <v>9</v>
      </c>
      <c r="D14" s="151" t="s">
        <v>180</v>
      </c>
      <c r="E14" s="150">
        <v>8</v>
      </c>
      <c r="F14" s="150">
        <v>0</v>
      </c>
      <c r="G14" s="165">
        <v>176</v>
      </c>
      <c r="H14" s="226">
        <f t="shared" si="8"/>
        <v>22</v>
      </c>
      <c r="I14" s="227">
        <f t="shared" si="9"/>
        <v>183.7727952167414</v>
      </c>
      <c r="J14" s="363">
        <f>+Tabla2[[#This Row],[PROM DE USUARIOS]]-Tabla2[[#This Row],[USUARIOS]]</f>
        <v>7.7727952167414003</v>
      </c>
      <c r="K14" s="151" t="s">
        <v>186</v>
      </c>
      <c r="L14" s="163">
        <f t="shared" si="10"/>
        <v>102827.08520179371</v>
      </c>
      <c r="M14" s="162" t="str">
        <f>+VLOOKUP(C14,Lista!B:D,3,0)</f>
        <v>MICRO</v>
      </c>
      <c r="N14" s="365">
        <f t="shared" si="11"/>
        <v>12465.78947368421</v>
      </c>
      <c r="O14" s="50">
        <f t="shared" si="12"/>
        <v>8</v>
      </c>
      <c r="P14" s="47">
        <f t="shared" si="13"/>
        <v>175.7727952167414</v>
      </c>
      <c r="Q14" s="49">
        <f t="shared" si="14"/>
        <v>168</v>
      </c>
      <c r="R14" s="51">
        <f t="shared" si="15"/>
        <v>175.7727952167414</v>
      </c>
      <c r="S14" s="46">
        <f t="shared" si="16"/>
        <v>96675.03736920777</v>
      </c>
      <c r="T14" t="str">
        <f t="shared" si="17"/>
        <v xml:space="preserve">1 Descuento (Despachador) </v>
      </c>
      <c r="U14">
        <f t="shared" si="18"/>
        <v>15</v>
      </c>
      <c r="Y14" t="str">
        <f>TRIM(Tabla2[[#This Row],[CONDUCTOR]])</f>
        <v>CARTAGENA RAMIREZ FREDY ALONSO</v>
      </c>
    </row>
    <row r="15" spans="1:32" x14ac:dyDescent="0.2">
      <c r="B15" s="136" t="s">
        <v>122</v>
      </c>
      <c r="C15" s="166">
        <v>11</v>
      </c>
      <c r="D15" s="151" t="s">
        <v>165</v>
      </c>
      <c r="E15" s="150">
        <v>9</v>
      </c>
      <c r="F15" s="150">
        <v>0</v>
      </c>
      <c r="G15" s="165">
        <v>247</v>
      </c>
      <c r="H15" s="226">
        <f t="shared" si="8"/>
        <v>27.444444444444443</v>
      </c>
      <c r="I15" s="227">
        <f t="shared" si="9"/>
        <v>206.74439461883406</v>
      </c>
      <c r="J15" s="363">
        <f>+Tabla2[[#This Row],[PROM DE USUARIOS]]-Tabla2[[#This Row],[USUARIOS]]</f>
        <v>-40.255605381165935</v>
      </c>
      <c r="K15" s="151"/>
      <c r="L15" s="163">
        <f t="shared" si="10"/>
        <v>115680.47085201793</v>
      </c>
      <c r="M15" s="162" t="str">
        <f>+VLOOKUP(C15,Lista!B:D,3,0)</f>
        <v>MICRO</v>
      </c>
      <c r="N15" s="365">
        <f t="shared" si="11"/>
        <v>12465.78947368421</v>
      </c>
      <c r="O15" s="50">
        <f t="shared" si="12"/>
        <v>9</v>
      </c>
      <c r="P15" s="47">
        <f t="shared" si="13"/>
        <v>197.74439461883406</v>
      </c>
      <c r="Q15" s="49">
        <f t="shared" si="14"/>
        <v>238</v>
      </c>
      <c r="R15" s="51">
        <f t="shared" si="15"/>
        <v>197.74439461883406</v>
      </c>
      <c r="S15" s="46">
        <f t="shared" si="16"/>
        <v>108759.41704035873</v>
      </c>
      <c r="T15" t="str">
        <f t="shared" si="17"/>
        <v/>
      </c>
      <c r="U15">
        <f t="shared" si="18"/>
        <v>35</v>
      </c>
      <c r="Y15" t="str">
        <f>TRIM(Tabla2[[#This Row],[CONDUCTOR]])</f>
        <v>YEPES TORRES JHON ALEXANDER</v>
      </c>
    </row>
    <row r="16" spans="1:32" x14ac:dyDescent="0.2">
      <c r="B16" s="136" t="s">
        <v>121</v>
      </c>
      <c r="C16" s="166">
        <v>12</v>
      </c>
      <c r="D16" s="151" t="s">
        <v>175</v>
      </c>
      <c r="E16" s="150">
        <v>2.5</v>
      </c>
      <c r="F16" s="150">
        <v>0.5</v>
      </c>
      <c r="G16" s="165">
        <v>76</v>
      </c>
      <c r="H16" s="226">
        <f t="shared" si="8"/>
        <v>30.4</v>
      </c>
      <c r="I16" s="227">
        <f t="shared" si="9"/>
        <v>57.428998505231689</v>
      </c>
      <c r="J16" s="363">
        <f>+Tabla2[[#This Row],[PROM DE USUARIOS]]-Tabla2[[#This Row],[USUARIOS]]</f>
        <v>-18.571001494768311</v>
      </c>
      <c r="K16" s="151"/>
      <c r="L16" s="163">
        <f t="shared" si="10"/>
        <v>32133.464125560538</v>
      </c>
      <c r="M16" s="162">
        <f>+VLOOKUP(C16,Lista!B:D,3,0)</f>
        <v>0</v>
      </c>
      <c r="N16" s="365">
        <f t="shared" si="11"/>
        <v>12465.78947368421</v>
      </c>
      <c r="O16" s="50">
        <f t="shared" si="12"/>
        <v>2.5</v>
      </c>
      <c r="P16" s="47">
        <f t="shared" si="13"/>
        <v>54.928998505231689</v>
      </c>
      <c r="Q16" s="49">
        <f t="shared" si="14"/>
        <v>73.5</v>
      </c>
      <c r="R16" s="51">
        <f t="shared" si="15"/>
        <v>54.928998505231689</v>
      </c>
      <c r="S16" s="46">
        <f t="shared" si="16"/>
        <v>30210.949177877428</v>
      </c>
      <c r="T16" t="str">
        <f t="shared" si="17"/>
        <v/>
      </c>
      <c r="U16">
        <f t="shared" si="18"/>
        <v>39</v>
      </c>
      <c r="Y16" t="str">
        <f>TRIM(Tabla2[[#This Row],[CONDUCTOR]])</f>
        <v>DAVID HENRY GIOVANNY</v>
      </c>
    </row>
    <row r="17" spans="2:25" x14ac:dyDescent="0.2">
      <c r="B17" s="136" t="s">
        <v>122</v>
      </c>
      <c r="C17" s="166">
        <v>14</v>
      </c>
      <c r="D17" s="151" t="s">
        <v>120</v>
      </c>
      <c r="E17" s="150">
        <v>7</v>
      </c>
      <c r="F17" s="150">
        <v>0</v>
      </c>
      <c r="G17" s="165">
        <v>172</v>
      </c>
      <c r="H17" s="226">
        <f t="shared" si="8"/>
        <v>24.571428571428573</v>
      </c>
      <c r="I17" s="227">
        <f t="shared" si="9"/>
        <v>160.80119581464874</v>
      </c>
      <c r="J17" s="363">
        <f>+Tabla2[[#This Row],[PROM DE USUARIOS]]-Tabla2[[#This Row],[USUARIOS]]</f>
        <v>-11.198804185351264</v>
      </c>
      <c r="K17" s="151" t="s">
        <v>187</v>
      </c>
      <c r="L17" s="163">
        <f t="shared" si="10"/>
        <v>89973.699551569516</v>
      </c>
      <c r="M17" s="162">
        <f>+VLOOKUP(C17,Lista!B:D,3,0)</f>
        <v>0</v>
      </c>
      <c r="N17" s="365">
        <f t="shared" si="11"/>
        <v>12465.78947368421</v>
      </c>
      <c r="O17" s="50">
        <f t="shared" si="12"/>
        <v>7</v>
      </c>
      <c r="P17" s="47">
        <f t="shared" si="13"/>
        <v>153.80119581464874</v>
      </c>
      <c r="Q17" s="49">
        <f t="shared" si="14"/>
        <v>165</v>
      </c>
      <c r="R17" s="51">
        <f t="shared" si="15"/>
        <v>153.80119581464874</v>
      </c>
      <c r="S17" s="46">
        <f t="shared" si="16"/>
        <v>84590.657698056806</v>
      </c>
      <c r="T17" t="str">
        <f t="shared" si="17"/>
        <v xml:space="preserve">1 Descuento (Usuario desubicado) </v>
      </c>
      <c r="U17">
        <f t="shared" si="18"/>
        <v>26</v>
      </c>
      <c r="Y17" t="str">
        <f>TRIM(Tabla2[[#This Row],[CONDUCTOR]])</f>
        <v>DURANGO PAEZ GILDARDO</v>
      </c>
    </row>
    <row r="18" spans="2:25" x14ac:dyDescent="0.2">
      <c r="B18" s="136" t="s">
        <v>121</v>
      </c>
      <c r="C18" s="166">
        <v>15</v>
      </c>
      <c r="D18" s="151" t="s">
        <v>181</v>
      </c>
      <c r="E18" s="150">
        <v>7</v>
      </c>
      <c r="F18" s="150">
        <v>0</v>
      </c>
      <c r="G18" s="165">
        <v>163</v>
      </c>
      <c r="H18" s="226">
        <f t="shared" si="8"/>
        <v>23.285714285714285</v>
      </c>
      <c r="I18" s="227">
        <f t="shared" si="9"/>
        <v>160.80119581464874</v>
      </c>
      <c r="J18" s="363">
        <f>+Tabla2[[#This Row],[PROM DE USUARIOS]]-Tabla2[[#This Row],[USUARIOS]]</f>
        <v>-2.1988041853512641</v>
      </c>
      <c r="K18" s="151" t="s">
        <v>188</v>
      </c>
      <c r="L18" s="163">
        <f t="shared" si="10"/>
        <v>89973.699551569516</v>
      </c>
      <c r="M18" s="162">
        <f>+VLOOKUP(C18,Lista!B:D,3,0)</f>
        <v>0</v>
      </c>
      <c r="N18" s="365">
        <f t="shared" si="11"/>
        <v>12465.78947368421</v>
      </c>
      <c r="O18" s="50">
        <f t="shared" si="12"/>
        <v>7</v>
      </c>
      <c r="P18" s="47">
        <f t="shared" si="13"/>
        <v>153.80119581464874</v>
      </c>
      <c r="Q18" s="49">
        <f t="shared" si="14"/>
        <v>156</v>
      </c>
      <c r="R18" s="51">
        <f t="shared" si="15"/>
        <v>153.80119581464874</v>
      </c>
      <c r="S18" s="46">
        <f t="shared" si="16"/>
        <v>84590.657698056806</v>
      </c>
      <c r="T18" t="str">
        <f t="shared" si="17"/>
        <v xml:space="preserve">1 Descuento (Asociado) </v>
      </c>
      <c r="U18">
        <f t="shared" si="18"/>
        <v>23</v>
      </c>
      <c r="Y18" t="str">
        <f>TRIM(Tabla2[[#This Row],[CONDUCTOR]])</f>
        <v>HERNANDEZ MACIAS GILBERTO</v>
      </c>
    </row>
    <row r="19" spans="2:25" x14ac:dyDescent="0.2">
      <c r="B19" s="136" t="s">
        <v>122</v>
      </c>
      <c r="C19" s="166">
        <v>16</v>
      </c>
      <c r="D19" s="151" t="s">
        <v>156</v>
      </c>
      <c r="E19" s="150">
        <v>10</v>
      </c>
      <c r="F19" s="150">
        <v>0</v>
      </c>
      <c r="G19" s="165">
        <v>240</v>
      </c>
      <c r="H19" s="226">
        <f t="shared" si="8"/>
        <v>24</v>
      </c>
      <c r="I19" s="227">
        <f t="shared" si="9"/>
        <v>229.71599402092676</v>
      </c>
      <c r="J19" s="363">
        <f>+Tabla2[[#This Row],[PROM DE USUARIOS]]-Tabla2[[#This Row],[USUARIOS]]</f>
        <v>-10.284005979073243</v>
      </c>
      <c r="K19" s="151"/>
      <c r="L19" s="163">
        <f t="shared" si="10"/>
        <v>128533.85650224215</v>
      </c>
      <c r="M19" s="162" t="str">
        <f>+VLOOKUP(C19,Lista!B:D,3,0)</f>
        <v>MICRO</v>
      </c>
      <c r="N19" s="365">
        <f t="shared" si="11"/>
        <v>12465.78947368421</v>
      </c>
      <c r="O19" s="50">
        <f t="shared" si="12"/>
        <v>10</v>
      </c>
      <c r="P19" s="47">
        <f t="shared" si="13"/>
        <v>219.71599402092676</v>
      </c>
      <c r="Q19" s="49">
        <f t="shared" si="14"/>
        <v>230</v>
      </c>
      <c r="R19" s="51">
        <f t="shared" si="15"/>
        <v>219.71599402092676</v>
      </c>
      <c r="S19" s="46">
        <f t="shared" si="16"/>
        <v>120843.79671150971</v>
      </c>
      <c r="T19" t="str">
        <f t="shared" si="17"/>
        <v/>
      </c>
      <c r="U19">
        <f t="shared" si="18"/>
        <v>25</v>
      </c>
      <c r="Y19" t="str">
        <f>TRIM(Tabla2[[#This Row],[CONDUCTOR]])</f>
        <v>PEREZ GARCIA JUAN ESTEBAN</v>
      </c>
    </row>
    <row r="20" spans="2:25" x14ac:dyDescent="0.2">
      <c r="B20" s="136" t="s">
        <v>121</v>
      </c>
      <c r="C20" s="166">
        <v>17</v>
      </c>
      <c r="D20" s="151" t="s">
        <v>163</v>
      </c>
      <c r="E20" s="150">
        <v>10</v>
      </c>
      <c r="F20" s="150">
        <v>0</v>
      </c>
      <c r="G20" s="165">
        <v>259</v>
      </c>
      <c r="H20" s="226">
        <f t="shared" si="8"/>
        <v>25.9</v>
      </c>
      <c r="I20" s="227">
        <f t="shared" si="9"/>
        <v>229.71599402092676</v>
      </c>
      <c r="J20" s="363">
        <f>+Tabla2[[#This Row],[PROM DE USUARIOS]]-Tabla2[[#This Row],[USUARIOS]]</f>
        <v>-29.284005979073243</v>
      </c>
      <c r="K20" s="151"/>
      <c r="L20" s="163">
        <f t="shared" si="10"/>
        <v>128533.85650224215</v>
      </c>
      <c r="M20" s="162" t="str">
        <f>+VLOOKUP(C20,Lista!B:D,3,0)</f>
        <v>MICRO</v>
      </c>
      <c r="N20" s="365">
        <f t="shared" si="11"/>
        <v>12465.78947368421</v>
      </c>
      <c r="O20" s="50">
        <f t="shared" si="12"/>
        <v>10</v>
      </c>
      <c r="P20" s="47">
        <f t="shared" si="13"/>
        <v>219.71599402092676</v>
      </c>
      <c r="Q20" s="49">
        <f t="shared" si="14"/>
        <v>249</v>
      </c>
      <c r="R20" s="51">
        <f t="shared" si="15"/>
        <v>219.71599402092676</v>
      </c>
      <c r="S20" s="46">
        <f t="shared" si="16"/>
        <v>120843.79671150971</v>
      </c>
      <c r="T20" t="str">
        <f t="shared" si="17"/>
        <v/>
      </c>
      <c r="U20">
        <f t="shared" si="18"/>
        <v>31</v>
      </c>
      <c r="Y20" t="str">
        <f>TRIM(Tabla2[[#This Row],[CONDUCTOR]])</f>
        <v>PARRA VILLA YUBER ALONSO</v>
      </c>
    </row>
    <row r="21" spans="2:25" x14ac:dyDescent="0.2">
      <c r="B21" s="136" t="s">
        <v>122</v>
      </c>
      <c r="C21" s="137">
        <v>18</v>
      </c>
      <c r="D21" s="151" t="s">
        <v>151</v>
      </c>
      <c r="E21" s="150">
        <v>9</v>
      </c>
      <c r="F21" s="150">
        <v>0</v>
      </c>
      <c r="G21" s="165">
        <v>195</v>
      </c>
      <c r="H21" s="226">
        <f t="shared" si="8"/>
        <v>21.666666666666668</v>
      </c>
      <c r="I21" s="227">
        <f t="shared" si="9"/>
        <v>206.74439461883406</v>
      </c>
      <c r="J21" s="363">
        <f>+Tabla2[[#This Row],[PROM DE USUARIOS]]-Tabla2[[#This Row],[USUARIOS]]</f>
        <v>11.744394618834065</v>
      </c>
      <c r="K21" s="151"/>
      <c r="L21" s="163">
        <f t="shared" si="10"/>
        <v>115680.47085201793</v>
      </c>
      <c r="M21" s="162" t="str">
        <f>+VLOOKUP(C21,Lista!B:D,3,0)</f>
        <v>MICRO</v>
      </c>
      <c r="N21" s="365">
        <f t="shared" si="11"/>
        <v>12465.78947368421</v>
      </c>
      <c r="O21" s="50">
        <f t="shared" si="12"/>
        <v>9</v>
      </c>
      <c r="P21" s="47">
        <f t="shared" si="13"/>
        <v>197.74439461883406</v>
      </c>
      <c r="Q21" s="49">
        <f t="shared" si="14"/>
        <v>186</v>
      </c>
      <c r="R21" s="51">
        <f t="shared" si="15"/>
        <v>197.74439461883406</v>
      </c>
      <c r="S21" s="46">
        <f t="shared" si="16"/>
        <v>108759.41704035873</v>
      </c>
      <c r="T21" t="str">
        <f t="shared" si="17"/>
        <v/>
      </c>
      <c r="U21">
        <f t="shared" si="18"/>
        <v>12</v>
      </c>
      <c r="Y21" t="str">
        <f>TRIM(Tabla2[[#This Row],[CONDUCTOR]])</f>
        <v>ALBERTO ARISTIZABAL RAFAEL</v>
      </c>
    </row>
    <row r="22" spans="2:25" x14ac:dyDescent="0.2">
      <c r="B22" s="136" t="s">
        <v>121</v>
      </c>
      <c r="C22" s="137">
        <v>19</v>
      </c>
      <c r="D22" s="151" t="s">
        <v>182</v>
      </c>
      <c r="E22" s="150">
        <v>9</v>
      </c>
      <c r="F22" s="150">
        <v>0</v>
      </c>
      <c r="G22" s="165">
        <v>150</v>
      </c>
      <c r="H22" s="226">
        <f t="shared" si="8"/>
        <v>16.666666666666668</v>
      </c>
      <c r="I22" s="227">
        <f t="shared" si="9"/>
        <v>206.74439461883406</v>
      </c>
      <c r="J22" s="363">
        <f>+Tabla2[[#This Row],[PROM DE USUARIOS]]-Tabla2[[#This Row],[USUARIOS]]</f>
        <v>56.744394618834065</v>
      </c>
      <c r="K22" s="151"/>
      <c r="L22" s="163">
        <f t="shared" si="10"/>
        <v>115680.47085201793</v>
      </c>
      <c r="M22" s="162" t="str">
        <f>+VLOOKUP(C22,Lista!B:D,3,0)</f>
        <v>MICRO</v>
      </c>
      <c r="N22" s="365">
        <f t="shared" si="11"/>
        <v>12465.78947368421</v>
      </c>
      <c r="O22" s="50">
        <f t="shared" si="12"/>
        <v>9</v>
      </c>
      <c r="P22" s="47">
        <f t="shared" si="13"/>
        <v>197.74439461883406</v>
      </c>
      <c r="Q22" s="49">
        <f t="shared" si="14"/>
        <v>141</v>
      </c>
      <c r="R22" s="51">
        <f t="shared" si="15"/>
        <v>197.74439461883406</v>
      </c>
      <c r="S22" s="46">
        <f t="shared" si="16"/>
        <v>108759.41704035873</v>
      </c>
      <c r="T22" t="str">
        <f t="shared" si="17"/>
        <v/>
      </c>
      <c r="U22">
        <f t="shared" si="18"/>
        <v>3</v>
      </c>
      <c r="Y22" t="str">
        <f>TRIM(Tabla2[[#This Row],[CONDUCTOR]])</f>
        <v>MACEA ARBELAEZ MATEO</v>
      </c>
    </row>
    <row r="23" spans="2:25" x14ac:dyDescent="0.2">
      <c r="B23" s="136" t="s">
        <v>122</v>
      </c>
      <c r="C23" s="166">
        <v>20</v>
      </c>
      <c r="D23" s="151" t="s">
        <v>157</v>
      </c>
      <c r="E23" s="150">
        <v>9</v>
      </c>
      <c r="F23" s="150">
        <v>0</v>
      </c>
      <c r="G23" s="165">
        <v>192</v>
      </c>
      <c r="H23" s="226">
        <f t="shared" si="8"/>
        <v>21.333333333333332</v>
      </c>
      <c r="I23" s="227">
        <f t="shared" si="9"/>
        <v>206.74439461883406</v>
      </c>
      <c r="J23" s="363">
        <f>+Tabla2[[#This Row],[PROM DE USUARIOS]]-Tabla2[[#This Row],[USUARIOS]]</f>
        <v>14.744394618834065</v>
      </c>
      <c r="K23" s="151"/>
      <c r="L23" s="163">
        <f t="shared" si="10"/>
        <v>115680.47085201793</v>
      </c>
      <c r="M23" s="162" t="str">
        <f>+VLOOKUP(C23,Lista!B:D,3,0)</f>
        <v>MICRO</v>
      </c>
      <c r="N23" s="365">
        <f t="shared" si="11"/>
        <v>12465.78947368421</v>
      </c>
      <c r="O23" s="50">
        <f t="shared" si="12"/>
        <v>9</v>
      </c>
      <c r="P23" s="47">
        <f t="shared" si="13"/>
        <v>197.74439461883406</v>
      </c>
      <c r="Q23" s="49">
        <f t="shared" si="14"/>
        <v>183</v>
      </c>
      <c r="R23" s="51">
        <f t="shared" si="15"/>
        <v>197.74439461883406</v>
      </c>
      <c r="S23" s="46">
        <f t="shared" si="16"/>
        <v>108759.41704035873</v>
      </c>
      <c r="T23" t="str">
        <f t="shared" si="17"/>
        <v/>
      </c>
      <c r="U23">
        <f t="shared" si="18"/>
        <v>9</v>
      </c>
      <c r="Y23" t="str">
        <f>TRIM(Tabla2[[#This Row],[CONDUCTOR]])</f>
        <v>MURILLO YORMAN ANDRES</v>
      </c>
    </row>
    <row r="24" spans="2:25" s="2" customFormat="1" ht="33.75" x14ac:dyDescent="0.2">
      <c r="B24" s="136" t="s">
        <v>121</v>
      </c>
      <c r="C24" s="166">
        <v>21</v>
      </c>
      <c r="D24" s="136" t="s">
        <v>184</v>
      </c>
      <c r="E24" s="150">
        <v>12</v>
      </c>
      <c r="F24" s="150">
        <v>0.5</v>
      </c>
      <c r="G24" s="374">
        <v>266</v>
      </c>
      <c r="H24" s="375">
        <f t="shared" si="8"/>
        <v>22.166666666666668</v>
      </c>
      <c r="I24" s="376">
        <f t="shared" si="9"/>
        <v>275.65919282511209</v>
      </c>
      <c r="J24" s="377">
        <f>+Tabla2[[#This Row],[PROM DE USUARIOS]]-Tabla2[[#This Row],[USUARIOS]]</f>
        <v>9.6591928251120862</v>
      </c>
      <c r="K24" s="378" t="s">
        <v>197</v>
      </c>
      <c r="L24" s="163">
        <f t="shared" si="10"/>
        <v>147813.81780269058</v>
      </c>
      <c r="M24" s="162" t="str">
        <f>+VLOOKUP(C24,Lista!B:D,3,0)</f>
        <v>MICRO</v>
      </c>
      <c r="N24" s="365">
        <f t="shared" si="11"/>
        <v>12465.78947368421</v>
      </c>
      <c r="O24" s="50">
        <f t="shared" si="12"/>
        <v>11.5</v>
      </c>
      <c r="P24" s="47">
        <f t="shared" si="13"/>
        <v>252.6731928251121</v>
      </c>
      <c r="Q24" s="49">
        <f t="shared" si="14"/>
        <v>254.5</v>
      </c>
      <c r="R24" s="51">
        <f t="shared" si="15"/>
        <v>263.65919282511209</v>
      </c>
      <c r="S24" s="46">
        <f t="shared" si="16"/>
        <v>145012.55605381166</v>
      </c>
      <c r="T24" s="2" t="str">
        <f t="shared" si="17"/>
        <v>Se descuenta 0.5 viaje de 1 37 pm ya que abandona ruta sin autorización. JOSE DURANGO Realizó 3 viajes donde movilizó 50 Usuarios.</v>
      </c>
      <c r="U24" s="2">
        <f t="shared" si="18"/>
        <v>18</v>
      </c>
      <c r="V24" s="2">
        <v>0.5</v>
      </c>
      <c r="W24" s="379">
        <v>11.486000000000001</v>
      </c>
      <c r="Y24" s="2" t="str">
        <f>TRIM(Tabla2[[#This Row],[CONDUCTOR]])</f>
        <v>MACIAS HERNANDEZ JULIAN DAVID</v>
      </c>
    </row>
    <row r="25" spans="2:25" x14ac:dyDescent="0.2">
      <c r="B25" s="136" t="s">
        <v>122</v>
      </c>
      <c r="C25" s="137">
        <v>22</v>
      </c>
      <c r="D25" s="151" t="s">
        <v>178</v>
      </c>
      <c r="E25" s="150">
        <v>9</v>
      </c>
      <c r="F25" s="150">
        <v>0</v>
      </c>
      <c r="G25" s="146">
        <v>201</v>
      </c>
      <c r="H25" s="226">
        <f t="shared" si="8"/>
        <v>22.333333333333332</v>
      </c>
      <c r="I25" s="227">
        <f t="shared" si="9"/>
        <v>206.74439461883406</v>
      </c>
      <c r="J25" s="363">
        <f>+Tabla2[[#This Row],[PROM DE USUARIOS]]-Tabla2[[#This Row],[USUARIOS]]</f>
        <v>5.7443946188340647</v>
      </c>
      <c r="K25" s="151"/>
      <c r="L25" s="163">
        <f t="shared" si="10"/>
        <v>115680.47085201793</v>
      </c>
      <c r="M25" s="162">
        <f>+VLOOKUP(C25,Lista!B:D,3,0)</f>
        <v>0</v>
      </c>
      <c r="N25" s="365">
        <f t="shared" si="11"/>
        <v>12465.78947368421</v>
      </c>
      <c r="O25" s="50">
        <f t="shared" si="12"/>
        <v>9</v>
      </c>
      <c r="P25" s="47">
        <f t="shared" si="13"/>
        <v>197.74439461883406</v>
      </c>
      <c r="Q25" s="49">
        <f t="shared" si="14"/>
        <v>192</v>
      </c>
      <c r="R25" s="51">
        <f t="shared" si="15"/>
        <v>197.74439461883406</v>
      </c>
      <c r="S25" s="46">
        <f t="shared" si="16"/>
        <v>108759.41704035873</v>
      </c>
      <c r="T25" t="str">
        <f t="shared" si="17"/>
        <v/>
      </c>
      <c r="U25">
        <f t="shared" si="18"/>
        <v>19</v>
      </c>
      <c r="Y25" t="str">
        <f>TRIM(Tabla2[[#This Row],[CONDUCTOR]])</f>
        <v>VALENCIA MENDOZA JHON</v>
      </c>
    </row>
    <row r="26" spans="2:25" x14ac:dyDescent="0.2">
      <c r="B26" s="136" t="s">
        <v>121</v>
      </c>
      <c r="C26" s="137">
        <v>23</v>
      </c>
      <c r="D26" s="151" t="s">
        <v>162</v>
      </c>
      <c r="E26" s="150">
        <v>7.5</v>
      </c>
      <c r="F26" s="150">
        <v>0.5</v>
      </c>
      <c r="G26" s="146">
        <v>166</v>
      </c>
      <c r="H26" s="226">
        <f t="shared" si="8"/>
        <v>22.133333333333333</v>
      </c>
      <c r="I26" s="227">
        <f t="shared" si="9"/>
        <v>172.28699551569505</v>
      </c>
      <c r="J26" s="363">
        <f>+Tabla2[[#This Row],[PROM DE USUARIOS]]-Tabla2[[#This Row],[USUARIOS]]</f>
        <v>6.2869955156950539</v>
      </c>
      <c r="K26" s="151"/>
      <c r="L26" s="163">
        <f t="shared" si="10"/>
        <v>96400.392376681601</v>
      </c>
      <c r="M26" s="162" t="str">
        <f>+VLOOKUP(C26,Lista!B:D,3,0)</f>
        <v xml:space="preserve">MICRO </v>
      </c>
      <c r="N26" s="365">
        <f t="shared" si="11"/>
        <v>12465.78947368421</v>
      </c>
      <c r="O26" s="50">
        <f t="shared" si="12"/>
        <v>7.5</v>
      </c>
      <c r="P26" s="47">
        <f t="shared" si="13"/>
        <v>164.78699551569505</v>
      </c>
      <c r="Q26" s="49">
        <f t="shared" si="14"/>
        <v>158.5</v>
      </c>
      <c r="R26" s="51">
        <f t="shared" si="15"/>
        <v>164.78699551569505</v>
      </c>
      <c r="S26" s="46">
        <f t="shared" si="16"/>
        <v>90632.847533632274</v>
      </c>
      <c r="T26" t="str">
        <f t="shared" si="17"/>
        <v/>
      </c>
      <c r="U26">
        <f t="shared" si="18"/>
        <v>17</v>
      </c>
      <c r="Y26" t="str">
        <f>TRIM(Tabla2[[#This Row],[CONDUCTOR]])</f>
        <v>SALDARRIAGA PARRA LUIS ALBERTO</v>
      </c>
    </row>
    <row r="27" spans="2:25" x14ac:dyDescent="0.2">
      <c r="B27" s="136" t="s">
        <v>122</v>
      </c>
      <c r="C27" s="166">
        <v>24</v>
      </c>
      <c r="D27" s="151" t="s">
        <v>152</v>
      </c>
      <c r="E27" s="150">
        <v>9</v>
      </c>
      <c r="F27" s="150">
        <v>0</v>
      </c>
      <c r="G27" s="146">
        <v>179</v>
      </c>
      <c r="H27" s="226">
        <f t="shared" si="8"/>
        <v>19.888888888888889</v>
      </c>
      <c r="I27" s="227">
        <f t="shared" si="9"/>
        <v>206.74439461883406</v>
      </c>
      <c r="J27" s="363">
        <f>+Tabla2[[#This Row],[PROM DE USUARIOS]]-Tabla2[[#This Row],[USUARIOS]]</f>
        <v>27.744394618834065</v>
      </c>
      <c r="K27" s="151" t="s">
        <v>189</v>
      </c>
      <c r="L27" s="163">
        <f t="shared" si="10"/>
        <v>115680.47085201793</v>
      </c>
      <c r="M27" s="162" t="str">
        <f>+VLOOKUP(C27,Lista!B:D,3,0)</f>
        <v>MICRO</v>
      </c>
      <c r="N27" s="365">
        <f t="shared" si="11"/>
        <v>12465.78947368421</v>
      </c>
      <c r="O27" s="50">
        <f t="shared" si="12"/>
        <v>9</v>
      </c>
      <c r="P27" s="47">
        <f t="shared" si="13"/>
        <v>197.74439461883406</v>
      </c>
      <c r="Q27" s="49">
        <f t="shared" si="14"/>
        <v>170</v>
      </c>
      <c r="R27" s="51">
        <f t="shared" si="15"/>
        <v>197.74439461883406</v>
      </c>
      <c r="S27" s="46">
        <f t="shared" si="16"/>
        <v>108759.41704035873</v>
      </c>
      <c r="T27" t="str">
        <f t="shared" si="17"/>
        <v xml:space="preserve">2 Descuentos (Usuarios desubicados) </v>
      </c>
      <c r="U27">
        <f t="shared" si="18"/>
        <v>5</v>
      </c>
      <c r="Y27" t="str">
        <f>TRIM(Tabla2[[#This Row],[CONDUCTOR]])</f>
        <v>JIMENEZ HERNANDEZ ESTEBAN CAMILO</v>
      </c>
    </row>
    <row r="28" spans="2:25" x14ac:dyDescent="0.2">
      <c r="B28" s="136" t="s">
        <v>121</v>
      </c>
      <c r="C28" s="137">
        <v>25</v>
      </c>
      <c r="D28" s="151" t="s">
        <v>153</v>
      </c>
      <c r="E28" s="150">
        <v>9</v>
      </c>
      <c r="F28" s="150">
        <v>0</v>
      </c>
      <c r="G28" s="146">
        <v>236</v>
      </c>
      <c r="H28" s="226">
        <f t="shared" si="8"/>
        <v>26.222222222222221</v>
      </c>
      <c r="I28" s="227">
        <f t="shared" si="9"/>
        <v>206.74439461883406</v>
      </c>
      <c r="J28" s="363">
        <f>+Tabla2[[#This Row],[PROM DE USUARIOS]]-Tabla2[[#This Row],[USUARIOS]]</f>
        <v>-29.255605381165935</v>
      </c>
      <c r="K28" s="151"/>
      <c r="L28" s="163">
        <f t="shared" si="10"/>
        <v>115680.47085201793</v>
      </c>
      <c r="M28" s="162">
        <f>+VLOOKUP(C28,Lista!B:D,3,0)</f>
        <v>0</v>
      </c>
      <c r="N28" s="365">
        <f t="shared" si="11"/>
        <v>12465.78947368421</v>
      </c>
      <c r="O28" s="50">
        <f t="shared" si="12"/>
        <v>9</v>
      </c>
      <c r="P28" s="47">
        <f t="shared" si="13"/>
        <v>197.74439461883406</v>
      </c>
      <c r="Q28" s="49">
        <f t="shared" si="14"/>
        <v>227</v>
      </c>
      <c r="R28" s="51">
        <f t="shared" si="15"/>
        <v>197.74439461883406</v>
      </c>
      <c r="S28" s="46">
        <f t="shared" si="16"/>
        <v>108759.41704035873</v>
      </c>
      <c r="T28" t="str">
        <f t="shared" si="17"/>
        <v/>
      </c>
      <c r="U28">
        <f t="shared" si="18"/>
        <v>33</v>
      </c>
      <c r="Y28" t="str">
        <f>TRIM(Tabla2[[#This Row],[CONDUCTOR]])</f>
        <v>OSORIO URREGO SANTIAGO</v>
      </c>
    </row>
    <row r="29" spans="2:25" x14ac:dyDescent="0.2">
      <c r="B29" s="136" t="s">
        <v>122</v>
      </c>
      <c r="C29" s="166">
        <v>26</v>
      </c>
      <c r="D29" s="151" t="s">
        <v>154</v>
      </c>
      <c r="E29" s="150">
        <v>9</v>
      </c>
      <c r="F29" s="150">
        <v>0</v>
      </c>
      <c r="G29" s="165">
        <v>198</v>
      </c>
      <c r="H29" s="226">
        <f t="shared" si="8"/>
        <v>22</v>
      </c>
      <c r="I29" s="227">
        <f t="shared" si="9"/>
        <v>206.74439461883406</v>
      </c>
      <c r="J29" s="363">
        <f>+Tabla2[[#This Row],[PROM DE USUARIOS]]-Tabla2[[#This Row],[USUARIOS]]</f>
        <v>8.7443946188340647</v>
      </c>
      <c r="K29" s="151" t="s">
        <v>190</v>
      </c>
      <c r="L29" s="163">
        <f t="shared" si="10"/>
        <v>115680.47085201793</v>
      </c>
      <c r="M29" s="162" t="str">
        <f>+VLOOKUP(C29,Lista!B:D,3,0)</f>
        <v>MICRO</v>
      </c>
      <c r="N29" s="365">
        <f t="shared" si="11"/>
        <v>12465.78947368421</v>
      </c>
      <c r="O29" s="50">
        <f t="shared" si="12"/>
        <v>9</v>
      </c>
      <c r="P29" s="47">
        <f t="shared" si="13"/>
        <v>197.74439461883406</v>
      </c>
      <c r="Q29" s="49">
        <f t="shared" si="14"/>
        <v>189</v>
      </c>
      <c r="R29" s="51">
        <f t="shared" si="15"/>
        <v>197.74439461883406</v>
      </c>
      <c r="S29" s="46">
        <f t="shared" si="16"/>
        <v>108759.41704035873</v>
      </c>
      <c r="T29" t="str">
        <f t="shared" si="17"/>
        <v xml:space="preserve">3 Descuentos (Usuarios desubicados y despachador) </v>
      </c>
      <c r="U29">
        <f t="shared" si="18"/>
        <v>15</v>
      </c>
      <c r="Y29" t="str">
        <f>TRIM(Tabla2[[#This Row],[CONDUCTOR]])</f>
        <v>SUAREZ ESCUDERO JONATAN</v>
      </c>
    </row>
    <row r="30" spans="2:25" s="2" customFormat="1" x14ac:dyDescent="0.2">
      <c r="B30" s="136" t="s">
        <v>121</v>
      </c>
      <c r="C30" s="166">
        <v>27</v>
      </c>
      <c r="D30" s="151" t="s">
        <v>176</v>
      </c>
      <c r="E30" s="150">
        <v>9</v>
      </c>
      <c r="F30" s="150">
        <v>0</v>
      </c>
      <c r="G30" s="146">
        <v>247</v>
      </c>
      <c r="H30" s="226">
        <f t="shared" si="8"/>
        <v>27.444444444444443</v>
      </c>
      <c r="I30" s="227">
        <f t="shared" si="9"/>
        <v>206.74439461883406</v>
      </c>
      <c r="J30" s="363">
        <f>+Tabla2[[#This Row],[PROM DE USUARIOS]]-Tabla2[[#This Row],[USUARIOS]]</f>
        <v>-40.255605381165935</v>
      </c>
      <c r="K30" s="151"/>
      <c r="L30" s="163">
        <f t="shared" si="10"/>
        <v>115680.47085201793</v>
      </c>
      <c r="M30" s="162">
        <f>+VLOOKUP(C30,Lista!B:D,3,0)</f>
        <v>0</v>
      </c>
      <c r="N30" s="365">
        <f t="shared" si="11"/>
        <v>12465.78947368421</v>
      </c>
      <c r="O30" s="50">
        <f t="shared" si="12"/>
        <v>9</v>
      </c>
      <c r="P30" s="47">
        <f t="shared" si="13"/>
        <v>197.74439461883406</v>
      </c>
      <c r="Q30" s="49">
        <f t="shared" si="14"/>
        <v>238</v>
      </c>
      <c r="R30" s="51">
        <f t="shared" si="15"/>
        <v>197.74439461883406</v>
      </c>
      <c r="S30" s="46">
        <f t="shared" si="16"/>
        <v>108759.41704035873</v>
      </c>
      <c r="T30" t="str">
        <f t="shared" si="17"/>
        <v/>
      </c>
      <c r="U30">
        <f t="shared" si="18"/>
        <v>35</v>
      </c>
      <c r="Y30" t="str">
        <f>TRIM(Tabla2[[#This Row],[CONDUCTOR]])</f>
        <v>VERENZUELA MARTINEZ ALEXANDER</v>
      </c>
    </row>
    <row r="31" spans="2:25" x14ac:dyDescent="0.2">
      <c r="B31" s="136" t="s">
        <v>122</v>
      </c>
      <c r="C31" s="166">
        <v>28</v>
      </c>
      <c r="D31" s="151" t="s">
        <v>177</v>
      </c>
      <c r="E31" s="150">
        <v>9</v>
      </c>
      <c r="F31" s="150">
        <v>0</v>
      </c>
      <c r="G31" s="165">
        <v>170</v>
      </c>
      <c r="H31" s="226">
        <f t="shared" si="8"/>
        <v>18.888888888888889</v>
      </c>
      <c r="I31" s="227">
        <f t="shared" si="9"/>
        <v>206.74439461883406</v>
      </c>
      <c r="J31" s="363">
        <f>+Tabla2[[#This Row],[PROM DE USUARIOS]]-Tabla2[[#This Row],[USUARIOS]]</f>
        <v>36.744394618834065</v>
      </c>
      <c r="K31" s="151" t="s">
        <v>191</v>
      </c>
      <c r="L31" s="163">
        <f t="shared" si="10"/>
        <v>115680.47085201793</v>
      </c>
      <c r="M31" s="162" t="str">
        <f>+VLOOKUP(C31,Lista!B:D,3,0)</f>
        <v>MICRO</v>
      </c>
      <c r="N31" s="365">
        <f t="shared" si="11"/>
        <v>12465.78947368421</v>
      </c>
      <c r="O31" s="50">
        <f t="shared" si="12"/>
        <v>9</v>
      </c>
      <c r="P31" s="47">
        <f t="shared" si="13"/>
        <v>197.74439461883406</v>
      </c>
      <c r="Q31" s="49">
        <f t="shared" si="14"/>
        <v>161</v>
      </c>
      <c r="R31" s="51">
        <f t="shared" si="15"/>
        <v>197.74439461883406</v>
      </c>
      <c r="S31" s="46">
        <f t="shared" si="16"/>
        <v>108759.41704035873</v>
      </c>
      <c r="T31" t="str">
        <f t="shared" si="17"/>
        <v xml:space="preserve">6 Descuentos (Transbordo) </v>
      </c>
      <c r="U31">
        <f t="shared" si="18"/>
        <v>4</v>
      </c>
      <c r="Y31" t="str">
        <f>TRIM(Tabla2[[#This Row],[CONDUCTOR]])</f>
        <v>MARIN ALZATE KEVIN ANDRES</v>
      </c>
    </row>
    <row r="32" spans="2:25" x14ac:dyDescent="0.2">
      <c r="B32" s="136" t="s">
        <v>121</v>
      </c>
      <c r="C32" s="166">
        <v>29</v>
      </c>
      <c r="D32" s="151" t="s">
        <v>148</v>
      </c>
      <c r="E32" s="150">
        <v>9</v>
      </c>
      <c r="F32" s="150">
        <v>0</v>
      </c>
      <c r="G32" s="165">
        <v>195</v>
      </c>
      <c r="H32" s="226">
        <f t="shared" si="8"/>
        <v>21.666666666666668</v>
      </c>
      <c r="I32" s="227">
        <f t="shared" si="9"/>
        <v>206.74439461883406</v>
      </c>
      <c r="J32" s="363">
        <f>+Tabla2[[#This Row],[PROM DE USUARIOS]]-Tabla2[[#This Row],[USUARIOS]]</f>
        <v>11.744394618834065</v>
      </c>
      <c r="K32" s="151"/>
      <c r="L32" s="163">
        <f t="shared" si="10"/>
        <v>115680.47085201793</v>
      </c>
      <c r="M32" s="162" t="str">
        <f>+VLOOKUP(C32,Lista!B:D,3,0)</f>
        <v>MICRO</v>
      </c>
      <c r="N32" s="365">
        <f t="shared" si="11"/>
        <v>12465.78947368421</v>
      </c>
      <c r="O32" s="50">
        <f t="shared" si="12"/>
        <v>9</v>
      </c>
      <c r="P32" s="47">
        <f t="shared" si="13"/>
        <v>197.74439461883406</v>
      </c>
      <c r="Q32" s="49">
        <f t="shared" si="14"/>
        <v>186</v>
      </c>
      <c r="R32" s="51">
        <f t="shared" si="15"/>
        <v>197.74439461883406</v>
      </c>
      <c r="S32" s="46">
        <f t="shared" si="16"/>
        <v>108759.41704035873</v>
      </c>
      <c r="T32" t="str">
        <f t="shared" si="17"/>
        <v/>
      </c>
      <c r="U32">
        <f t="shared" si="18"/>
        <v>12</v>
      </c>
      <c r="Y32" t="str">
        <f>TRIM(Tabla2[[#This Row],[CONDUCTOR]])</f>
        <v>LEON PEREZ RAUL ENRIQUE</v>
      </c>
    </row>
    <row r="33" spans="2:25" x14ac:dyDescent="0.2">
      <c r="B33" s="136" t="s">
        <v>122</v>
      </c>
      <c r="C33" s="166">
        <v>30</v>
      </c>
      <c r="D33" s="151" t="s">
        <v>149</v>
      </c>
      <c r="E33" s="150">
        <v>8</v>
      </c>
      <c r="F33" s="150">
        <v>0</v>
      </c>
      <c r="G33" s="146">
        <v>126</v>
      </c>
      <c r="H33" s="226">
        <f t="shared" si="8"/>
        <v>15.75</v>
      </c>
      <c r="I33" s="227">
        <f t="shared" si="9"/>
        <v>183.7727952167414</v>
      </c>
      <c r="J33" s="363">
        <f>+Tabla2[[#This Row],[PROM DE USUARIOS]]-Tabla2[[#This Row],[USUARIOS]]</f>
        <v>57.7727952167414</v>
      </c>
      <c r="K33" s="151"/>
      <c r="L33" s="163">
        <f t="shared" si="10"/>
        <v>102827.08520179371</v>
      </c>
      <c r="M33" s="162">
        <f>+VLOOKUP(C33,Lista!B:D,3,0)</f>
        <v>0</v>
      </c>
      <c r="N33" s="365">
        <f t="shared" si="11"/>
        <v>12465.78947368421</v>
      </c>
      <c r="O33" s="50">
        <f t="shared" si="12"/>
        <v>8</v>
      </c>
      <c r="P33" s="47">
        <f t="shared" si="13"/>
        <v>175.7727952167414</v>
      </c>
      <c r="Q33" s="49">
        <f t="shared" si="14"/>
        <v>118</v>
      </c>
      <c r="R33" s="51">
        <f t="shared" si="15"/>
        <v>175.7727952167414</v>
      </c>
      <c r="S33" s="46">
        <f t="shared" si="16"/>
        <v>96675.03736920777</v>
      </c>
      <c r="T33" t="str">
        <f t="shared" si="17"/>
        <v/>
      </c>
      <c r="U33">
        <f t="shared" si="18"/>
        <v>1</v>
      </c>
      <c r="Y33" t="str">
        <f>TRIM(Tabla2[[#This Row],[CONDUCTOR]])</f>
        <v>AGUDELO GARCIA LLORDIN ELIAS</v>
      </c>
    </row>
    <row r="34" spans="2:25" x14ac:dyDescent="0.2">
      <c r="B34" s="136" t="s">
        <v>121</v>
      </c>
      <c r="C34" s="137">
        <v>31</v>
      </c>
      <c r="D34" s="151" t="s">
        <v>158</v>
      </c>
      <c r="E34" s="150">
        <v>9</v>
      </c>
      <c r="F34" s="150">
        <v>0</v>
      </c>
      <c r="G34" s="165">
        <v>196</v>
      </c>
      <c r="H34" s="226">
        <f t="shared" si="8"/>
        <v>21.777777777777779</v>
      </c>
      <c r="I34" s="227">
        <f t="shared" si="9"/>
        <v>206.74439461883406</v>
      </c>
      <c r="J34" s="363">
        <f>+Tabla2[[#This Row],[PROM DE USUARIOS]]-Tabla2[[#This Row],[USUARIOS]]</f>
        <v>10.744394618834065</v>
      </c>
      <c r="K34" s="151"/>
      <c r="L34" s="163">
        <f t="shared" si="10"/>
        <v>115680.47085201793</v>
      </c>
      <c r="M34" s="162" t="str">
        <f>+VLOOKUP(C34,Lista!B:D,3,0)</f>
        <v>MICRO</v>
      </c>
      <c r="N34" s="365">
        <f t="shared" si="11"/>
        <v>12465.78947368421</v>
      </c>
      <c r="O34" s="50">
        <f t="shared" si="12"/>
        <v>9</v>
      </c>
      <c r="P34" s="47">
        <f t="shared" si="13"/>
        <v>197.74439461883406</v>
      </c>
      <c r="Q34" s="49">
        <f t="shared" si="14"/>
        <v>187</v>
      </c>
      <c r="R34" s="51">
        <f t="shared" si="15"/>
        <v>197.74439461883406</v>
      </c>
      <c r="S34" s="46">
        <f t="shared" si="16"/>
        <v>108759.41704035873</v>
      </c>
      <c r="T34" t="str">
        <f t="shared" si="17"/>
        <v/>
      </c>
      <c r="U34">
        <f t="shared" si="18"/>
        <v>14</v>
      </c>
      <c r="Y34" t="str">
        <f>TRIM(Tabla2[[#This Row],[CONDUCTOR]])</f>
        <v>IBARGUEN GARRIDO JUAN ESTEBAN</v>
      </c>
    </row>
    <row r="35" spans="2:25" x14ac:dyDescent="0.2">
      <c r="B35" s="136" t="s">
        <v>122</v>
      </c>
      <c r="C35" s="166">
        <v>32</v>
      </c>
      <c r="D35" s="151" t="s">
        <v>159</v>
      </c>
      <c r="E35" s="150">
        <v>6.5</v>
      </c>
      <c r="F35" s="150">
        <v>0.5</v>
      </c>
      <c r="G35" s="165">
        <v>130</v>
      </c>
      <c r="H35" s="226">
        <f t="shared" si="8"/>
        <v>20</v>
      </c>
      <c r="I35" s="227">
        <f t="shared" si="9"/>
        <v>149.31539611360239</v>
      </c>
      <c r="J35" s="363">
        <f>+Tabla2[[#This Row],[PROM DE USUARIOS]]-Tabla2[[#This Row],[USUARIOS]]</f>
        <v>19.31539611360239</v>
      </c>
      <c r="K35" s="151"/>
      <c r="L35" s="163">
        <f t="shared" si="10"/>
        <v>83547.006726457403</v>
      </c>
      <c r="M35" s="162" t="str">
        <f>+VLOOKUP(C35,Lista!B:D,3,0)</f>
        <v>MICRO</v>
      </c>
      <c r="N35" s="365">
        <f t="shared" si="11"/>
        <v>12465.78947368421</v>
      </c>
      <c r="O35" s="50">
        <f t="shared" si="12"/>
        <v>6.5</v>
      </c>
      <c r="P35" s="47">
        <f t="shared" si="13"/>
        <v>142.81539611360239</v>
      </c>
      <c r="Q35" s="49">
        <f t="shared" si="14"/>
        <v>123.5</v>
      </c>
      <c r="R35" s="51">
        <f t="shared" si="15"/>
        <v>142.81539611360239</v>
      </c>
      <c r="S35" s="46">
        <f t="shared" si="16"/>
        <v>78548.46786248131</v>
      </c>
      <c r="T35" t="str">
        <f t="shared" si="17"/>
        <v/>
      </c>
      <c r="U35">
        <f t="shared" si="18"/>
        <v>6</v>
      </c>
      <c r="Y35" t="str">
        <f>TRIM(Tabla2[[#This Row],[CONDUCTOR]])</f>
        <v>LAYOS JIMENEZ JOHAN CAMILO</v>
      </c>
    </row>
    <row r="36" spans="2:25" x14ac:dyDescent="0.2">
      <c r="B36" s="136" t="s">
        <v>121</v>
      </c>
      <c r="C36" s="166">
        <v>33</v>
      </c>
      <c r="D36" s="151" t="s">
        <v>164</v>
      </c>
      <c r="E36" s="150">
        <v>9</v>
      </c>
      <c r="F36" s="150">
        <v>0</v>
      </c>
      <c r="G36" s="165">
        <v>194</v>
      </c>
      <c r="H36" s="226">
        <f t="shared" si="8"/>
        <v>21.555555555555557</v>
      </c>
      <c r="I36" s="227">
        <f t="shared" si="9"/>
        <v>206.74439461883406</v>
      </c>
      <c r="J36" s="363">
        <f>+Tabla2[[#This Row],[PROM DE USUARIOS]]-Tabla2[[#This Row],[USUARIOS]]</f>
        <v>12.744394618834065</v>
      </c>
      <c r="K36" s="151" t="s">
        <v>186</v>
      </c>
      <c r="L36" s="163">
        <f t="shared" si="10"/>
        <v>115680.47085201793</v>
      </c>
      <c r="M36" s="162" t="str">
        <f>+VLOOKUP(C36,Lista!B:D,3,0)</f>
        <v>MICRO</v>
      </c>
      <c r="N36" s="365">
        <f t="shared" si="11"/>
        <v>12465.78947368421</v>
      </c>
      <c r="O36" s="50">
        <f t="shared" si="12"/>
        <v>9</v>
      </c>
      <c r="P36" s="47">
        <f t="shared" si="13"/>
        <v>197.74439461883406</v>
      </c>
      <c r="Q36" s="49">
        <f t="shared" si="14"/>
        <v>185</v>
      </c>
      <c r="R36" s="51">
        <f t="shared" si="15"/>
        <v>197.74439461883406</v>
      </c>
      <c r="S36" s="46">
        <f t="shared" si="16"/>
        <v>108759.41704035873</v>
      </c>
      <c r="T36" t="str">
        <f t="shared" si="17"/>
        <v xml:space="preserve">1 Descuento (Despachador) </v>
      </c>
      <c r="U36">
        <f t="shared" si="18"/>
        <v>11</v>
      </c>
      <c r="Y36" t="str">
        <f>TRIM(Tabla2[[#This Row],[CONDUCTOR]])</f>
        <v>MARULANDA JARAMILLO DAWER ANDRES</v>
      </c>
    </row>
    <row r="37" spans="2:25" s="2" customFormat="1" ht="22.5" x14ac:dyDescent="0.2">
      <c r="B37" s="136" t="s">
        <v>122</v>
      </c>
      <c r="C37" s="166">
        <v>34</v>
      </c>
      <c r="D37" s="136" t="s">
        <v>166</v>
      </c>
      <c r="E37" s="150">
        <v>13</v>
      </c>
      <c r="F37" s="150">
        <v>0</v>
      </c>
      <c r="G37" s="374">
        <v>311</v>
      </c>
      <c r="H37" s="375">
        <f t="shared" si="8"/>
        <v>23.923076923076923</v>
      </c>
      <c r="I37" s="376">
        <f t="shared" si="9"/>
        <v>298.63079222720478</v>
      </c>
      <c r="J37" s="377">
        <f>+Tabla2[[#This Row],[PROM DE USUARIOS]]-Tabla2[[#This Row],[USUARIOS]]</f>
        <v>-12.369207772795221</v>
      </c>
      <c r="K37" s="378" t="s">
        <v>192</v>
      </c>
      <c r="L37" s="163">
        <f t="shared" si="10"/>
        <v>167094.01345291481</v>
      </c>
      <c r="M37" s="162" t="str">
        <f>+VLOOKUP(C37,Lista!B:D,3,0)</f>
        <v>MICRO</v>
      </c>
      <c r="N37" s="365">
        <f t="shared" si="11"/>
        <v>12465.78947368421</v>
      </c>
      <c r="O37" s="50">
        <f t="shared" si="12"/>
        <v>13</v>
      </c>
      <c r="P37" s="47">
        <f t="shared" si="13"/>
        <v>285.63079222720478</v>
      </c>
      <c r="Q37" s="49">
        <f t="shared" si="14"/>
        <v>298</v>
      </c>
      <c r="R37" s="51">
        <f t="shared" si="15"/>
        <v>285.63079222720478</v>
      </c>
      <c r="S37" s="46">
        <f t="shared" si="16"/>
        <v>157096.93572496262</v>
      </c>
      <c r="T37" s="2" t="str">
        <f t="shared" si="17"/>
        <v xml:space="preserve">6 Descuentos (Jefe de ruta, conducts, despachador y asociado)   </v>
      </c>
      <c r="U37" s="2">
        <f t="shared" si="18"/>
        <v>24</v>
      </c>
      <c r="Y37" s="2" t="str">
        <f>TRIM(Tabla2[[#This Row],[CONDUCTOR]])</f>
        <v>MONTOYA OSPINA GILBERTO ANTONIO</v>
      </c>
    </row>
    <row r="38" spans="2:25" s="2" customFormat="1" ht="22.5" x14ac:dyDescent="0.2">
      <c r="B38" s="136" t="s">
        <v>121</v>
      </c>
      <c r="C38" s="166">
        <v>35</v>
      </c>
      <c r="D38" s="136" t="s">
        <v>167</v>
      </c>
      <c r="E38" s="150">
        <v>7</v>
      </c>
      <c r="F38" s="150">
        <v>0.5</v>
      </c>
      <c r="G38" s="374">
        <v>194</v>
      </c>
      <c r="H38" s="375">
        <f t="shared" si="8"/>
        <v>27.714285714285715</v>
      </c>
      <c r="I38" s="376">
        <f t="shared" si="9"/>
        <v>160.80119581464874</v>
      </c>
      <c r="J38" s="377">
        <f>+Tabla2[[#This Row],[PROM DE USUARIOS]]-Tabla2[[#This Row],[USUARIOS]]</f>
        <v>-33.198804185351264</v>
      </c>
      <c r="K38" s="378" t="s">
        <v>196</v>
      </c>
      <c r="L38" s="163">
        <f t="shared" si="10"/>
        <v>83546.889551569519</v>
      </c>
      <c r="M38" s="162">
        <f>+VLOOKUP(C38,Lista!B:D,3,0)</f>
        <v>0</v>
      </c>
      <c r="N38" s="365">
        <f t="shared" si="11"/>
        <v>12465.78947368421</v>
      </c>
      <c r="O38" s="50">
        <f t="shared" si="12"/>
        <v>6.5</v>
      </c>
      <c r="P38" s="47">
        <f t="shared" si="13"/>
        <v>142.81519581464875</v>
      </c>
      <c r="Q38" s="49">
        <f t="shared" si="14"/>
        <v>187.5</v>
      </c>
      <c r="R38" s="51">
        <f t="shared" si="15"/>
        <v>153.80119581464874</v>
      </c>
      <c r="S38" s="46">
        <f t="shared" si="16"/>
        <v>84590.657698056806</v>
      </c>
      <c r="T38" s="2" t="str">
        <f t="shared" si="17"/>
        <v xml:space="preserve">Se descuenta 0.5 viaje de 1 55 pm ya que abandona ruta sin autorización </v>
      </c>
      <c r="U38" s="2">
        <f t="shared" si="18"/>
        <v>37</v>
      </c>
      <c r="V38" s="2">
        <v>0.5</v>
      </c>
      <c r="W38" s="2">
        <v>11.486000000000001</v>
      </c>
      <c r="Y38" s="2" t="str">
        <f>TRIM(Tabla2[[#This Row],[CONDUCTOR]])</f>
        <v>ARAQUE ARROYAVE JOSE ALBEIRO</v>
      </c>
    </row>
    <row r="39" spans="2:25" x14ac:dyDescent="0.2">
      <c r="B39" s="136" t="s">
        <v>122</v>
      </c>
      <c r="C39" s="166">
        <v>36</v>
      </c>
      <c r="D39" s="151" t="s">
        <v>183</v>
      </c>
      <c r="E39" s="150">
        <v>10</v>
      </c>
      <c r="F39" s="150">
        <v>0</v>
      </c>
      <c r="G39" s="165">
        <v>161</v>
      </c>
      <c r="H39" s="226">
        <f t="shared" si="8"/>
        <v>16.100000000000001</v>
      </c>
      <c r="I39" s="227">
        <f t="shared" si="9"/>
        <v>229.71599402092676</v>
      </c>
      <c r="J39" s="363">
        <f>+Tabla2[[#This Row],[PROM DE USUARIOS]]-Tabla2[[#This Row],[USUARIOS]]</f>
        <v>68.715994020926757</v>
      </c>
      <c r="K39" s="151"/>
      <c r="L39" s="163">
        <f t="shared" si="10"/>
        <v>128533.85650224215</v>
      </c>
      <c r="M39" s="162" t="str">
        <f>+VLOOKUP(C39,Lista!B:D,3,0)</f>
        <v>MICRO</v>
      </c>
      <c r="N39" s="365">
        <f t="shared" si="11"/>
        <v>12465.78947368421</v>
      </c>
      <c r="O39" s="50">
        <f t="shared" si="12"/>
        <v>10</v>
      </c>
      <c r="P39" s="47">
        <f t="shared" si="13"/>
        <v>219.71599402092676</v>
      </c>
      <c r="Q39" s="49">
        <f t="shared" si="14"/>
        <v>151</v>
      </c>
      <c r="R39" s="51">
        <f t="shared" si="15"/>
        <v>219.71599402092676</v>
      </c>
      <c r="S39" s="46">
        <f t="shared" si="16"/>
        <v>120843.79671150971</v>
      </c>
      <c r="T39" t="str">
        <f t="shared" si="17"/>
        <v/>
      </c>
      <c r="U39">
        <f t="shared" si="18"/>
        <v>2</v>
      </c>
      <c r="Y39" t="str">
        <f>TRIM(Tabla2[[#This Row],[CONDUCTOR]])</f>
        <v>JARAMILLO JARAMILLO FRANCISCO WBEIMAR</v>
      </c>
    </row>
    <row r="40" spans="2:25" x14ac:dyDescent="0.2">
      <c r="B40" s="136" t="s">
        <v>121</v>
      </c>
      <c r="C40" s="166">
        <v>37</v>
      </c>
      <c r="D40" s="151" t="s">
        <v>155</v>
      </c>
      <c r="E40" s="150">
        <v>9</v>
      </c>
      <c r="F40" s="150">
        <v>0</v>
      </c>
      <c r="G40" s="165">
        <v>273</v>
      </c>
      <c r="H40" s="226">
        <f t="shared" si="8"/>
        <v>30.333333333333332</v>
      </c>
      <c r="I40" s="227">
        <f t="shared" si="9"/>
        <v>206.74439461883406</v>
      </c>
      <c r="J40" s="363">
        <f>+Tabla2[[#This Row],[PROM DE USUARIOS]]-Tabla2[[#This Row],[USUARIOS]]</f>
        <v>-66.255605381165935</v>
      </c>
      <c r="K40" s="151"/>
      <c r="L40" s="163">
        <f t="shared" si="10"/>
        <v>115680.47085201793</v>
      </c>
      <c r="M40" s="162">
        <f>+VLOOKUP(C40,Lista!B:D,3,0)</f>
        <v>0</v>
      </c>
      <c r="N40" s="365">
        <f t="shared" si="11"/>
        <v>12465.78947368421</v>
      </c>
      <c r="O40" s="50">
        <f t="shared" si="12"/>
        <v>9</v>
      </c>
      <c r="P40" s="47">
        <f t="shared" si="13"/>
        <v>197.74439461883406</v>
      </c>
      <c r="Q40" s="49">
        <f t="shared" si="14"/>
        <v>264</v>
      </c>
      <c r="R40" s="51">
        <f t="shared" si="15"/>
        <v>197.74439461883406</v>
      </c>
      <c r="S40" s="46">
        <f t="shared" si="16"/>
        <v>108759.41704035873</v>
      </c>
      <c r="T40" t="str">
        <f t="shared" si="17"/>
        <v/>
      </c>
      <c r="U40">
        <f t="shared" si="18"/>
        <v>38</v>
      </c>
      <c r="Y40" t="str">
        <f>TRIM(Tabla2[[#This Row],[CONDUCTOR]])</f>
        <v>GUTIERREZ ARICAPA DANIEL HUMBERTO</v>
      </c>
    </row>
    <row r="41" spans="2:25" x14ac:dyDescent="0.2">
      <c r="B41" s="136" t="s">
        <v>122</v>
      </c>
      <c r="C41" s="166">
        <v>38</v>
      </c>
      <c r="D41" s="151" t="s">
        <v>168</v>
      </c>
      <c r="E41" s="150">
        <v>10</v>
      </c>
      <c r="F41" s="150">
        <v>0</v>
      </c>
      <c r="G41" s="165">
        <v>228</v>
      </c>
      <c r="H41" s="226">
        <f t="shared" si="8"/>
        <v>22.8</v>
      </c>
      <c r="I41" s="227">
        <f t="shared" si="9"/>
        <v>229.71599402092676</v>
      </c>
      <c r="J41" s="363">
        <f>+Tabla2[[#This Row],[PROM DE USUARIOS]]-Tabla2[[#This Row],[USUARIOS]]</f>
        <v>1.7159940209267575</v>
      </c>
      <c r="K41" s="151"/>
      <c r="L41" s="163">
        <f t="shared" si="10"/>
        <v>128533.85650224215</v>
      </c>
      <c r="M41" s="162" t="str">
        <f>+VLOOKUP(C41,Lista!B:D,3,0)</f>
        <v>MICRO</v>
      </c>
      <c r="N41" s="365">
        <f t="shared" si="11"/>
        <v>12465.78947368421</v>
      </c>
      <c r="O41" s="50">
        <f t="shared" si="12"/>
        <v>10</v>
      </c>
      <c r="P41" s="47">
        <f t="shared" si="13"/>
        <v>219.71599402092676</v>
      </c>
      <c r="Q41" s="49">
        <f t="shared" si="14"/>
        <v>218</v>
      </c>
      <c r="R41" s="51">
        <f t="shared" si="15"/>
        <v>219.71599402092676</v>
      </c>
      <c r="S41" s="46">
        <f t="shared" si="16"/>
        <v>120843.79671150971</v>
      </c>
      <c r="T41" t="str">
        <f t="shared" si="17"/>
        <v/>
      </c>
      <c r="U41">
        <f t="shared" si="18"/>
        <v>21</v>
      </c>
      <c r="Y41" t="str">
        <f>TRIM(Tabla2[[#This Row],[CONDUCTOR]])</f>
        <v>FRANCO CARVAJAL GERARDO ANTONIO</v>
      </c>
    </row>
    <row r="42" spans="2:25" x14ac:dyDescent="0.2">
      <c r="B42" s="136" t="s">
        <v>121</v>
      </c>
      <c r="C42" s="166">
        <v>39</v>
      </c>
      <c r="D42" s="151" t="s">
        <v>170</v>
      </c>
      <c r="E42" s="150">
        <v>8</v>
      </c>
      <c r="F42" s="150">
        <v>0</v>
      </c>
      <c r="G42" s="165">
        <v>182</v>
      </c>
      <c r="H42" s="226">
        <f t="shared" si="8"/>
        <v>22.75</v>
      </c>
      <c r="I42" s="227">
        <f t="shared" si="9"/>
        <v>183.7727952167414</v>
      </c>
      <c r="J42" s="363">
        <f>+Tabla2[[#This Row],[PROM DE USUARIOS]]-Tabla2[[#This Row],[USUARIOS]]</f>
        <v>1.7727952167414003</v>
      </c>
      <c r="K42" s="151" t="s">
        <v>193</v>
      </c>
      <c r="L42" s="163">
        <f t="shared" si="10"/>
        <v>102827.08520179371</v>
      </c>
      <c r="M42" s="162" t="str">
        <f>+VLOOKUP(C42,Lista!B:D,3,0)</f>
        <v>MICRO</v>
      </c>
      <c r="N42" s="365">
        <f t="shared" si="11"/>
        <v>12465.78947368421</v>
      </c>
      <c r="O42" s="50">
        <f t="shared" si="12"/>
        <v>8</v>
      </c>
      <c r="P42" s="47">
        <f t="shared" si="13"/>
        <v>175.7727952167414</v>
      </c>
      <c r="Q42" s="49">
        <f t="shared" si="14"/>
        <v>174</v>
      </c>
      <c r="R42" s="51">
        <f t="shared" si="15"/>
        <v>175.7727952167414</v>
      </c>
      <c r="S42" s="46">
        <f t="shared" si="16"/>
        <v>96675.03736920777</v>
      </c>
      <c r="T42" t="str">
        <f t="shared" si="17"/>
        <v xml:space="preserve">1 Descuento (Jefe de ruta) </v>
      </c>
      <c r="U42">
        <f t="shared" si="18"/>
        <v>20</v>
      </c>
      <c r="Y42" t="str">
        <f>TRIM(Tabla2[[#This Row],[CONDUCTOR]])</f>
        <v>PALMAR PANA EDIXON JOSUE</v>
      </c>
    </row>
    <row r="43" spans="2:25" x14ac:dyDescent="0.2">
      <c r="B43" s="136" t="s">
        <v>122</v>
      </c>
      <c r="C43" s="166">
        <v>40</v>
      </c>
      <c r="D43" s="151" t="s">
        <v>150</v>
      </c>
      <c r="E43" s="150">
        <v>7</v>
      </c>
      <c r="F43" s="150">
        <v>0</v>
      </c>
      <c r="G43" s="165">
        <v>148</v>
      </c>
      <c r="H43" s="226">
        <f t="shared" si="8"/>
        <v>21.142857142857142</v>
      </c>
      <c r="I43" s="227">
        <f t="shared" si="9"/>
        <v>160.80119581464874</v>
      </c>
      <c r="J43" s="363">
        <f>+Tabla2[[#This Row],[PROM DE USUARIOS]]-Tabla2[[#This Row],[USUARIOS]]</f>
        <v>12.801195814648736</v>
      </c>
      <c r="K43" s="151" t="s">
        <v>194</v>
      </c>
      <c r="L43" s="163">
        <f t="shared" si="10"/>
        <v>89973.699551569516</v>
      </c>
      <c r="M43" s="162" t="str">
        <f>+VLOOKUP(C43,Lista!B:D,3,0)</f>
        <v>MICRO</v>
      </c>
      <c r="N43" s="365">
        <f t="shared" si="11"/>
        <v>12465.78947368421</v>
      </c>
      <c r="O43" s="50">
        <f t="shared" si="12"/>
        <v>7</v>
      </c>
      <c r="P43" s="47">
        <f t="shared" si="13"/>
        <v>153.80119581464874</v>
      </c>
      <c r="Q43" s="49">
        <f t="shared" si="14"/>
        <v>141</v>
      </c>
      <c r="R43" s="51">
        <f t="shared" si="15"/>
        <v>153.80119581464874</v>
      </c>
      <c r="S43" s="46">
        <f t="shared" si="16"/>
        <v>84590.657698056806</v>
      </c>
      <c r="T43" t="str">
        <f t="shared" si="17"/>
        <v xml:space="preserve">2 Descuentos (Despachador y usuario desubicado) </v>
      </c>
      <c r="U43">
        <f t="shared" si="18"/>
        <v>8</v>
      </c>
      <c r="Y43" t="str">
        <f>TRIM(Tabla2[[#This Row],[CONDUCTOR]])</f>
        <v>OCAMPO OCAMPO ANTONIO JOSE</v>
      </c>
    </row>
    <row r="44" spans="2:25" x14ac:dyDescent="0.2">
      <c r="B44" s="136" t="s">
        <v>121</v>
      </c>
      <c r="C44" s="166">
        <v>42</v>
      </c>
      <c r="D44" s="151" t="s">
        <v>160</v>
      </c>
      <c r="E44" s="150">
        <v>5</v>
      </c>
      <c r="F44" s="150">
        <v>0</v>
      </c>
      <c r="G44" s="165">
        <v>131</v>
      </c>
      <c r="H44" s="226">
        <f t="shared" si="8"/>
        <v>26.2</v>
      </c>
      <c r="I44" s="227">
        <f t="shared" si="9"/>
        <v>114.85799701046338</v>
      </c>
      <c r="J44" s="363">
        <f>+Tabla2[[#This Row],[PROM DE USUARIOS]]-Tabla2[[#This Row],[USUARIOS]]</f>
        <v>-16.142002989536621</v>
      </c>
      <c r="K44" s="151"/>
      <c r="L44" s="163">
        <f t="shared" si="10"/>
        <v>64266.928251121077</v>
      </c>
      <c r="M44" s="162">
        <f>+VLOOKUP(C44,Lista!B:D,3,0)</f>
        <v>0</v>
      </c>
      <c r="N44" s="365">
        <f t="shared" si="11"/>
        <v>12465.78947368421</v>
      </c>
      <c r="O44" s="50">
        <f t="shared" si="12"/>
        <v>5</v>
      </c>
      <c r="P44" s="47">
        <f t="shared" si="13"/>
        <v>109.85799701046338</v>
      </c>
      <c r="Q44" s="49">
        <f t="shared" si="14"/>
        <v>126</v>
      </c>
      <c r="R44" s="51">
        <f t="shared" si="15"/>
        <v>109.85799701046338</v>
      </c>
      <c r="S44" s="46">
        <f t="shared" si="16"/>
        <v>60421.898355754856</v>
      </c>
      <c r="T44" t="str">
        <f t="shared" si="17"/>
        <v/>
      </c>
      <c r="U44">
        <f t="shared" si="18"/>
        <v>32</v>
      </c>
      <c r="Y44" t="str">
        <f>TRIM(Tabla2[[#This Row],[CONDUCTOR]])</f>
        <v>AGUDELO GARCIA DENIN ANGELO</v>
      </c>
    </row>
    <row r="45" spans="2:25" x14ac:dyDescent="0.2">
      <c r="B45" s="232"/>
      <c r="C45" s="239">
        <f>SUBTOTAL(102,Tabla2[VEH])</f>
        <v>38</v>
      </c>
      <c r="D45" s="233" t="s">
        <v>127</v>
      </c>
      <c r="E45" s="234">
        <f>SUBTOTAL(109,Tabla2[VIAJES])</f>
        <v>334.5</v>
      </c>
      <c r="F45" s="234">
        <f>SUBTOTAL(109,Tabla2[VIAJES PERD.])</f>
        <v>2.5</v>
      </c>
      <c r="G45" s="240">
        <f>SUBTOTAL(109,Tabla2[USUARIOS])</f>
        <v>7684</v>
      </c>
      <c r="H45" s="373">
        <f>+Tabla2[[#Totals],[USUARIOS]]/Tabla2[[#Totals],[VIAJES]]</f>
        <v>22.971599402092675</v>
      </c>
      <c r="I45" s="240">
        <f>SUBTOTAL(109,Tabla2[PROM DE USUARIOS])</f>
        <v>7684.0000000000009</v>
      </c>
      <c r="J45" s="372">
        <f>SUBTOTAL(109,Tabla2[RECIBE / ENTREGA])</f>
        <v>-3.4106051316484809E-13</v>
      </c>
      <c r="K45" s="235" t="s">
        <v>195</v>
      </c>
      <c r="L45" s="236"/>
      <c r="M45" s="237"/>
      <c r="N45" s="238">
        <f>SUBTOTAL(109,Tabla2[DIFER. MICRO - BUS ])</f>
        <v>473700.00000000006</v>
      </c>
      <c r="O45">
        <f>+(E112*1)-V45</f>
        <v>0</v>
      </c>
      <c r="P45" s="134">
        <f>+I112-O45-W45</f>
        <v>0</v>
      </c>
      <c r="Q45" s="11">
        <f>+G112-O45</f>
        <v>0</v>
      </c>
      <c r="R45">
        <f>+E112*$T$3</f>
        <v>0</v>
      </c>
      <c r="S45">
        <f t="shared" ref="S45:S46" si="19">+R45*550</f>
        <v>0</v>
      </c>
      <c r="T45" t="str">
        <f>+IF(K112&lt;&gt;"",K112,"")</f>
        <v/>
      </c>
      <c r="U45" t="e">
        <f>+RANK(H112,$H$6:$H$1048576,1)</f>
        <v>#N/A</v>
      </c>
    </row>
    <row r="46" spans="2:25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>
        <f>+(E113*1)-V46</f>
        <v>0</v>
      </c>
      <c r="P46" s="134">
        <f>+I113-O46-W46</f>
        <v>0</v>
      </c>
      <c r="Q46" s="11">
        <f>+G113-O46</f>
        <v>0</v>
      </c>
      <c r="R46">
        <f>+E113*$T$3</f>
        <v>0</v>
      </c>
      <c r="S46">
        <f t="shared" si="19"/>
        <v>0</v>
      </c>
      <c r="T46" t="str">
        <f>+IF(K113&lt;&gt;"",K113,"")</f>
        <v/>
      </c>
      <c r="U46" t="e">
        <f>+RANK(H113,$H$6:$H$1048576,1)</f>
        <v>#N/A</v>
      </c>
    </row>
    <row r="47" spans="2:25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t="e">
        <f>+(#REF!*1)-V47</f>
        <v>#REF!</v>
      </c>
      <c r="P47" s="134" t="e">
        <f>+#REF!-O47-W47</f>
        <v>#REF!</v>
      </c>
      <c r="Q47" s="11" t="e">
        <f>+#REF!-O47</f>
        <v>#REF!</v>
      </c>
      <c r="R47" t="e">
        <f>+#REF!*$T$3</f>
        <v>#REF!</v>
      </c>
      <c r="S47" t="e">
        <f>+R47*550</f>
        <v>#REF!</v>
      </c>
      <c r="T47" t="e">
        <f>+IF(#REF!&lt;&gt;"",#REF!,"")</f>
        <v>#REF!</v>
      </c>
      <c r="U47" t="e">
        <f>+RANK(#REF!,$H$6:$H$1048576,1)</f>
        <v>#REF!</v>
      </c>
    </row>
    <row r="48" spans="2:25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 t="e">
        <f>+(#REF!*1)-V50</f>
        <v>#REF!</v>
      </c>
      <c r="P50" s="134" t="e">
        <f>+#REF!-O50-W50</f>
        <v>#REF!</v>
      </c>
      <c r="Q50" s="11" t="e">
        <f>+#REF!-O50</f>
        <v>#REF!</v>
      </c>
      <c r="R50" t="e">
        <f>+#REF!*$T$3</f>
        <v>#REF!</v>
      </c>
      <c r="S50" t="e">
        <f>+R50*550</f>
        <v>#REF!</v>
      </c>
      <c r="T50" t="e">
        <f>+IF(#REF!&lt;&gt;"",#REF!,"")</f>
        <v>#REF!</v>
      </c>
      <c r="U50" t="e">
        <f>+RANK(#REF!,$H$6:$H$1048576,1)</f>
        <v>#REF!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 t="e">
        <f>+(#REF!*1)-V51</f>
        <v>#REF!</v>
      </c>
      <c r="P51" s="134" t="e">
        <f>+#REF!-O51-W51</f>
        <v>#REF!</v>
      </c>
      <c r="Q51" s="11" t="e">
        <f>+#REF!-O51</f>
        <v>#REF!</v>
      </c>
      <c r="R51" t="e">
        <f>+#REF!*$T$3</f>
        <v>#REF!</v>
      </c>
      <c r="S51" t="e">
        <f>+R51*550</f>
        <v>#REF!</v>
      </c>
      <c r="T51" t="e">
        <f>+IF(#REF!&lt;&gt;"",#REF!,"")</f>
        <v>#REF!</v>
      </c>
      <c r="U51" t="e">
        <f>+RANK(#REF!,$H$6:$H$1048576,1)</f>
        <v>#REF!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 t="e">
        <f>+(#REF!*1)-V52</f>
        <v>#REF!</v>
      </c>
      <c r="P52" s="134" t="e">
        <f>+#REF!-O52-W52</f>
        <v>#REF!</v>
      </c>
      <c r="Q52" s="11" t="e">
        <f>+#REF!-O52</f>
        <v>#REF!</v>
      </c>
      <c r="R52" t="e">
        <f>+#REF!*$T$3</f>
        <v>#REF!</v>
      </c>
      <c r="S52" t="e">
        <f t="shared" ref="S52:S60" si="20">+R52*550</f>
        <v>#REF!</v>
      </c>
      <c r="T52" t="e">
        <f>+IF(#REF!&lt;&gt;"",#REF!,"")</f>
        <v>#REF!</v>
      </c>
      <c r="U52" t="e">
        <f>+RANK(#REF!,$H$6:$H$1048576,1)</f>
        <v>#REF!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 t="e">
        <f>+(#REF!*1)-V53</f>
        <v>#REF!</v>
      </c>
      <c r="P53" s="134" t="e">
        <f>+#REF!-O53-W53</f>
        <v>#REF!</v>
      </c>
      <c r="Q53" s="11" t="e">
        <f>+#REF!-O53</f>
        <v>#REF!</v>
      </c>
      <c r="R53" t="e">
        <f>+#REF!*$T$3</f>
        <v>#REF!</v>
      </c>
      <c r="S53" t="e">
        <f t="shared" si="20"/>
        <v>#REF!</v>
      </c>
      <c r="T53" t="e">
        <f>+IF(#REF!&lt;&gt;"",#REF!,"")</f>
        <v>#REF!</v>
      </c>
      <c r="U53" t="e">
        <f>+RANK(#REF!,$H$6:$H$1048576,1)</f>
        <v>#REF!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 t="e">
        <f>+(#REF!*1)-V54</f>
        <v>#REF!</v>
      </c>
      <c r="P54" s="134" t="e">
        <f>+#REF!-O54-W54</f>
        <v>#REF!</v>
      </c>
      <c r="Q54" s="11" t="e">
        <f>+#REF!-O54</f>
        <v>#REF!</v>
      </c>
      <c r="R54" t="e">
        <f>+#REF!*$T$3</f>
        <v>#REF!</v>
      </c>
      <c r="S54" t="e">
        <f t="shared" si="20"/>
        <v>#REF!</v>
      </c>
      <c r="T54" t="e">
        <f>+IF(#REF!&lt;&gt;"",#REF!,"")</f>
        <v>#REF!</v>
      </c>
      <c r="U54" t="e">
        <f>+RANK(#REF!,$H$6:$H$1048576,1)</f>
        <v>#REF!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 t="e">
        <f>+(#REF!*1)-V55</f>
        <v>#REF!</v>
      </c>
      <c r="P55" s="134" t="e">
        <f>+#REF!-O55-W55</f>
        <v>#REF!</v>
      </c>
      <c r="Q55" s="11" t="e">
        <f>+#REF!-O55</f>
        <v>#REF!</v>
      </c>
      <c r="R55" t="e">
        <f>+#REF!*$T$3</f>
        <v>#REF!</v>
      </c>
      <c r="S55" t="e">
        <f t="shared" si="20"/>
        <v>#REF!</v>
      </c>
      <c r="T55" t="e">
        <f>+IF(#REF!&lt;&gt;"",#REF!,"")</f>
        <v>#REF!</v>
      </c>
      <c r="U55" t="e">
        <f>+RANK(#REF!,$H$6:$H$1048576,1)</f>
        <v>#REF!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>
        <f>+(E77*1)-V56</f>
        <v>0</v>
      </c>
      <c r="P56" s="134">
        <f>+I77-O56-W56</f>
        <v>0</v>
      </c>
      <c r="Q56" s="11">
        <f>+G77-O56</f>
        <v>0</v>
      </c>
      <c r="R56">
        <f>+E77*$T$3</f>
        <v>0</v>
      </c>
      <c r="S56">
        <f t="shared" si="20"/>
        <v>0</v>
      </c>
      <c r="T56" t="str">
        <f>+IF(K77&lt;&gt;"",K77,"")</f>
        <v/>
      </c>
      <c r="U56" t="e">
        <f>+RANK(H77,$H$6:$H$1048576,1)</f>
        <v>#N/A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>
        <f>+(E78*1)-V57</f>
        <v>0</v>
      </c>
      <c r="P57" s="134">
        <f>+I78-O57-W57</f>
        <v>0</v>
      </c>
      <c r="Q57" s="11">
        <f>+G78-O57</f>
        <v>0</v>
      </c>
      <c r="R57">
        <f>+E78*$T$3</f>
        <v>0</v>
      </c>
      <c r="S57">
        <f t="shared" si="20"/>
        <v>0</v>
      </c>
      <c r="T57" t="str">
        <f>+IF(K78&lt;&gt;"",K78,"")</f>
        <v/>
      </c>
      <c r="U57" t="e">
        <f>+RANK(H78,$H$6:$H$1048576,1)</f>
        <v>#N/A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>
        <f>+(E79*1)-V58</f>
        <v>0</v>
      </c>
      <c r="P58" s="134">
        <f>+I79-O58-W58</f>
        <v>0</v>
      </c>
      <c r="Q58" s="11">
        <f>+G79-O58</f>
        <v>0</v>
      </c>
      <c r="R58">
        <f>+E79*$T$3</f>
        <v>0</v>
      </c>
      <c r="S58">
        <f t="shared" si="20"/>
        <v>0</v>
      </c>
      <c r="T58" t="str">
        <f>+IF(K79&lt;&gt;"",K79,"")</f>
        <v/>
      </c>
      <c r="U58" t="e">
        <f>+RANK(H79,$H$6:$H$1048576,1)</f>
        <v>#N/A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>
        <f>+(E80*1)-V59</f>
        <v>0</v>
      </c>
      <c r="P59" s="134">
        <f>+I80-O59-W59</f>
        <v>0</v>
      </c>
      <c r="Q59" s="11">
        <f>+G80-O59</f>
        <v>0</v>
      </c>
      <c r="R59">
        <f>+E80*$T$3</f>
        <v>0</v>
      </c>
      <c r="S59">
        <f t="shared" si="20"/>
        <v>0</v>
      </c>
      <c r="T59" t="str">
        <f>+IF(K80&lt;&gt;"",K80,"")</f>
        <v/>
      </c>
      <c r="U59" t="e">
        <f>+RANK(H80,$H$6:$H$1048576,1)</f>
        <v>#N/A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>
        <f>+(E81*1)-V60</f>
        <v>0</v>
      </c>
      <c r="P60" s="134">
        <f>+I81-O60-W60</f>
        <v>0</v>
      </c>
      <c r="Q60" s="11">
        <f>+G81-O60</f>
        <v>0</v>
      </c>
      <c r="R60">
        <f>+E81*$T$3</f>
        <v>0</v>
      </c>
      <c r="S60">
        <f t="shared" si="20"/>
        <v>0</v>
      </c>
      <c r="T60" t="str">
        <f>+IF(K81&lt;&gt;"",K81,"")</f>
        <v/>
      </c>
      <c r="U60" t="e">
        <f>+RANK(H81,$H$6:$H$1048576,1)</f>
        <v>#N/A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</row>
    <row r="65" spans="2:14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</row>
    <row r="66" spans="2:14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</row>
    <row r="67" spans="2:14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</row>
    <row r="68" spans="2:14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</row>
    <row r="69" spans="2:14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</row>
    <row r="70" spans="2:14" x14ac:dyDescent="0.2">
      <c r="B70" s="245"/>
      <c r="C70" s="255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14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14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14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14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14" x14ac:dyDescent="0.2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52"/>
      <c r="M75" s="253"/>
      <c r="N75" s="203"/>
    </row>
    <row r="76" spans="2:14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14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58"/>
    </row>
    <row r="78" spans="2:14" x14ac:dyDescent="0.2">
      <c r="B78" s="245"/>
      <c r="C78" s="255"/>
      <c r="D78" s="247"/>
      <c r="E78" s="248"/>
      <c r="F78" s="248"/>
      <c r="G78" s="254"/>
      <c r="H78" s="257"/>
      <c r="I78" s="222"/>
      <c r="J78" s="343"/>
      <c r="K78" s="247"/>
      <c r="L78" s="252"/>
      <c r="M78" s="253"/>
      <c r="N78" s="258"/>
    </row>
    <row r="79" spans="2:14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14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199"/>
      <c r="H82" s="257"/>
      <c r="I82" s="222"/>
      <c r="J82" s="343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03"/>
      <c r="M90" s="253"/>
      <c r="N90" s="258"/>
    </row>
    <row r="91" spans="2:14" x14ac:dyDescent="0.2">
      <c r="B91" s="245"/>
      <c r="C91" s="255"/>
      <c r="D91" s="247"/>
      <c r="E91" s="248"/>
      <c r="F91" s="248"/>
      <c r="G91" s="199"/>
      <c r="H91" s="257"/>
      <c r="I91" s="222"/>
      <c r="J91" s="343"/>
      <c r="K91" s="247"/>
      <c r="L91" s="203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55"/>
      <c r="D96" s="247"/>
      <c r="E96" s="248"/>
      <c r="F96" s="248"/>
      <c r="G96" s="254"/>
      <c r="H96" s="259"/>
      <c r="I96" s="260"/>
      <c r="J96" s="344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55"/>
      <c r="D101" s="247"/>
      <c r="E101" s="248"/>
      <c r="F101" s="248"/>
      <c r="G101" s="199"/>
      <c r="H101" s="257"/>
      <c r="I101" s="222"/>
      <c r="J101" s="343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6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55"/>
      <c r="D115" s="247"/>
      <c r="E115" s="248"/>
      <c r="F115" s="248"/>
      <c r="G115" s="199"/>
      <c r="H115" s="257"/>
      <c r="I115" s="222"/>
      <c r="J115" s="343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6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5"/>
      <c r="E121" s="248"/>
      <c r="F121" s="248"/>
      <c r="G121" s="261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57"/>
      <c r="I126" s="222"/>
      <c r="J126" s="343"/>
      <c r="K126" s="262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03"/>
      <c r="M135" s="253"/>
      <c r="N135" s="258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58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5"/>
      <c r="E141" s="248"/>
      <c r="F141" s="248"/>
      <c r="G141" s="201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51"/>
      <c r="J155" s="341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5"/>
      <c r="E160" s="248"/>
      <c r="F160" s="248"/>
      <c r="G160" s="201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58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50"/>
      <c r="I193" s="221"/>
      <c r="J193" s="342"/>
      <c r="K193" s="247"/>
      <c r="L193" s="252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55"/>
      <c r="D210" s="247"/>
      <c r="E210" s="248"/>
      <c r="F210" s="248"/>
      <c r="G210" s="199"/>
      <c r="H210" s="244"/>
      <c r="I210" s="222"/>
      <c r="J210" s="343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55"/>
      <c r="D215" s="247"/>
      <c r="E215" s="248"/>
      <c r="F215" s="248"/>
      <c r="G215" s="199"/>
      <c r="H215" s="244"/>
      <c r="I215" s="222"/>
      <c r="J215" s="343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5"/>
      <c r="E217" s="248"/>
      <c r="F217" s="248"/>
      <c r="G217" s="261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55"/>
      <c r="D226" s="247"/>
      <c r="E226" s="248"/>
      <c r="F226" s="248"/>
      <c r="G226" s="261"/>
      <c r="H226" s="263"/>
      <c r="I226" s="260"/>
      <c r="J226" s="344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5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44"/>
      <c r="I236" s="222"/>
      <c r="J236" s="343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03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261"/>
      <c r="H260" s="200"/>
      <c r="I260" s="221"/>
      <c r="J260" s="342"/>
      <c r="K260" s="245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0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6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7"/>
      <c r="E277" s="248"/>
      <c r="F277" s="248"/>
      <c r="G277" s="199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5"/>
      <c r="E278" s="248"/>
      <c r="F278" s="248"/>
      <c r="G278" s="261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5"/>
      <c r="E280" s="248"/>
      <c r="F280" s="248"/>
      <c r="G280" s="20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5"/>
      <c r="E283" s="248"/>
      <c r="F283" s="248"/>
      <c r="G283" s="26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4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5"/>
      <c r="E301" s="248"/>
      <c r="F301" s="248"/>
      <c r="G301" s="261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55"/>
      <c r="D385" s="247"/>
      <c r="E385" s="248"/>
      <c r="F385" s="248"/>
      <c r="G385" s="199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55"/>
      <c r="D414" s="247"/>
      <c r="E414" s="248"/>
      <c r="F414" s="248"/>
      <c r="G414" s="199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4"/>
      <c r="L427" s="252"/>
      <c r="M427" s="253"/>
      <c r="N427" s="265"/>
    </row>
    <row r="428" spans="2:14" x14ac:dyDescent="0.2">
      <c r="B428" s="245"/>
      <c r="C428" s="246"/>
      <c r="D428" s="245"/>
      <c r="E428" s="248"/>
      <c r="F428" s="248"/>
      <c r="G428" s="261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55"/>
      <c r="D442" s="247"/>
      <c r="E442" s="248"/>
      <c r="F442" s="248"/>
      <c r="G442" s="199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68"/>
      <c r="F449" s="268"/>
      <c r="G449" s="269"/>
      <c r="H449" s="270"/>
      <c r="I449" s="271"/>
      <c r="J449" s="346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261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199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5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4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55"/>
      <c r="D465" s="247"/>
      <c r="E465" s="248"/>
      <c r="F465" s="248"/>
      <c r="G465" s="199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5"/>
      <c r="E488" s="248"/>
      <c r="F488" s="248"/>
      <c r="G488" s="261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55"/>
      <c r="D501" s="247"/>
      <c r="E501" s="248"/>
      <c r="F501" s="248"/>
      <c r="G501" s="199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4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7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72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55"/>
      <c r="D541" s="247"/>
      <c r="E541" s="248"/>
      <c r="F541" s="248"/>
      <c r="G541" s="199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5"/>
      <c r="E544" s="248"/>
      <c r="F544" s="248"/>
      <c r="G544" s="261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7"/>
      <c r="E547" s="248"/>
      <c r="F547" s="248"/>
      <c r="G547" s="199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5"/>
      <c r="E556" s="248"/>
      <c r="F556" s="248"/>
      <c r="G556" s="261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5"/>
      <c r="E564" s="248"/>
      <c r="F564" s="248"/>
      <c r="G564" s="201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55"/>
      <c r="D570" s="245"/>
      <c r="E570" s="248"/>
      <c r="F570" s="248"/>
      <c r="G570" s="201"/>
      <c r="H570" s="202"/>
      <c r="I570" s="223"/>
      <c r="J570" s="345"/>
      <c r="K570" s="264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7"/>
      <c r="E572" s="248"/>
      <c r="F572" s="248"/>
      <c r="G572" s="199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5"/>
      <c r="E592" s="248"/>
      <c r="F592" s="248"/>
      <c r="G592" s="261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55"/>
      <c r="D602" s="245"/>
      <c r="E602" s="248"/>
      <c r="F602" s="248"/>
      <c r="G602" s="201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4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5"/>
      <c r="E614" s="248"/>
      <c r="F614" s="248"/>
      <c r="G614" s="261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5"/>
      <c r="E621" s="248"/>
      <c r="F621" s="248"/>
      <c r="G621" s="201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55"/>
      <c r="D632" s="247"/>
      <c r="E632" s="248"/>
      <c r="F632" s="248"/>
      <c r="G632" s="199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4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55"/>
      <c r="D671" s="247"/>
      <c r="E671" s="248"/>
      <c r="F671" s="248"/>
      <c r="G671" s="199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5"/>
      <c r="E675" s="248"/>
      <c r="F675" s="248"/>
      <c r="G675" s="261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55"/>
      <c r="D680" s="247"/>
      <c r="E680" s="248"/>
      <c r="F680" s="248"/>
      <c r="G680" s="199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5"/>
      <c r="E683" s="248"/>
      <c r="F683" s="248"/>
      <c r="G683" s="261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55"/>
      <c r="D699" s="245"/>
      <c r="E699" s="248"/>
      <c r="F699" s="248"/>
      <c r="G699" s="201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4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4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73"/>
    </row>
    <row r="739" spans="2:14" x14ac:dyDescent="0.2">
      <c r="B739" s="245"/>
      <c r="C739" s="255"/>
      <c r="D739" s="245"/>
      <c r="E739" s="248"/>
      <c r="F739" s="248"/>
      <c r="G739" s="201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55"/>
      <c r="D743" s="247"/>
      <c r="E743" s="248"/>
      <c r="F743" s="248"/>
      <c r="G743" s="199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4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5"/>
      <c r="E758" s="248"/>
      <c r="F758" s="248"/>
      <c r="G758" s="261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0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55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4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5"/>
      <c r="E800" s="248"/>
      <c r="F800" s="248"/>
      <c r="G800" s="261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4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55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55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55"/>
      <c r="D824" s="247"/>
      <c r="E824" s="248"/>
      <c r="F824" s="248"/>
      <c r="G824" s="199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5"/>
      <c r="E835" s="248"/>
      <c r="F835" s="248"/>
      <c r="G835" s="261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4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5"/>
      <c r="E844" s="248"/>
      <c r="F844" s="248"/>
      <c r="G844" s="261"/>
      <c r="H844" s="202"/>
      <c r="I844" s="223"/>
      <c r="J844" s="345"/>
      <c r="K844" s="264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55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199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74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5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7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199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199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199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0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4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01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5"/>
      <c r="E1046" s="248"/>
      <c r="F1046" s="248"/>
      <c r="G1046" s="261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5"/>
      <c r="E1059" s="248"/>
      <c r="F1059" s="248"/>
      <c r="G1059" s="261"/>
      <c r="H1059" s="202"/>
      <c r="I1059" s="223"/>
      <c r="J1059" s="345"/>
      <c r="K1059" s="264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03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199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5"/>
      <c r="E1087" s="275"/>
      <c r="F1087" s="275"/>
      <c r="G1087" s="205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5"/>
      <c r="E1095" s="248"/>
      <c r="F1095" s="248"/>
      <c r="G1095" s="205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199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03"/>
      <c r="M1116" s="253"/>
      <c r="N1116" s="203"/>
    </row>
    <row r="1117" spans="2:14" x14ac:dyDescent="0.2">
      <c r="B1117" s="245"/>
      <c r="C1117" s="255"/>
      <c r="D1117" s="245"/>
      <c r="E1117" s="248"/>
      <c r="F1117" s="248"/>
      <c r="G1117" s="205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5"/>
      <c r="E1126" s="248"/>
      <c r="F1126" s="248"/>
      <c r="G1126" s="206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76"/>
      <c r="D1137" s="276"/>
      <c r="E1137" s="248"/>
      <c r="F1137" s="277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5"/>
      <c r="E1139" s="248"/>
      <c r="F1139" s="248"/>
      <c r="G1139" s="201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4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74"/>
      <c r="L1145" s="252"/>
      <c r="M1145" s="253"/>
      <c r="N1145" s="203"/>
    </row>
    <row r="1146" spans="2:14" x14ac:dyDescent="0.2">
      <c r="B1146" s="245"/>
      <c r="C1146" s="255"/>
      <c r="D1146" s="245"/>
      <c r="E1146" s="248"/>
      <c r="F1146" s="248"/>
      <c r="G1146" s="261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61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5"/>
      <c r="E1161" s="275"/>
      <c r="F1161" s="275"/>
      <c r="G1161" s="205"/>
      <c r="H1161" s="202"/>
      <c r="I1161" s="223"/>
      <c r="J1161" s="345"/>
      <c r="K1161" s="274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74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199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5"/>
      <c r="E1188" s="248"/>
      <c r="F1188" s="248"/>
      <c r="G1188" s="261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4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5"/>
      <c r="E1208" s="248"/>
      <c r="F1208" s="248"/>
      <c r="G1208" s="205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01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5"/>
      <c r="E1214" s="248"/>
      <c r="F1214" s="248"/>
      <c r="G1214" s="206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75"/>
      <c r="F1216" s="275"/>
      <c r="G1216" s="205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03"/>
      <c r="M1230" s="253"/>
      <c r="N1230" s="204"/>
    </row>
    <row r="1231" spans="2:14" x14ac:dyDescent="0.2">
      <c r="B1231" s="245"/>
      <c r="C1231" s="280"/>
      <c r="D1231" s="281"/>
      <c r="E1231" s="275"/>
      <c r="F1231" s="275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199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46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76"/>
      <c r="D1241" s="276"/>
      <c r="E1241" s="277"/>
      <c r="F1241" s="277"/>
      <c r="G1241" s="209"/>
      <c r="H1241" s="207"/>
      <c r="I1241" s="221"/>
      <c r="J1241" s="342"/>
      <c r="K1241" s="282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5"/>
      <c r="E1245" s="248"/>
      <c r="F1245" s="248"/>
      <c r="G1245" s="261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46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05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61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10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78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2">
      <c r="B1264" s="37"/>
      <c r="C1264" s="286"/>
      <c r="D1264" s="37"/>
      <c r="E1264" s="60"/>
      <c r="F1264" s="60"/>
      <c r="G1264" s="213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1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66"/>
      <c r="D1268" s="287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8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78"/>
      <c r="D1274" s="109"/>
      <c r="E1274" s="68"/>
      <c r="F1274" s="68"/>
      <c r="G1274" s="21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1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283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9"/>
      <c r="D1302" s="290"/>
      <c r="E1302" s="291"/>
      <c r="F1302" s="291"/>
      <c r="G1302" s="284"/>
      <c r="H1302" s="215"/>
      <c r="I1302" s="224"/>
      <c r="J1302" s="347"/>
      <c r="K1302" s="69"/>
      <c r="L1302" s="216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3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2">
      <c r="B1306" s="30"/>
      <c r="C1306" s="78"/>
      <c r="D1306" s="109"/>
      <c r="E1306" s="68"/>
      <c r="F1306" s="68"/>
      <c r="G1306" s="288"/>
      <c r="H1306" s="211"/>
      <c r="I1306" s="224"/>
      <c r="J1306" s="347"/>
      <c r="K1306" s="80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16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1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1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3"/>
      <c r="H1351" s="215"/>
      <c r="I1351" s="293"/>
      <c r="J1351" s="348"/>
      <c r="K1351" s="69"/>
      <c r="L1351" s="285"/>
      <c r="M1351" s="116"/>
      <c r="N1351" s="212"/>
    </row>
    <row r="1352" spans="2:14" x14ac:dyDescent="0.2">
      <c r="B1352" s="292"/>
      <c r="C1352" s="78"/>
      <c r="D1352" s="109"/>
      <c r="E1352" s="68"/>
      <c r="F1352" s="68"/>
      <c r="G1352" s="288"/>
      <c r="H1352" s="211"/>
      <c r="I1352" s="224"/>
      <c r="J1352" s="347"/>
      <c r="K1352" s="80"/>
      <c r="L1352" s="216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8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289"/>
      <c r="D1354" s="290"/>
      <c r="E1354" s="294"/>
      <c r="F1354" s="295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297"/>
      <c r="F1357" s="298"/>
      <c r="G1357" s="299"/>
      <c r="H1357" s="300"/>
      <c r="I1357" s="301"/>
      <c r="J1357" s="349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16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289"/>
      <c r="D1363" s="290"/>
      <c r="E1363" s="291"/>
      <c r="F1363" s="284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6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1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8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77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68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x14ac:dyDescent="0.2">
      <c r="B1386" s="65"/>
      <c r="C1386" s="78"/>
      <c r="D1386" s="109"/>
      <c r="E1386" s="68"/>
      <c r="F1386" s="77"/>
      <c r="G1386" s="302"/>
      <c r="H1386" s="211"/>
      <c r="I1386" s="224"/>
      <c r="J1386" s="347"/>
      <c r="K1386" s="80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84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77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78"/>
      <c r="D1399" s="109"/>
      <c r="E1399" s="68"/>
      <c r="F1399" s="68"/>
      <c r="G1399" s="214"/>
      <c r="H1399" s="215"/>
      <c r="I1399" s="293"/>
      <c r="J1399" s="348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289"/>
      <c r="D1410" s="290"/>
      <c r="E1410" s="291"/>
      <c r="F1410" s="304"/>
      <c r="G1410" s="28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23"/>
      <c r="D1431" s="37"/>
      <c r="E1431" s="60"/>
      <c r="F1431" s="26"/>
      <c r="G1431" s="2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78"/>
      <c r="D1433" s="109"/>
      <c r="E1433" s="68"/>
      <c r="F1433" s="77"/>
      <c r="G1433" s="305"/>
      <c r="H1433" s="215"/>
      <c r="I1433" s="293"/>
      <c r="J1433" s="348"/>
      <c r="K1433" s="69"/>
      <c r="L1433" s="216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302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23"/>
      <c r="D1441" s="37"/>
      <c r="E1441" s="60"/>
      <c r="F1441" s="26"/>
      <c r="G1441" s="10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3"/>
      <c r="D1444" s="290"/>
      <c r="E1444" s="291"/>
      <c r="F1444" s="304"/>
      <c r="G1444" s="28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80"/>
      <c r="L1447" s="285"/>
      <c r="M1447" s="116"/>
      <c r="N1447" s="212"/>
    </row>
    <row r="1448" spans="2:14" ht="15" x14ac:dyDescent="0.25">
      <c r="B1448" s="91"/>
      <c r="C1448" s="23"/>
      <c r="D1448" s="37"/>
      <c r="E1448" s="60"/>
      <c r="F1448" s="26"/>
      <c r="G1448" s="10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27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78"/>
      <c r="D1451" s="109"/>
      <c r="E1451" s="68"/>
      <c r="F1451" s="77"/>
      <c r="G1451" s="21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290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286"/>
      <c r="D1459" s="286"/>
      <c r="E1459" s="306"/>
      <c r="F1459" s="307"/>
      <c r="G1459" s="307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78"/>
      <c r="D1460" s="109"/>
      <c r="E1460" s="68"/>
      <c r="F1460" s="77"/>
      <c r="G1460" s="214"/>
      <c r="H1460" s="215"/>
      <c r="I1460" s="293"/>
      <c r="J1460" s="348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78"/>
      <c r="D1469" s="109"/>
      <c r="E1469" s="68"/>
      <c r="F1469" s="77"/>
      <c r="G1469" s="308"/>
      <c r="H1469" s="215"/>
      <c r="I1469" s="293"/>
      <c r="J1469" s="348"/>
      <c r="K1469" s="69"/>
      <c r="L1469" s="216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10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296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68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6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78"/>
      <c r="D1491" s="109"/>
      <c r="E1491" s="68"/>
      <c r="F1491" s="77"/>
      <c r="G1491" s="311"/>
      <c r="H1491" s="312"/>
      <c r="I1491" s="313"/>
      <c r="J1491" s="352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4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126"/>
      <c r="M1499" s="116"/>
      <c r="N1499" s="217"/>
    </row>
    <row r="1500" spans="2:14" ht="15.75" x14ac:dyDescent="0.25">
      <c r="B1500" s="31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91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316"/>
      <c r="D1503" s="65"/>
      <c r="E1503" s="68"/>
      <c r="F1503" s="117"/>
      <c r="G1503" s="117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313"/>
      <c r="J1510" s="352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21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107"/>
      <c r="J1516" s="351"/>
      <c r="K1516" s="69"/>
      <c r="L1516" s="285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3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80"/>
      <c r="L1525" s="126"/>
      <c r="M1525" s="117"/>
      <c r="N1525" s="217"/>
    </row>
    <row r="1526" spans="2:14" ht="15" x14ac:dyDescent="0.25">
      <c r="B1526" s="37"/>
      <c r="C1526" s="66"/>
      <c r="D1526" s="109"/>
      <c r="E1526" s="68"/>
      <c r="F1526" s="77"/>
      <c r="G1526" s="104"/>
      <c r="H1526" s="123"/>
      <c r="I1526" s="107"/>
      <c r="J1526" s="351"/>
      <c r="K1526" s="80"/>
      <c r="L1526" s="126"/>
      <c r="M1526" s="116"/>
      <c r="N1526" s="217"/>
    </row>
    <row r="1527" spans="2:14" ht="15" x14ac:dyDescent="0.25">
      <c r="B1527" s="37"/>
      <c r="C1527" s="66"/>
      <c r="D1527" s="109"/>
      <c r="E1527" s="68"/>
      <c r="F1527" s="68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316"/>
      <c r="D1528" s="65"/>
      <c r="E1528" s="68"/>
      <c r="F1528" s="117"/>
      <c r="G1528" s="117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313"/>
      <c r="J1535" s="352"/>
      <c r="K1535" s="69"/>
      <c r="L1535" s="216"/>
      <c r="M1535" s="116"/>
      <c r="N1535" s="212"/>
    </row>
    <row r="1536" spans="2:14" ht="15" x14ac:dyDescent="0.25">
      <c r="B1536" s="91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78"/>
      <c r="D1540" s="109"/>
      <c r="E1540" s="68"/>
      <c r="F1540" s="77"/>
      <c r="G1540" s="311"/>
      <c r="H1540" s="312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68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123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312"/>
      <c r="I1559" s="313"/>
      <c r="J1559" s="352"/>
      <c r="K1559" s="69"/>
      <c r="L1559" s="216"/>
      <c r="M1559" s="116"/>
      <c r="N1559" s="212"/>
    </row>
    <row r="1560" spans="2:14" x14ac:dyDescent="0.2">
      <c r="B1560" s="91"/>
      <c r="C1560" s="66"/>
      <c r="D1560" s="109"/>
      <c r="E1560" s="68"/>
      <c r="F1560" s="77"/>
      <c r="G1560" s="104"/>
      <c r="H1560" s="121"/>
      <c r="I1560" s="129"/>
      <c r="J1560" s="353"/>
      <c r="K1560" s="80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3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3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79"/>
      <c r="L1573" s="126"/>
      <c r="M1573" s="115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3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216"/>
      <c r="M1588" s="116"/>
      <c r="N1588" s="212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68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318"/>
      <c r="M1596" s="116"/>
      <c r="N1596" s="3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118"/>
      <c r="M1599" s="116"/>
      <c r="N1599" s="318"/>
    </row>
    <row r="1600" spans="2:14" ht="15" x14ac:dyDescent="0.25">
      <c r="B1600" s="65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311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1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318"/>
      <c r="M1620" s="116"/>
      <c r="N1620" s="318"/>
    </row>
    <row r="1621" spans="2:14" ht="15" x14ac:dyDescent="0.25">
      <c r="B1621" s="91"/>
      <c r="C1621" s="66"/>
      <c r="D1621" s="109"/>
      <c r="E1621" s="68"/>
      <c r="F1621" s="68"/>
      <c r="G1621" s="104"/>
      <c r="H1621" s="121"/>
      <c r="I1621" s="107"/>
      <c r="J1621" s="351"/>
      <c r="K1621" s="69"/>
      <c r="L1621" s="1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9"/>
    </row>
    <row r="1629" spans="2:14" ht="15" x14ac:dyDescent="0.25">
      <c r="B1629" s="91"/>
      <c r="C1629" s="66"/>
      <c r="D1629" s="109"/>
      <c r="E1629" s="68"/>
      <c r="F1629" s="68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78"/>
      <c r="D1631" s="109"/>
      <c r="E1631" s="68"/>
      <c r="F1631" s="77"/>
      <c r="G1631" s="311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91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311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311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68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3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123"/>
      <c r="I1652" s="107"/>
      <c r="J1652" s="351"/>
      <c r="K1652" s="69"/>
      <c r="L1652" s="1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20"/>
      <c r="M1658" s="116"/>
      <c r="N1658" s="2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68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79"/>
      <c r="L1669" s="120"/>
      <c r="M1669" s="115"/>
      <c r="N1669" s="2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114"/>
      <c r="L1672" s="118"/>
      <c r="M1672" s="117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66"/>
      <c r="D1683" s="109"/>
      <c r="E1683" s="68"/>
      <c r="F1683" s="68"/>
      <c r="G1683" s="104"/>
      <c r="H1683" s="121"/>
      <c r="I1683" s="107"/>
      <c r="J1683" s="351"/>
      <c r="K1683" s="69"/>
      <c r="L1683" s="118"/>
      <c r="M1683" s="116"/>
      <c r="N1683" s="320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78"/>
      <c r="D1699" s="100"/>
      <c r="E1699" s="101"/>
      <c r="F1699" s="77"/>
      <c r="G1699" s="311"/>
      <c r="H1699" s="321"/>
      <c r="I1699" s="313"/>
      <c r="J1699" s="352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9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68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78"/>
      <c r="D1717" s="100"/>
      <c r="E1717" s="101"/>
      <c r="F1717" s="77"/>
      <c r="G1717" s="311"/>
      <c r="H1717" s="321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70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68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322"/>
      <c r="M1722" s="82"/>
      <c r="N1722" s="323"/>
    </row>
    <row r="1723" spans="2:14" ht="15" x14ac:dyDescent="0.25">
      <c r="B1723" s="65"/>
      <c r="C1723" s="78"/>
      <c r="D1723" s="100"/>
      <c r="E1723" s="101"/>
      <c r="F1723" s="77"/>
      <c r="G1723" s="311"/>
      <c r="H1723" s="321"/>
      <c r="I1723" s="313"/>
      <c r="J1723" s="352"/>
      <c r="K1723" s="69"/>
      <c r="L1723" s="322"/>
      <c r="M1723" s="82"/>
      <c r="N1723" s="323"/>
    </row>
    <row r="1724" spans="2:14" ht="15" x14ac:dyDescent="0.25">
      <c r="B1724" s="65"/>
      <c r="C1724" s="66"/>
      <c r="D1724" s="100"/>
      <c r="E1724" s="101"/>
      <c r="F1724" s="68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ht="15" x14ac:dyDescent="0.25">
      <c r="B1730" s="65"/>
      <c r="C1730" s="78"/>
      <c r="D1730" s="100"/>
      <c r="E1730" s="101"/>
      <c r="F1730" s="77"/>
      <c r="G1730" s="311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100"/>
      <c r="E1731" s="102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x14ac:dyDescent="0.2">
      <c r="B1736" s="65"/>
      <c r="C1736" s="66"/>
      <c r="D1736" s="90"/>
      <c r="E1736" s="67"/>
      <c r="F1736" s="77"/>
      <c r="G1736" s="77"/>
      <c r="H1736" s="106"/>
      <c r="I1736" s="94"/>
      <c r="J1736" s="356"/>
      <c r="K1736" s="80"/>
      <c r="L1736" s="84"/>
      <c r="M1736" s="82"/>
      <c r="N1736" s="327"/>
    </row>
    <row r="1737" spans="2:14" ht="15" x14ac:dyDescent="0.25">
      <c r="B1737" s="65"/>
      <c r="C1737" s="78"/>
      <c r="D1737" s="90"/>
      <c r="E1737" s="67"/>
      <c r="F1737" s="77"/>
      <c r="G1737" s="328"/>
      <c r="H1737" s="321"/>
      <c r="I1737" s="326"/>
      <c r="J1737" s="355"/>
      <c r="K1737" s="69"/>
      <c r="L1737" s="322"/>
      <c r="M1737" s="82"/>
      <c r="N1737" s="327"/>
    </row>
    <row r="1738" spans="2:14" ht="15" x14ac:dyDescent="0.25">
      <c r="B1738" s="65"/>
      <c r="C1738" s="66"/>
      <c r="D1738" s="90"/>
      <c r="E1738" s="67"/>
      <c r="F1738" s="77"/>
      <c r="G1738" s="77"/>
      <c r="H1738" s="106"/>
      <c r="I1738" s="95"/>
      <c r="J1738" s="357"/>
      <c r="K1738" s="80"/>
      <c r="L1738" s="84"/>
      <c r="M1738" s="82"/>
      <c r="N1738" s="327"/>
    </row>
    <row r="1739" spans="2:14" ht="15" x14ac:dyDescent="0.25">
      <c r="B1739" s="91"/>
      <c r="C1739" s="66"/>
      <c r="D1739" s="90"/>
      <c r="E1739" s="67"/>
      <c r="F1739" s="77"/>
      <c r="G1739" s="77"/>
      <c r="H1739" s="106"/>
      <c r="I1739" s="95"/>
      <c r="J1739" s="357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ht="15" x14ac:dyDescent="0.25">
      <c r="B1744" s="91"/>
      <c r="C1744" s="78"/>
      <c r="D1744" s="90"/>
      <c r="E1744" s="67"/>
      <c r="F1744" s="77"/>
      <c r="G1744" s="328"/>
      <c r="H1744" s="321"/>
      <c r="I1744" s="326"/>
      <c r="J1744" s="355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80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322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3"/>
    </row>
    <row r="1751" spans="2:14" ht="15" x14ac:dyDescent="0.25">
      <c r="B1751" s="65"/>
      <c r="C1751" s="78"/>
      <c r="D1751" s="90"/>
      <c r="E1751" s="67"/>
      <c r="F1751" s="77"/>
      <c r="G1751" s="328"/>
      <c r="H1751" s="321"/>
      <c r="I1751" s="326"/>
      <c r="J1751" s="355"/>
      <c r="K1751" s="69"/>
      <c r="L1751" s="322"/>
      <c r="M1751" s="82"/>
      <c r="N1751" s="323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0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0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2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60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0"/>
      <c r="M1771" s="34"/>
      <c r="N1771" s="35"/>
    </row>
    <row r="1772" spans="2:14" x14ac:dyDescent="0.2">
      <c r="B1772" s="37"/>
      <c r="C1772" s="23"/>
      <c r="D1772" s="24"/>
      <c r="E1772" s="25"/>
      <c r="F1772" s="60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ht="15" x14ac:dyDescent="0.25">
      <c r="B1776" s="30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26"/>
      <c r="H1787" s="329"/>
      <c r="I1787" s="41"/>
      <c r="J1787" s="358"/>
      <c r="K1787" s="36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325"/>
      <c r="H1788" s="332"/>
      <c r="I1788" s="333"/>
      <c r="J1788" s="359"/>
      <c r="K1788" s="27"/>
      <c r="L1788" s="33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2">
      <c r="B1790" s="37"/>
      <c r="C1790" s="52"/>
      <c r="D1790" s="24"/>
      <c r="E1790" s="25"/>
      <c r="F1790" s="26"/>
      <c r="G1790" s="26"/>
      <c r="H1790" s="329"/>
      <c r="I1790" s="42"/>
      <c r="J1790" s="360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60"/>
      <c r="G1791" s="26"/>
      <c r="H1791" s="329"/>
      <c r="I1791" s="41"/>
      <c r="J1791" s="358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x14ac:dyDescent="0.2">
      <c r="B1796" s="37"/>
      <c r="C1796" s="23"/>
      <c r="D1796" s="24"/>
      <c r="E1796" s="25"/>
      <c r="F1796" s="26"/>
      <c r="G1796" s="325"/>
      <c r="H1796" s="332"/>
      <c r="I1796" s="334"/>
      <c r="J1796" s="361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36"/>
      <c r="L1797" s="33"/>
      <c r="M1797" s="34"/>
      <c r="N1797" s="35"/>
    </row>
    <row r="1798" spans="2:14" x14ac:dyDescent="0.2">
      <c r="B1798" s="37"/>
      <c r="C1798" s="53"/>
      <c r="D1798" s="24"/>
      <c r="E1798" s="25"/>
      <c r="F1798" s="26"/>
      <c r="G1798" s="26"/>
      <c r="H1798" s="329"/>
      <c r="I1798" s="334"/>
      <c r="J1798" s="361"/>
      <c r="K1798" s="36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26"/>
      <c r="H1801" s="329"/>
      <c r="I1801" s="333"/>
      <c r="J1801" s="359"/>
      <c r="K1801" s="36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3"/>
      <c r="D1817" s="24"/>
      <c r="E1817" s="25"/>
      <c r="F1817" s="26"/>
      <c r="G1817" s="325"/>
      <c r="H1817" s="332"/>
      <c r="I1817" s="333"/>
      <c r="J1817" s="359"/>
      <c r="K1817" s="36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36"/>
      <c r="L1819" s="33"/>
      <c r="M1819" s="34"/>
      <c r="N1819" s="35"/>
    </row>
    <row r="1820" spans="2:14" ht="15" x14ac:dyDescent="0.25">
      <c r="B1820" s="37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52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52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325"/>
      <c r="H1829" s="332"/>
      <c r="I1829" s="334"/>
      <c r="J1829" s="361"/>
      <c r="K1829" s="27"/>
      <c r="L1829" s="33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2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36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"/>
      <c r="M1841" s="34"/>
      <c r="N1841" s="35"/>
    </row>
    <row r="1842" spans="2:14" x14ac:dyDescent="0.2">
      <c r="B1842" s="30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26"/>
      <c r="H1845" s="329"/>
      <c r="I1845" s="41"/>
      <c r="J1845" s="358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325"/>
      <c r="H1847" s="332"/>
      <c r="I1847" s="333"/>
      <c r="J1847" s="359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334"/>
      <c r="J1849" s="361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x14ac:dyDescent="0.2">
      <c r="B1853" s="30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x14ac:dyDescent="0.2">
      <c r="B1862" s="30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26"/>
      <c r="H1865" s="329"/>
      <c r="I1865" s="41"/>
      <c r="J1865" s="358"/>
      <c r="K1865" s="36"/>
      <c r="L1865" s="33"/>
      <c r="M1865" s="34"/>
      <c r="N1865" s="35"/>
    </row>
  </sheetData>
  <sortState xmlns:xlrd2="http://schemas.microsoft.com/office/spreadsheetml/2017/richdata2" ref="B7:I1048567">
    <sortCondition ref="C7:C44"/>
  </sortState>
  <mergeCells count="3">
    <mergeCell ref="D1:H1"/>
    <mergeCell ref="D2:K2"/>
    <mergeCell ref="B3:F4"/>
  </mergeCells>
  <phoneticPr fontId="19" type="noConversion"/>
  <conditionalFormatting sqref="H1838:H1861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8:H1860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8:H1859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8:E1865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8:E1865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8:E1865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8:E1865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8:E1865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8:E1865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8:E1865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8:E1865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8:H1865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8:H1865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8:H1865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8:E1865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8:H1865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8:E1865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8:H1865">
    <cfRule type="iconSet" priority="282941">
      <iconSet>
        <cfvo type="percent" val="0"/>
        <cfvo type="percent" val="23"/>
        <cfvo type="percent" val="70"/>
      </iconSet>
    </cfRule>
  </conditionalFormatting>
  <conditionalFormatting sqref="H1838:H1865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8:H1865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8:H1865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8:H1865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8:E1865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8:H1865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8:H1865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8:H1865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8:H1865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8:H1865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8:E1865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8:H1865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8:H1865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8:E1865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8:E1865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8:H1865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8:H1865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8:H1865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8:E1865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8:H1865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8:H1865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8:H1865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8:H1865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8:H1865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8:H1865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8:E1865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8:H1865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8:H1865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8:H1865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8:H1865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8:H1865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8:H1865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8:E1865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8:H1865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8:E1865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8:H1865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8:E1865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8:H1865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09">
      <iconSet>
        <cfvo type="percent" val="0"/>
        <cfvo type="num" val="22"/>
        <cfvo type="num" val="26"/>
      </iconSet>
    </cfRule>
  </conditionalFormatting>
  <conditionalFormatting sqref="H1838:H1865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15">
      <iconSet>
        <cfvo type="percent" val="0"/>
        <cfvo type="num" val="21"/>
        <cfvo type="num" val="25"/>
      </iconSet>
    </cfRule>
  </conditionalFormatting>
  <conditionalFormatting sqref="H1838:H1865">
    <cfRule type="iconSet" priority="283417">
      <iconSet>
        <cfvo type="percent" val="0"/>
        <cfvo type="num" val="19"/>
        <cfvo type="num" val="23"/>
      </iconSet>
    </cfRule>
  </conditionalFormatting>
  <conditionalFormatting sqref="H1838:H1865">
    <cfRule type="iconSet" priority="283419">
      <iconSet>
        <cfvo type="percent" val="0"/>
        <cfvo type="num" val="23"/>
        <cfvo type="num" val="27"/>
      </iconSet>
    </cfRule>
  </conditionalFormatting>
  <conditionalFormatting sqref="E1752:E1754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7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6:E1175 E7:E44">
    <cfRule type="cellIs" dxfId="30" priority="170" operator="greaterThan">
      <formula>7</formula>
    </cfRule>
  </conditionalFormatting>
  <conditionalFormatting sqref="E1485:E4763">
    <cfRule type="cellIs" dxfId="29" priority="137" operator="greaterThan">
      <formula>7</formula>
    </cfRule>
  </conditionalFormatting>
  <conditionalFormatting sqref="I46:I1247 G46:G48 I7:I44">
    <cfRule type="cellIs" dxfId="28" priority="41" operator="lessThan">
      <formula>E7</formula>
    </cfRule>
  </conditionalFormatting>
  <conditionalFormatting sqref="I1838:I1865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8:I1865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8:I1865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8:I1865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8:I1865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8:I1865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8:I1865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8:I1865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8:I1865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8:I1865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8:I1865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8:I1865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8:I1865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8:I1865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4:H1471 H1258:H1432 H46:H1247 H7:H44">
    <cfRule type="cellIs" dxfId="27" priority="297711" operator="greaterThan">
      <formula>$H$45</formula>
    </cfRule>
  </conditionalFormatting>
  <conditionalFormatting sqref="L7:L1247">
    <cfRule type="top10" dxfId="26" priority="297787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E1752:E1754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E1732:E1751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$H$45</xm:f>
              </x14:cfvo>
              <x14:cfIcon iconSet="NoIcons" iconId="0"/>
              <x14:cfIcon iconSet="NoIcons" iconId="0"/>
              <x14:cfIcon iconSet="3Stars" iconId="2"/>
            </x14:iconSet>
          </x14:cfRule>
          <xm:sqref>H1258:H1268 H46:H1247 H7:H44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9" t="s">
        <v>110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111</v>
      </c>
      <c r="E2" s="370"/>
      <c r="F2" s="370"/>
      <c r="G2" s="370"/>
      <c r="H2" s="370"/>
      <c r="I2" s="370"/>
      <c r="J2" s="370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1" t="s">
        <v>115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4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7" spans="2:16" x14ac:dyDescent="0.2">
      <c r="B47" s="364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2025-12-07T06:47:51Z</cp:lastPrinted>
  <dcterms:created xsi:type="dcterms:W3CDTF">2021-05-05T13:25:05Z</dcterms:created>
  <dcterms:modified xsi:type="dcterms:W3CDTF">2025-12-07T06:48:52Z</dcterms:modified>
</cp:coreProperties>
</file>