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8F90F7FA-8BBB-4034-91A1-D3BD80CEB29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Import!$B$6:$N$1865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Import!$B$1:$O$46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5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7" i="1"/>
  <c r="C45" i="1"/>
  <c r="G45" i="1"/>
  <c r="I35" i="1" s="1"/>
  <c r="F45" i="1"/>
  <c r="E45" i="1"/>
  <c r="G11" i="6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P41" i="1"/>
  <c r="R41" i="1" s="1"/>
  <c r="P42" i="1"/>
  <c r="R42" i="1" s="1"/>
  <c r="P43" i="1"/>
  <c r="R43" i="1" s="1"/>
  <c r="P44" i="1"/>
  <c r="R44" i="1" s="1"/>
  <c r="M7" i="1"/>
  <c r="N7" i="1" s="1"/>
  <c r="M8" i="1"/>
  <c r="M9" i="1"/>
  <c r="N10" i="1" s="1"/>
  <c r="M10" i="1"/>
  <c r="M11" i="1"/>
  <c r="M12" i="1"/>
  <c r="M13" i="1"/>
  <c r="M44" i="1"/>
  <c r="M15" i="1"/>
  <c r="M16" i="1"/>
  <c r="M17" i="1"/>
  <c r="M18" i="1"/>
  <c r="M19" i="1"/>
  <c r="M20" i="1"/>
  <c r="M14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H22" i="1"/>
  <c r="H35" i="1"/>
  <c r="H23" i="1"/>
  <c r="H36" i="1"/>
  <c r="H24" i="1"/>
  <c r="H37" i="1"/>
  <c r="H7" i="1"/>
  <c r="H38" i="1"/>
  <c r="H25" i="1"/>
  <c r="H8" i="1"/>
  <c r="H9" i="1"/>
  <c r="H26" i="1"/>
  <c r="H41" i="1"/>
  <c r="H10" i="1"/>
  <c r="H11" i="1"/>
  <c r="H27" i="1"/>
  <c r="H12" i="1"/>
  <c r="H13" i="1"/>
  <c r="H44" i="1"/>
  <c r="H15" i="1"/>
  <c r="H39" i="1"/>
  <c r="H28" i="1"/>
  <c r="H40" i="1"/>
  <c r="H29" i="1"/>
  <c r="H16" i="1"/>
  <c r="H42" i="1"/>
  <c r="H30" i="1"/>
  <c r="H17" i="1"/>
  <c r="H19" i="1"/>
  <c r="H43" i="1"/>
  <c r="H14" i="1"/>
  <c r="H31" i="1"/>
  <c r="H21" i="1"/>
  <c r="H32" i="1"/>
  <c r="H33" i="1"/>
  <c r="H34" i="1"/>
  <c r="H18" i="1"/>
  <c r="H20" i="1"/>
  <c r="P3" i="6"/>
  <c r="U45" i="1"/>
  <c r="P45" i="1"/>
  <c r="R45" i="1" s="1"/>
  <c r="T46" i="1"/>
  <c r="T47" i="1"/>
  <c r="Q46" i="1"/>
  <c r="Q47" i="1"/>
  <c r="M9" i="6"/>
  <c r="T48" i="1"/>
  <c r="Q48" i="1"/>
  <c r="T49" i="1"/>
  <c r="O49" i="1"/>
  <c r="Q49" i="1" s="1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E12" i="3"/>
  <c r="E13" i="3"/>
  <c r="H11" i="3"/>
  <c r="D12" i="3"/>
  <c r="D13" i="3"/>
  <c r="AP6" i="3"/>
  <c r="N42" i="1" l="1"/>
  <c r="N30" i="1"/>
  <c r="N18" i="1"/>
  <c r="N41" i="1"/>
  <c r="N37" i="1"/>
  <c r="N33" i="1"/>
  <c r="N29" i="1"/>
  <c r="N25" i="1"/>
  <c r="N21" i="1"/>
  <c r="N17" i="1"/>
  <c r="N13" i="1"/>
  <c r="N9" i="1"/>
  <c r="N38" i="1"/>
  <c r="N22" i="1"/>
  <c r="N14" i="1"/>
  <c r="N44" i="1"/>
  <c r="N40" i="1"/>
  <c r="N36" i="1"/>
  <c r="N32" i="1"/>
  <c r="N28" i="1"/>
  <c r="N24" i="1"/>
  <c r="N20" i="1"/>
  <c r="N16" i="1"/>
  <c r="N12" i="1"/>
  <c r="N8" i="1"/>
  <c r="N34" i="1"/>
  <c r="N26" i="1"/>
  <c r="N43" i="1"/>
  <c r="N39" i="1"/>
  <c r="N35" i="1"/>
  <c r="N31" i="1"/>
  <c r="N27" i="1"/>
  <c r="N23" i="1"/>
  <c r="N19" i="1"/>
  <c r="N15" i="1"/>
  <c r="N11" i="1"/>
  <c r="I21" i="1"/>
  <c r="I43" i="1"/>
  <c r="I25" i="1"/>
  <c r="I37" i="1"/>
  <c r="Q37" i="1" s="1"/>
  <c r="I28" i="1"/>
  <c r="I41" i="1"/>
  <c r="I22" i="1"/>
  <c r="Q22" i="1" s="1"/>
  <c r="I39" i="1"/>
  <c r="J39" i="1" s="1"/>
  <c r="I20" i="1"/>
  <c r="I19" i="1"/>
  <c r="Q19" i="1" s="1"/>
  <c r="L19" i="1" s="1"/>
  <c r="I12" i="1"/>
  <c r="J22" i="1" s="1"/>
  <c r="I23" i="1"/>
  <c r="Q23" i="1" s="1"/>
  <c r="I18" i="1"/>
  <c r="I16" i="1"/>
  <c r="Q16" i="1" s="1"/>
  <c r="L16" i="1" s="1"/>
  <c r="I10" i="1"/>
  <c r="Q10" i="1" s="1"/>
  <c r="L10" i="1" s="1"/>
  <c r="I24" i="1"/>
  <c r="Q24" i="1" s="1"/>
  <c r="J35" i="1"/>
  <c r="I32" i="1"/>
  <c r="I42" i="1"/>
  <c r="Q42" i="1" s="1"/>
  <c r="L41" i="1" s="1"/>
  <c r="I13" i="1"/>
  <c r="J13" i="1" s="1"/>
  <c r="I8" i="1"/>
  <c r="J43" i="1"/>
  <c r="I34" i="1"/>
  <c r="J41" i="1" s="1"/>
  <c r="I31" i="1"/>
  <c r="I17" i="1"/>
  <c r="J17" i="1" s="1"/>
  <c r="I29" i="1"/>
  <c r="J29" i="1" s="1"/>
  <c r="I15" i="1"/>
  <c r="Q15" i="1" s="1"/>
  <c r="L15" i="1" s="1"/>
  <c r="I27" i="1"/>
  <c r="J27" i="1" s="1"/>
  <c r="I26" i="1"/>
  <c r="Q26" i="1" s="1"/>
  <c r="I38" i="1"/>
  <c r="J38" i="1" s="1"/>
  <c r="I36" i="1"/>
  <c r="Q36" i="1" s="1"/>
  <c r="I33" i="1"/>
  <c r="I14" i="1"/>
  <c r="Q14" i="1" s="1"/>
  <c r="I30" i="1"/>
  <c r="I40" i="1"/>
  <c r="J28" i="1" s="1"/>
  <c r="I44" i="1"/>
  <c r="I11" i="1"/>
  <c r="J11" i="1" s="1"/>
  <c r="I9" i="1"/>
  <c r="J9" i="1" s="1"/>
  <c r="I7" i="1"/>
  <c r="J7" i="1" s="1"/>
  <c r="Q45" i="1"/>
  <c r="J21" i="1"/>
  <c r="J18" i="1"/>
  <c r="J10" i="1"/>
  <c r="J32" i="1"/>
  <c r="J20" i="1"/>
  <c r="J16" i="1"/>
  <c r="J8" i="1"/>
  <c r="J19" i="1"/>
  <c r="H45" i="1"/>
  <c r="V12" i="1" s="1"/>
  <c r="Q41" i="1"/>
  <c r="Q29" i="1"/>
  <c r="Q25" i="1"/>
  <c r="Q21" i="1"/>
  <c r="Q32" i="1"/>
  <c r="Q28" i="1"/>
  <c r="Q20" i="1"/>
  <c r="L20" i="1" s="1"/>
  <c r="Q8" i="1"/>
  <c r="L8" i="1" s="1"/>
  <c r="Q43" i="1"/>
  <c r="Q35" i="1"/>
  <c r="Q11" i="1"/>
  <c r="L11" i="1" s="1"/>
  <c r="Q18" i="1"/>
  <c r="L18" i="1" s="1"/>
  <c r="V45" i="1"/>
  <c r="P47" i="1"/>
  <c r="P46" i="1"/>
  <c r="M7" i="6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Q40" i="1" l="1"/>
  <c r="L21" i="1"/>
  <c r="Q17" i="1"/>
  <c r="L17" i="1" s="1"/>
  <c r="Q31" i="1"/>
  <c r="L31" i="1" s="1"/>
  <c r="Q7" i="1"/>
  <c r="L7" i="1" s="1"/>
  <c r="Q13" i="1"/>
  <c r="L13" i="1" s="1"/>
  <c r="J15" i="1"/>
  <c r="J42" i="1"/>
  <c r="J36" i="1"/>
  <c r="Q34" i="1"/>
  <c r="L34" i="1" s="1"/>
  <c r="Q12" i="1"/>
  <c r="L12" i="1" s="1"/>
  <c r="J34" i="1"/>
  <c r="J40" i="1"/>
  <c r="Q38" i="1"/>
  <c r="L37" i="1" s="1"/>
  <c r="Q39" i="1"/>
  <c r="L39" i="1" s="1"/>
  <c r="J23" i="1"/>
  <c r="L40" i="1"/>
  <c r="J26" i="1"/>
  <c r="J37" i="1"/>
  <c r="J24" i="1"/>
  <c r="L24" i="1"/>
  <c r="V26" i="1"/>
  <c r="J12" i="1"/>
  <c r="J14" i="1"/>
  <c r="J25" i="1"/>
  <c r="I45" i="1"/>
  <c r="Q33" i="1"/>
  <c r="L25" i="1"/>
  <c r="L14" i="1"/>
  <c r="L36" i="1"/>
  <c r="J33" i="1"/>
  <c r="L33" i="1"/>
  <c r="Q44" i="1"/>
  <c r="L43" i="1" s="1"/>
  <c r="V10" i="1"/>
  <c r="L38" i="1"/>
  <c r="Q9" i="1"/>
  <c r="L9" i="1" s="1"/>
  <c r="Q30" i="1"/>
  <c r="L29" i="1" s="1"/>
  <c r="L22" i="1"/>
  <c r="L42" i="1"/>
  <c r="L35" i="1"/>
  <c r="L28" i="1"/>
  <c r="V35" i="1"/>
  <c r="V36" i="1"/>
  <c r="Q27" i="1"/>
  <c r="L26" i="1" s="1"/>
  <c r="L23" i="1"/>
  <c r="L32" i="1"/>
  <c r="V42" i="1"/>
  <c r="V20" i="1"/>
  <c r="J30" i="1"/>
  <c r="V19" i="1"/>
  <c r="V29" i="1"/>
  <c r="J31" i="1"/>
  <c r="J44" i="1"/>
  <c r="M11" i="6"/>
  <c r="V13" i="1"/>
  <c r="V39" i="1"/>
  <c r="V23" i="1"/>
  <c r="V7" i="1"/>
  <c r="V30" i="1"/>
  <c r="V14" i="1"/>
  <c r="V33" i="1"/>
  <c r="V17" i="1"/>
  <c r="V40" i="1"/>
  <c r="V24" i="1"/>
  <c r="V8" i="1"/>
  <c r="V31" i="1"/>
  <c r="V15" i="1"/>
  <c r="V38" i="1"/>
  <c r="V22" i="1"/>
  <c r="V41" i="1"/>
  <c r="V25" i="1"/>
  <c r="V9" i="1"/>
  <c r="V32" i="1"/>
  <c r="V16" i="1"/>
  <c r="V43" i="1"/>
  <c r="V27" i="1"/>
  <c r="V11" i="1"/>
  <c r="V34" i="1"/>
  <c r="V18" i="1"/>
  <c r="V37" i="1"/>
  <c r="V21" i="1"/>
  <c r="V44" i="1"/>
  <c r="V28" i="1"/>
  <c r="N45" i="1"/>
  <c r="U47" i="1"/>
  <c r="U46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45" i="1" l="1"/>
  <c r="L44" i="1"/>
  <c r="L27" i="1"/>
  <c r="L30" i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42" i="1"/>
  <c r="T42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43" i="1"/>
  <c r="T43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32" i="1"/>
  <c r="T32" i="1" s="1"/>
  <c r="S36" i="1"/>
  <c r="T36" i="1" s="1"/>
  <c r="S40" i="1"/>
  <c r="T40" i="1" s="1"/>
  <c r="S44" i="1"/>
  <c r="T44" i="1" s="1"/>
  <c r="S9" i="1"/>
  <c r="T9" i="1" s="1"/>
  <c r="S13" i="1"/>
  <c r="T13" i="1" s="1"/>
  <c r="S17" i="1"/>
  <c r="T17" i="1" s="1"/>
  <c r="S21" i="1"/>
  <c r="T21" i="1" s="1"/>
  <c r="S25" i="1"/>
  <c r="T25" i="1" s="1"/>
  <c r="S29" i="1"/>
  <c r="T29" i="1" s="1"/>
  <c r="S33" i="1"/>
  <c r="T33" i="1" s="1"/>
  <c r="S37" i="1"/>
  <c r="T37" i="1" s="1"/>
  <c r="S41" i="1"/>
  <c r="T41" i="1" s="1"/>
  <c r="S45" i="1"/>
  <c r="T45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<sst xmlns="http://schemas.openxmlformats.org/spreadsheetml/2006/main" count="304" uniqueCount="195">
  <si>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</si>
  <si>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</si>
  <si>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</si>
  <si>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</si>
  <si>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</si>
  <si>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</si>
  <si>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</si>
  <si>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</si>
  <si>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</si>
  <si>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</si>
  <si>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</si>
  <si>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</si>
  <si>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</si>
  <si>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</si>
  <si>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</si>
  <si>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</si>
  <si>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</si>
  <si>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</si>
  <si>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</si>
  <si>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</si>
  <si>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</si>
  <si>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</si>
  <si>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</si>
  <si>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</si>
  <si>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</si>
  <si>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</si>
  <si>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</si>
  <si>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</si>
  <si>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</si>
  <si>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</si>
  <si>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</si>
  <si>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</si>
  <si>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</si>
  <si>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</si>
  <si>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</si>
  <si>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</si>
  <si>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</si>
  <si>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</si>
  <si>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</si>
  <si>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</si>
  <si>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</si>
  <si>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</si>
  <si>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</si>
  <si>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</si>
  <si>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</si>
  <si>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</si>
  <si>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</si>
  <si>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</si>
  <si>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</si>
  <si>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</si>
  <si>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</si>
  <si>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</si>
  <si>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</si>
  <si>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</si>
  <si>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</si>
  <si>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</si>
  <si>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</si>
  <si>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</si>
  <si>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</si>
  <si>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</si>
  <si>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</si>
  <si>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</si>
  <si>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</si>
  <si>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</si>
  <si>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</si>
  <si>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</si>
  <si>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</si>
  <si>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</si>
  <si>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</si>
  <si>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</si>
  <si>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</si>
  <si>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</si>
  <si>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</si>
  <si>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</si>
  <si>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</si>
  <si>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</si>
  <si>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</si>
  <si>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</si>
  <si>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</si>
  <si>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</si>
  <si>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</si>
  <si>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</si>
  <si>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</si>
  <si>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</si>
  <si>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</si>
  <si>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</si>
  <si>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</si>
  <si>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</si>
  <si>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</si>
  <si>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</si>
  <si>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</si>
  <si>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</si>
  <si>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</si>
  <si>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</si>
  <si>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</si>
  <si>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</si>
  <si>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</si>
  <si>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</si>
  <si>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</si>
  <si>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</si>
  <si>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</si>
  <si>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</si>
  <si>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</si>
  <si>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</si>
  <si>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</si>
  <si>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</si>
  <si>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</si>
  <si>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</si>
  <si>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</si>
  <si>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</si>
  <si>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</si>
  <si>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</si>
  <si>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</si>
  <si>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</si>
  <si>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</si>
  <si>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</si>
  <si>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</si>
  <si>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</si>
  <si>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</si>
  <si>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</si>
  <si>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</si>
  <si>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</si>
  <si>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</si>
  <si>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</si>
  <si>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</si>
  <si>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</si>
  <si>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</si>
  <si>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</si>
  <si>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</si>
  <si>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</si>
  <si>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</si>
  <si>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</si>
  <si>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</si>
  <si>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</si>
  <si>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</si>
  <si>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</si>
  <si>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</si>
  <si>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</si>
  <si>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</si>
  <si>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</si>
  <si>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</si>
  <si>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</si>
  <si>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</si>
  <si>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</si>
  <si>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</si>
  <si>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</si>
  <si>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</si>
  <si>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</si>
  <si>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YEPES TORRES JHON ALEXANDER</t>
  </si>
  <si>
    <t>VERENZUELA MARTINEZ ALEXANDER</t>
  </si>
  <si>
    <t>TUBERQUIA URREGO HAROL</t>
  </si>
  <si>
    <t>MARULANDA JARAMILLO DAWER ANDRES</t>
  </si>
  <si>
    <t>ALBERTO ARISTIZABAL RAFAEL</t>
  </si>
  <si>
    <t>PARRA VILLA YUBER ALONSO</t>
  </si>
  <si>
    <t>MONTOYA OSPINA GILBERTO ANTONIO</t>
  </si>
  <si>
    <t>LAYOS JIMENEZ JOHAN CAMILO</t>
  </si>
  <si>
    <t>MACIAS HERNANDEZ JULIAN DAVID</t>
  </si>
  <si>
    <t>MARIN ALZATE KEVIN ANDRES</t>
  </si>
  <si>
    <t>JIMENEZ JIMENEZ OMAR</t>
  </si>
  <si>
    <t>PARIAS MURIEL JHON FREDY</t>
  </si>
  <si>
    <t>CARTAGENA RAMIREZ FREDY ALONSO</t>
  </si>
  <si>
    <t>LONDOÑO LOPERA DUVAN ANDRES</t>
  </si>
  <si>
    <t>GONZALEZ PEREZ RAFAEL JOSE</t>
  </si>
  <si>
    <t>SERNA  GIOVANNY</t>
  </si>
  <si>
    <t>BETANCUR GUZMAN JHON FERNANDO</t>
  </si>
  <si>
    <t>OCAMPO OCAMPO ANTONIO JOSE</t>
  </si>
  <si>
    <t>FRANCO CARVAJAL GERARDO ANTONIO</t>
  </si>
  <si>
    <t>SUAREZ ESCUDERO JONATAN</t>
  </si>
  <si>
    <t>JARAMILLO JARAMILLO FRANCISCO WBEIMAR</t>
  </si>
  <si>
    <t>ARAQUE ARROYAVE JOSE ALBEIRO</t>
  </si>
  <si>
    <t>TABORDA ROJAS DIEGO ALEJANDRO</t>
  </si>
  <si>
    <t>MARTINEZ CHAVERRA LUIS NORBERTO</t>
  </si>
  <si>
    <t>PALMAR PANA EDIXON JOSUE</t>
  </si>
  <si>
    <t>GONZALEZ IPUANA RENE</t>
  </si>
  <si>
    <t>MACEA ARBELAEZ MATEO</t>
  </si>
  <si>
    <t>QUIRAMA CASTAÑEDA JHON JADER</t>
  </si>
  <si>
    <t>ESPINOZA ECHAVARRIA EMANUEL</t>
  </si>
  <si>
    <t>SALDARRIAGA PARRA LUIS ALBERTO</t>
  </si>
  <si>
    <t>HERNANDEZ MACIAS GILBERTO</t>
  </si>
  <si>
    <t>CALLE  RICARDO</t>
  </si>
  <si>
    <t>DAVID  HENRY GIOVANNY</t>
  </si>
  <si>
    <t>MURILLO  YOIMAR ANDRES</t>
  </si>
  <si>
    <t>IBARGUEN GARRIDO JUAN ESTEBAN</t>
  </si>
  <si>
    <t>MARIN GARCIA JUAN DANIEL</t>
  </si>
  <si>
    <t>PEREZ GARCIA JUAN ESTEBAN</t>
  </si>
  <si>
    <t>88TR</t>
  </si>
  <si>
    <t xml:space="preserve">3 Descuentos (Transbordo) </t>
  </si>
  <si>
    <t xml:space="preserve">2 Descuentos (Conduct y tecnico radios) </t>
  </si>
  <si>
    <t xml:space="preserve">1 Descuento (Despachador) </t>
  </si>
  <si>
    <t xml:space="preserve">1 Descuento (Tecnico radios) </t>
  </si>
  <si>
    <t xml:space="preserve">2 Descuentos (Despachador y usuario desubicado)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</si>
  <si>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20.3 USUARIOS</t>
    </r>
  </si>
  <si>
    <t xml:space="preserve">Se descuenta 0.5 viaje de 6 20 am ya que NO ingresa al 13 </t>
  </si>
  <si>
    <t xml:space="preserve">Se descuenta 0.5 viaje de 9 07 am ya que NO ingresa al 13 </t>
  </si>
  <si>
    <t>FONDO (SIT)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</si>
</sst>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5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Import!$C$7:$C$45</c:f>
              <c:numCache>
                <c:formatCode>General</c:formatCode>
                <c:ptCount val="38"/>
                <c:pt idx="0" formatCode="0">
                  <c:v>2</c:v>
                </c:pt>
                <c:pt idx="1">
                  <c:v>4</c:v>
                </c:pt>
                <c:pt idx="2" formatCode="0">
                  <c:v>5</c:v>
                </c:pt>
                <c:pt idx="3" formatCode="0">
                  <c:v>6</c:v>
                </c:pt>
                <c:pt idx="4" formatCode="0">
                  <c:v>7</c:v>
                </c:pt>
                <c:pt idx="5" formatCode="0">
                  <c:v>8</c:v>
                </c:pt>
                <c:pt idx="6" formatCode="0">
                  <c:v>9</c:v>
                </c:pt>
                <c:pt idx="7" formatCode="0">
                  <c:v>10</c:v>
                </c:pt>
                <c:pt idx="8" formatCode="0">
                  <c:v>11</c:v>
                </c:pt>
                <c:pt idx="9" formatCode="0">
                  <c:v>12</c:v>
                </c:pt>
                <c:pt idx="10" formatCode="0">
                  <c:v>13</c:v>
                </c:pt>
                <c:pt idx="11" formatCode="0">
                  <c:v>14</c:v>
                </c:pt>
                <c:pt idx="12" formatCode="0">
                  <c:v>15</c:v>
                </c:pt>
                <c:pt idx="13" formatCode="0">
                  <c:v>16</c:v>
                </c:pt>
                <c:pt idx="14" formatCode="0">
                  <c:v>18</c:v>
                </c:pt>
                <c:pt idx="15" formatCode="0">
                  <c:v>19</c:v>
                </c:pt>
                <c:pt idx="16">
                  <c:v>20</c:v>
                </c:pt>
                <c:pt idx="17" formatCode="0">
                  <c:v>21</c:v>
                </c:pt>
                <c:pt idx="18" formatCode="0">
                  <c:v>22</c:v>
                </c:pt>
                <c:pt idx="19" formatCode="0">
                  <c:v>23</c:v>
                </c:pt>
                <c:pt idx="20" formatCode="0">
                  <c:v>24</c:v>
                </c:pt>
                <c:pt idx="21" formatCode="0">
                  <c:v>27</c:v>
                </c:pt>
                <c:pt idx="22" formatCode="0">
                  <c:v>28</c:v>
                </c:pt>
                <c:pt idx="23">
                  <c:v>29</c:v>
                </c:pt>
                <c:pt idx="24" formatCode="0">
                  <c:v>31</c:v>
                </c:pt>
                <c:pt idx="25" formatCode="0">
                  <c:v>32</c:v>
                </c:pt>
                <c:pt idx="26">
                  <c:v>33</c:v>
                </c:pt>
                <c:pt idx="27" formatCode="0">
                  <c:v>34</c:v>
                </c:pt>
                <c:pt idx="28" formatCode="0">
                  <c:v>35</c:v>
                </c:pt>
                <c:pt idx="29" formatCode="0">
                  <c:v>36</c:v>
                </c:pt>
                <c:pt idx="30" formatCode="0">
                  <c:v>37</c:v>
                </c:pt>
                <c:pt idx="31" formatCode="0">
                  <c:v>38</c:v>
                </c:pt>
                <c:pt idx="32" formatCode="0">
                  <c:v>39</c:v>
                </c:pt>
                <c:pt idx="33" formatCode="0">
                  <c:v>40</c:v>
                </c:pt>
                <c:pt idx="34" formatCode="0">
                  <c:v>41</c:v>
                </c:pt>
                <c:pt idx="35" formatCode="0">
                  <c:v>42</c:v>
                </c:pt>
                <c:pt idx="36" formatCode="0">
                  <c:v>43</c:v>
                </c:pt>
                <c:pt idx="37" formatCode="0">
                  <c:v>44</c:v>
                </c:pt>
              </c:numCache>
            </c:numRef>
          </c:cat>
          <c:val>
            <c:numRef>
              <c:f>Import!$H$7:$H$45</c:f>
              <c:numCache>
                <c:formatCode>_-* #,##0.0_-;\-* #,##0.0_-;_-* "-"??_-;_-@_-</c:formatCode>
                <c:ptCount val="38"/>
                <c:pt idx="0">
                  <c:v>18.375</c:v>
                </c:pt>
                <c:pt idx="1">
                  <c:v>24.555555555555557</c:v>
                </c:pt>
                <c:pt idx="2">
                  <c:v>22.222222222222221</c:v>
                </c:pt>
                <c:pt idx="3">
                  <c:v>21.111111111111111</c:v>
                </c:pt>
                <c:pt idx="4">
                  <c:v>24.666666666666668</c:v>
                </c:pt>
                <c:pt idx="5">
                  <c:v>19.222222222222221</c:v>
                </c:pt>
                <c:pt idx="6">
                  <c:v>21.444444444444443</c:v>
                </c:pt>
                <c:pt idx="7">
                  <c:v>22.2</c:v>
                </c:pt>
                <c:pt idx="8">
                  <c:v>18.399999999999999</c:v>
                </c:pt>
                <c:pt idx="9">
                  <c:v>21.571428571428573</c:v>
                </c:pt>
                <c:pt idx="10">
                  <c:v>20.8</c:v>
                </c:pt>
                <c:pt idx="11">
                  <c:v>25.4</c:v>
                </c:pt>
                <c:pt idx="12">
                  <c:v>21.888888888888889</c:v>
                </c:pt>
                <c:pt idx="13">
                  <c:v>19.888888888888889</c:v>
                </c:pt>
                <c:pt idx="14">
                  <c:v>21.636363636363637</c:v>
                </c:pt>
                <c:pt idx="15">
                  <c:v>23.4</c:v>
                </c:pt>
                <c:pt idx="16">
                  <c:v>20.333333333333332</c:v>
                </c:pt>
                <c:pt idx="17">
                  <c:v>18.888888888888889</c:v>
                </c:pt>
                <c:pt idx="18">
                  <c:v>16.666666666666668</c:v>
                </c:pt>
                <c:pt idx="19">
                  <c:v>23.75</c:v>
                </c:pt>
                <c:pt idx="20">
                  <c:v>17.555555555555557</c:v>
                </c:pt>
                <c:pt idx="21">
                  <c:v>23.444444444444443</c:v>
                </c:pt>
                <c:pt idx="22">
                  <c:v>20.111111111111111</c:v>
                </c:pt>
                <c:pt idx="23">
                  <c:v>14.5</c:v>
                </c:pt>
                <c:pt idx="24">
                  <c:v>16.399999999999999</c:v>
                </c:pt>
                <c:pt idx="25">
                  <c:v>17.222222222222221</c:v>
                </c:pt>
                <c:pt idx="26">
                  <c:v>21.09090909090909</c:v>
                </c:pt>
                <c:pt idx="27">
                  <c:v>21</c:v>
                </c:pt>
                <c:pt idx="28">
                  <c:v>21.894736842105264</c:v>
                </c:pt>
                <c:pt idx="29">
                  <c:v>20.076923076923077</c:v>
                </c:pt>
                <c:pt idx="30">
                  <c:v>18.5</c:v>
                </c:pt>
                <c:pt idx="31">
                  <c:v>17.555555555555557</c:v>
                </c:pt>
                <c:pt idx="32">
                  <c:v>19.25</c:v>
                </c:pt>
                <c:pt idx="33">
                  <c:v>21.7</c:v>
                </c:pt>
                <c:pt idx="34">
                  <c:v>20</c:v>
                </c:pt>
                <c:pt idx="35">
                  <c:v>20</c:v>
                </c:pt>
                <c:pt idx="36">
                  <c:v>19.899999999999999</c:v>
                </c:pt>
                <c:pt idx="37">
                  <c:v>16.399999999999999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5" totalsRowCount="1" headerRowDxfId="64" dataDxfId="63" totalsRowDxfId="62">
  <sortState xmlns:xlrd2="http://schemas.microsoft.com/office/spreadsheetml/2017/richdata2" ref="B7:N44">
    <sortCondition ref="C22:C44"/>
  </sortState>
  <tableColumns count="14">
    <tableColumn id="1" xr3:uid="{00000000-0010-0000-0000-000001000000}" name="RUTA" dataDxfId="61" totalsRowDxfId="13"/>
    <tableColumn id="2" xr3:uid="{00000000-0010-0000-0000-000002000000}" name="VEH" totalsRowFunction="countNums" dataDxfId="60" totalsRowDxfId="12"/>
    <tableColumn id="3" xr3:uid="{00000000-0010-0000-0000-000003000000}" name="CONDUCTOR" totalsRowLabel="Vehs " dataDxfId="59" totalsRowDxfId="11"/>
    <tableColumn id="4" xr3:uid="{00000000-0010-0000-0000-000004000000}" name="VIAJES" totalsRowFunction="sum" dataDxfId="58" totalsRowDxfId="10"/>
    <tableColumn id="5" xr3:uid="{00000000-0010-0000-0000-000005000000}" name="VIAJES PERD." totalsRowFunction="sum" dataDxfId="57" totalsRowDxfId="9"/>
    <tableColumn id="6" xr3:uid="{00000000-0010-0000-0000-000006000000}" name="USUARIOS" totalsRowFunction="sum" dataDxfId="56" totalsRowDxfId="8" dataCellStyle="Millares"/>
    <tableColumn id="12" xr3:uid="{00000000-0010-0000-0000-00000C000000}" name="PROM X VIAJE" totalsRowFunction="custom" dataDxfId="55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54" totalsRowDxfId="6" dataCellStyle="Millares"/>
    <tableColumn id="13" xr3:uid="{FCD2DCC9-9A34-483A-B1DC-9E398E7F3EDE}" name="RECIBE / ENTREGA" totalsRowFunction="sum" dataDxfId="53" totalsRowDxfId="5" dataCellStyle="Millares"/>
    <tableColumn id="8" xr3:uid="{00000000-0010-0000-0000-000008000000}" name="NOVEDADES" totalsRowLabel="PROMEDIO X VIAJE 20.3 USUARIOS" dataDxfId="52" totalsRowDxfId="4"/>
    <tableColumn id="9" xr3:uid="{00000000-0010-0000-0000-000009000000}" name="VALOR OPERACIÓN" dataDxfId="51" totalsRowDxfId="3">
      <calculatedColumnFormula>Q7*635</calculatedColumnFormula>
    </tableColumn>
    <tableColumn id="10" xr3:uid="{00000000-0010-0000-0000-00000A000000}" name="CLASIFIC." dataDxfId="50" totalsRowDxfId="2"/>
    <tableColumn id="11" xr3:uid="{00000000-0010-0000-0000-00000B000000}" name="DIFER. MICRO - BUS " totalsRowFunction="sum" dataDxfId="22" totalsRowDxfId="1" dataCellStyle="Millares">
      <calculatedColumnFormula>+(SUMIFS(G:G,M:M,"MICRO",E:E,"&gt;0")*100)/COUNTIF($E$7:$E$44,"&gt;0")</calculatedColumnFormula>
    </tableColumn>
    <tableColumn id="14" xr3:uid="{3C5BAE97-7E9A-45F1-A8C1-CEC1DD0A2752}" name="FONDO (SIT)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9" dataDxfId="48" totalsRowDxfId="4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6" totalsRowDxfId="45"/>
    <tableColumn id="2" xr3:uid="{7E9A4909-E53D-4F94-80A1-A675A394CC57}" name="VEH" totalsRowLabel="4" dataDxfId="44" totalsRowDxfId="43"/>
    <tableColumn id="3" xr3:uid="{32EB6A87-92EF-4CA2-B1E8-104D5D2326F5}" name="CONDUCTOR" totalsRowLabel="Vehs " dataDxfId="42" totalsRowDxfId="41"/>
    <tableColumn id="4" xr3:uid="{72FB169E-4910-4353-AF10-07DA297F0CD5}" name="VIAJES" totalsRowFunction="sum" dataDxfId="40" totalsRowDxfId="39"/>
    <tableColumn id="5" xr3:uid="{F323DE89-3087-4D39-B0ED-15680CB2FE01}" name="VIAJES PERD." totalsRowFunction="sum" dataDxfId="38" totalsRowDxfId="37"/>
    <tableColumn id="6" xr3:uid="{FF87B711-9A02-4FB5-B21F-73198A4385A8}" name="USUARIOS" totalsRowFunction="sum" dataDxfId="36" totalsRowDxfId="35" dataCellStyle="Millares"/>
    <tableColumn id="12" xr3:uid="{60E0DB3A-B7E4-44B6-BB26-D54278C24006}" name="PROM X VIAJE" totalsRowFunction="average" dataDxfId="34" totalsRowDxfId="33" dataCellStyle="Millares"/>
    <tableColumn id="7" xr3:uid="{12134CBA-AEEC-4025-BB5C-89B13D8F91D4}" name="PROM DE USUARIOS" totalsRowFunction="sum" dataDxfId="32" totalsRowDxfId="31" dataCellStyle="Millares"/>
    <tableColumn id="8" xr3:uid="{F35B2CED-DE3E-48D9-8E47-198F9B4F56C9}" name="NOVEDADES" dataDxfId="30" totalsRowDxfId="29"/>
    <tableColumn id="9" xr3:uid="{4BD57B08-79CF-4422-A880-91A289697DC2}" name="VALOR OPERACIÓN" dataDxfId="28" totalsRowDxfId="27" dataCellStyle="Millares"/>
    <tableColumn id="10" xr3:uid="{E8B6C5A5-759D-4901-BD5D-0ADA9540975C}" name="CLASIFIC." dataDxfId="26" totalsRowDxfId="25"/>
    <tableColumn id="11" xr3:uid="{CFA53866-4E21-473F-9C2D-8FB2962BACB5}" name="DIFER. MICRO - BUS " totalsRowFunction="sum" dataDxfId="24" totalsRowDxfId="2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5"/>
  <sheetViews>
    <sheetView showGridLines="0" tabSelected="1" showWhiteSpace="0" zoomScaleNormal="100" workbookViewId="0">
      <selection activeCell="D49" sqref="D49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63.5" bestFit="1" customWidth="1"/>
    <col min="12" max="12" width="10.5" style="337" bestFit="1" customWidth="1"/>
    <col min="13" max="13" width="9.625" customWidth="1"/>
    <col min="14" max="14" width="11.375" customWidth="1"/>
    <col min="15" max="15" width="13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7" t="s">
        <v>142</v>
      </c>
      <c r="E1" s="367"/>
      <c r="F1" s="367"/>
      <c r="G1" s="367"/>
      <c r="H1" s="367"/>
      <c r="I1" s="19"/>
      <c r="J1" s="338"/>
      <c r="K1" s="195"/>
      <c r="L1"/>
    </row>
    <row r="2" spans="1:32" ht="49.5" thickBot="1" x14ac:dyDescent="0.35">
      <c r="D2" s="368" t="s">
        <v>141</v>
      </c>
      <c r="E2" s="368"/>
      <c r="F2" s="368"/>
      <c r="G2" s="368"/>
      <c r="H2" s="368"/>
      <c r="I2" s="368"/>
      <c r="J2" s="368"/>
      <c r="K2" s="368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9"/>
      <c r="C3" s="369"/>
      <c r="D3" s="369"/>
      <c r="E3" s="369"/>
      <c r="F3" s="369"/>
      <c r="G3" s="241"/>
      <c r="H3" s="243"/>
      <c r="I3" s="19"/>
      <c r="J3" s="338"/>
      <c r="K3" s="195"/>
      <c r="L3" s="197"/>
      <c r="Q3" s="55">
        <f>+SUM(G6:G1856)/2</f>
        <v>6931</v>
      </c>
      <c r="R3" s="55">
        <f>+SUM(E6:E1856)/2</f>
        <v>341</v>
      </c>
      <c r="S3" s="55">
        <f>+Q3-R3</f>
        <v>6590</v>
      </c>
      <c r="T3" s="56">
        <f>+S3/R3</f>
        <v>19.325513196480937</v>
      </c>
      <c r="V3" s="15"/>
      <c r="X3" s="15"/>
      <c r="Z3" s="15"/>
      <c r="AB3" s="15"/>
      <c r="AD3" s="15"/>
      <c r="AF3" s="15"/>
    </row>
    <row r="4" spans="1:32" x14ac:dyDescent="0.2">
      <c r="B4" s="369"/>
      <c r="C4" s="369"/>
      <c r="D4" s="369"/>
      <c r="E4" s="369"/>
      <c r="F4" s="369"/>
      <c r="G4" s="194">
        <v>46067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194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122</v>
      </c>
      <c r="C7" s="166">
        <v>2</v>
      </c>
      <c r="D7" s="151" t="s">
        <v>159</v>
      </c>
      <c r="E7" s="150">
        <v>8</v>
      </c>
      <c r="F7" s="150">
        <v>0</v>
      </c>
      <c r="G7" s="165">
        <v>147</v>
      </c>
      <c r="H7" s="226">
        <f>+G7/E7</f>
        <v>18.375</v>
      </c>
      <c r="I7" s="227">
        <f>+(SUM($G$7:$G$1048576)/SUM($E$7:$E$1048576))*E7</f>
        <v>162.6041055718475</v>
      </c>
      <c r="J7" s="363">
        <f>+Tabla2[[#This Row],[PROM DE USUARIOS]]-Tabla2[[#This Row],[USUARIOS]]</f>
        <v>15.604105571847498</v>
      </c>
      <c r="K7" s="151"/>
      <c r="L7" s="163">
        <f>Q7*635</f>
        <v>98173.607038123155</v>
      </c>
      <c r="M7" s="162">
        <f>+VLOOKUP(C7,Lista!B:D,3,0)</f>
        <v>0</v>
      </c>
      <c r="N7" s="164">
        <f t="shared" ref="N7:N44" si="0">+(SUMIFS(G:G,M:M,"MICRO",E:E,"&gt;0")*100)/COUNTIF($E$7:$E$44,"&gt;0")</f>
        <v>10821.052631578947</v>
      </c>
      <c r="O7" s="164">
        <f>Tabla2[[#This Row],[USUARIOS]]*150</f>
        <v>22050</v>
      </c>
      <c r="P7" s="50">
        <f>+(E7*1)-W7</f>
        <v>8</v>
      </c>
      <c r="Q7" s="47">
        <f>+I7-P7-X7</f>
        <v>154.6041055718475</v>
      </c>
      <c r="R7" s="49">
        <f>+G7-P7</f>
        <v>139</v>
      </c>
      <c r="S7" s="51">
        <f>+E7*$T$3</f>
        <v>154.6041055718475</v>
      </c>
      <c r="T7" s="46">
        <f t="shared" ref="T7:T44" si="1">+S7*550</f>
        <v>85032.258064516122</v>
      </c>
      <c r="U7" t="str">
        <f>+IF(K7&lt;&gt;"",K7,"")</f>
        <v/>
      </c>
      <c r="V7">
        <f>+RANK(H7,$H$6:$H$1048576,1)</f>
        <v>8</v>
      </c>
      <c r="W7"/>
      <c r="X7"/>
      <c r="Z7" t="str">
        <f>TRIM(Tabla2[[#This Row],[CONDUCTOR]])</f>
        <v>PARIAS MURIEL JHON FREDY</v>
      </c>
    </row>
    <row r="8" spans="1:32" x14ac:dyDescent="0.2">
      <c r="B8" s="136" t="s">
        <v>185</v>
      </c>
      <c r="C8" s="137">
        <v>4</v>
      </c>
      <c r="D8" s="151" t="s">
        <v>176</v>
      </c>
      <c r="E8" s="150">
        <v>9</v>
      </c>
      <c r="F8" s="150">
        <v>0</v>
      </c>
      <c r="G8" s="146">
        <v>221</v>
      </c>
      <c r="H8" s="226">
        <f>+G8/E8</f>
        <v>24.555555555555557</v>
      </c>
      <c r="I8" s="227">
        <f>+(SUM($G$7:$G$1048576)/SUM($E$7:$E$1048576))*E8</f>
        <v>182.92961876832842</v>
      </c>
      <c r="J8" s="363">
        <f>+Tabla2[[#This Row],[PROM DE USUARIOS]]-Tabla2[[#This Row],[USUARIOS]]</f>
        <v>-38.070381231671576</v>
      </c>
      <c r="K8" s="151" t="s">
        <v>186</v>
      </c>
      <c r="L8" s="163">
        <f>Q8*635</f>
        <v>110445.30791788855</v>
      </c>
      <c r="M8" s="162" t="str">
        <f>+VLOOKUP(C8,Lista!B:D,3,0)</f>
        <v>MICRO</v>
      </c>
      <c r="N8" s="164">
        <f t="shared" si="0"/>
        <v>10821.052631578947</v>
      </c>
      <c r="O8" s="164">
        <f>Tabla2[[#This Row],[USUARIOS]]*150</f>
        <v>33150</v>
      </c>
      <c r="P8" s="50">
        <f>+(E8*1)-W8</f>
        <v>9</v>
      </c>
      <c r="Q8" s="47">
        <f>+I8-P8-X8</f>
        <v>173.92961876832842</v>
      </c>
      <c r="R8" s="49">
        <f>+G8-P8</f>
        <v>212</v>
      </c>
      <c r="S8" s="51">
        <f>+E8*$T$3</f>
        <v>173.92961876832842</v>
      </c>
      <c r="T8" s="46">
        <f t="shared" si="1"/>
        <v>95661.290322580637</v>
      </c>
      <c r="U8" t="str">
        <f>+IF(K8&lt;&gt;"",K8,"")</f>
        <v xml:space="preserve">3 Descuentos (Transbordo) </v>
      </c>
      <c r="V8">
        <f>+RANK(H8,$H$6:$H$1048576,1)</f>
        <v>37</v>
      </c>
      <c r="Z8" t="str">
        <f>TRIM(Tabla2[[#This Row],[CONDUCTOR]])</f>
        <v>ESPINOZA ECHAVARRIA EMANUEL</v>
      </c>
    </row>
    <row r="9" spans="1:32" x14ac:dyDescent="0.2">
      <c r="B9" s="136" t="s">
        <v>122</v>
      </c>
      <c r="C9" s="166">
        <v>5</v>
      </c>
      <c r="D9" s="151" t="s">
        <v>161</v>
      </c>
      <c r="E9" s="150">
        <v>9</v>
      </c>
      <c r="F9" s="150">
        <v>0</v>
      </c>
      <c r="G9" s="165">
        <v>200</v>
      </c>
      <c r="H9" s="226">
        <f>+G9/E9</f>
        <v>22.222222222222221</v>
      </c>
      <c r="I9" s="227">
        <f>+(SUM($G$7:$G$1048576)/SUM($E$7:$E$1048576))*E9</f>
        <v>182.92961876832842</v>
      </c>
      <c r="J9" s="363">
        <f>+Tabla2[[#This Row],[PROM DE USUARIOS]]-Tabla2[[#This Row],[USUARIOS]]</f>
        <v>-17.070381231671576</v>
      </c>
      <c r="K9" s="151"/>
      <c r="L9" s="163">
        <f>Q9*635</f>
        <v>110445.30791788855</v>
      </c>
      <c r="M9" s="162">
        <f>+VLOOKUP(C9,Lista!B:D,3,0)</f>
        <v>0</v>
      </c>
      <c r="N9" s="164">
        <f t="shared" si="0"/>
        <v>10821.052631578947</v>
      </c>
      <c r="O9" s="164">
        <f>Tabla2[[#This Row],[USUARIOS]]*150</f>
        <v>30000</v>
      </c>
      <c r="P9" s="50">
        <f>+(E9*1)-W9</f>
        <v>9</v>
      </c>
      <c r="Q9" s="47">
        <f>+I9-P9-X9</f>
        <v>173.92961876832842</v>
      </c>
      <c r="R9" s="49">
        <f>+G9-P9</f>
        <v>191</v>
      </c>
      <c r="S9" s="51">
        <f>+E9*$T$3</f>
        <v>173.92961876832842</v>
      </c>
      <c r="T9" s="46">
        <f t="shared" si="1"/>
        <v>95661.290322580637</v>
      </c>
      <c r="U9" t="str">
        <f>+IF(K9&lt;&gt;"",K9,"")</f>
        <v/>
      </c>
      <c r="V9">
        <f>+RANK(H9,$H$6:$H$1048576,1)</f>
        <v>33</v>
      </c>
      <c r="Z9" t="str">
        <f>TRIM(Tabla2[[#This Row],[CONDUCTOR]])</f>
        <v>LONDOÑO LOPERA DUVAN ANDRES</v>
      </c>
    </row>
    <row r="10" spans="1:32" x14ac:dyDescent="0.2">
      <c r="B10" s="136" t="s">
        <v>185</v>
      </c>
      <c r="C10" s="166">
        <v>6</v>
      </c>
      <c r="D10" s="151" t="s">
        <v>163</v>
      </c>
      <c r="E10" s="150">
        <v>9</v>
      </c>
      <c r="F10" s="150">
        <v>0</v>
      </c>
      <c r="G10" s="165">
        <v>190</v>
      </c>
      <c r="H10" s="226">
        <f>+G10/E10</f>
        <v>21.111111111111111</v>
      </c>
      <c r="I10" s="227">
        <f>+(SUM($G$7:$G$1048576)/SUM($E$7:$E$1048576))*E10</f>
        <v>182.92961876832842</v>
      </c>
      <c r="J10" s="363">
        <f>+Tabla2[[#This Row],[PROM DE USUARIOS]]-Tabla2[[#This Row],[USUARIOS]]</f>
        <v>-7.0703812316715755</v>
      </c>
      <c r="K10" s="151" t="s">
        <v>129</v>
      </c>
      <c r="L10" s="163">
        <f>Q10*635</f>
        <v>110445.30791788855</v>
      </c>
      <c r="M10" s="162" t="str">
        <f>+VLOOKUP(C10,Lista!B:D,3,0)</f>
        <v>MICRO</v>
      </c>
      <c r="N10" s="164">
        <f t="shared" si="0"/>
        <v>10821.052631578947</v>
      </c>
      <c r="O10" s="164">
        <f>Tabla2[[#This Row],[USUARIOS]]*150</f>
        <v>28500</v>
      </c>
      <c r="P10" s="50">
        <f>+(E10*1)-W10</f>
        <v>9</v>
      </c>
      <c r="Q10" s="47">
        <f>+I10-P10-X10</f>
        <v>173.92961876832842</v>
      </c>
      <c r="R10" s="49">
        <f>+G10-P10</f>
        <v>181</v>
      </c>
      <c r="S10" s="51">
        <f>+E10*$T$3</f>
        <v>173.92961876832842</v>
      </c>
      <c r="T10" s="46">
        <f t="shared" si="1"/>
        <v>95661.290322580637</v>
      </c>
      <c r="U10" t="str">
        <f>+IF(K10&lt;&gt;"",K10,"")</f>
        <v xml:space="preserve">1 Descuento (Conduct) </v>
      </c>
      <c r="V10">
        <f>+RANK(H10,$H$6:$H$1048576,1)</f>
        <v>25</v>
      </c>
      <c r="Z10" t="str">
        <f>TRIM(Tabla2[[#This Row],[CONDUCTOR]])</f>
        <v>SERNA GIOVANNY</v>
      </c>
    </row>
    <row r="11" spans="1:32" x14ac:dyDescent="0.2">
      <c r="B11" s="136" t="s">
        <v>122</v>
      </c>
      <c r="C11" s="166">
        <v>7</v>
      </c>
      <c r="D11" s="151" t="s">
        <v>150</v>
      </c>
      <c r="E11" s="150">
        <v>9</v>
      </c>
      <c r="F11" s="150">
        <v>0</v>
      </c>
      <c r="G11" s="146">
        <v>222</v>
      </c>
      <c r="H11" s="226">
        <f>+G11/E11</f>
        <v>24.666666666666668</v>
      </c>
      <c r="I11" s="364">
        <f>+(SUM($G$7:$G$1048576)/SUM($E$7:$E$1048576))*E11</f>
        <v>182.92961876832842</v>
      </c>
      <c r="J11" s="363">
        <f>+Tabla2[[#This Row],[PROM DE USUARIOS]]-Tabla2[[#This Row],[USUARIOS]]</f>
        <v>-39.070381231671576</v>
      </c>
      <c r="K11" s="151" t="s">
        <v>187</v>
      </c>
      <c r="L11" s="163">
        <f>Q11*635</f>
        <v>110445.30791788855</v>
      </c>
      <c r="M11" s="162">
        <f>+VLOOKUP(C11,Lista!B:D,3,0)</f>
        <v>0</v>
      </c>
      <c r="N11" s="164">
        <f t="shared" si="0"/>
        <v>10821.052631578947</v>
      </c>
      <c r="O11" s="164">
        <f>Tabla2[[#This Row],[USUARIOS]]*150</f>
        <v>33300</v>
      </c>
      <c r="P11" s="50">
        <f>+(E11*1)-W11</f>
        <v>9</v>
      </c>
      <c r="Q11" s="47">
        <f>+I11-P11-X11</f>
        <v>173.92961876832842</v>
      </c>
      <c r="R11" s="49">
        <f>+G11-P11</f>
        <v>213</v>
      </c>
      <c r="S11" s="51">
        <f>+E11*$T$3</f>
        <v>173.92961876832842</v>
      </c>
      <c r="T11" s="46">
        <f t="shared" si="1"/>
        <v>95661.290322580637</v>
      </c>
      <c r="U11" t="str">
        <f>+IF(K11&lt;&gt;"",K11,"")</f>
        <v xml:space="preserve">2 Descuentos (Conduct y tecnico radios) </v>
      </c>
      <c r="V11">
        <f>+RANK(H11,$H$6:$H$1048576,1)</f>
        <v>38</v>
      </c>
      <c r="Z11" t="str">
        <f>TRIM(Tabla2[[#This Row],[CONDUCTOR]])</f>
        <v>TUBERQUIA URREGO HAROL</v>
      </c>
    </row>
    <row r="12" spans="1:32" x14ac:dyDescent="0.2">
      <c r="B12" s="136" t="s">
        <v>185</v>
      </c>
      <c r="C12" s="166">
        <v>8</v>
      </c>
      <c r="D12" s="151" t="s">
        <v>162</v>
      </c>
      <c r="E12" s="150">
        <v>9</v>
      </c>
      <c r="F12" s="150">
        <v>0</v>
      </c>
      <c r="G12" s="146">
        <v>173</v>
      </c>
      <c r="H12" s="226">
        <f>+G12/E12</f>
        <v>19.222222222222221</v>
      </c>
      <c r="I12" s="364">
        <f>+(SUM($G$7:$G$1048576)/SUM($E$7:$E$1048576))*E12</f>
        <v>182.92961876832842</v>
      </c>
      <c r="J12" s="363">
        <f>+Tabla2[[#This Row],[PROM DE USUARIOS]]-Tabla2[[#This Row],[USUARIOS]]</f>
        <v>9.9296187683284245</v>
      </c>
      <c r="K12" s="151"/>
      <c r="L12" s="163">
        <f>Q12*635</f>
        <v>110445.30791788855</v>
      </c>
      <c r="M12" s="162">
        <f>+VLOOKUP(C12,Lista!B:D,3,0)</f>
        <v>0</v>
      </c>
      <c r="N12" s="164">
        <f t="shared" si="0"/>
        <v>10821.052631578947</v>
      </c>
      <c r="O12" s="164">
        <f>Tabla2[[#This Row],[USUARIOS]]*150</f>
        <v>25950</v>
      </c>
      <c r="P12" s="50">
        <f>+(E12*1)-W12</f>
        <v>9</v>
      </c>
      <c r="Q12" s="47">
        <f>+I12-P12-X12</f>
        <v>173.92961876832842</v>
      </c>
      <c r="R12" s="49">
        <f>+G12-P12</f>
        <v>164</v>
      </c>
      <c r="S12" s="51">
        <f>+E12*$T$3</f>
        <v>173.92961876832842</v>
      </c>
      <c r="T12" s="46">
        <f t="shared" si="1"/>
        <v>95661.290322580637</v>
      </c>
      <c r="U12" t="str">
        <f>+IF(K12&lt;&gt;"",K12,"")</f>
        <v/>
      </c>
      <c r="V12">
        <f>+RANK(H12,$H$6:$H$1048576,1)</f>
        <v>12</v>
      </c>
      <c r="Z12" t="str">
        <f>TRIM(Tabla2[[#This Row],[CONDUCTOR]])</f>
        <v>GONZALEZ PEREZ RAFAEL JOSE</v>
      </c>
    </row>
    <row r="13" spans="1:32" x14ac:dyDescent="0.2">
      <c r="B13" s="136" t="s">
        <v>122</v>
      </c>
      <c r="C13" s="166">
        <v>9</v>
      </c>
      <c r="D13" s="151" t="s">
        <v>160</v>
      </c>
      <c r="E13" s="150">
        <v>9</v>
      </c>
      <c r="F13" s="150">
        <v>0</v>
      </c>
      <c r="G13" s="165">
        <v>193</v>
      </c>
      <c r="H13" s="226">
        <f>+G13/E13</f>
        <v>21.444444444444443</v>
      </c>
      <c r="I13" s="227">
        <f>+(SUM($G$7:$G$1048576)/SUM($E$7:$E$1048576))*E13</f>
        <v>182.92961876832842</v>
      </c>
      <c r="J13" s="363">
        <f>+Tabla2[[#This Row],[PROM DE USUARIOS]]-Tabla2[[#This Row],[USUARIOS]]</f>
        <v>-10.070381231671576</v>
      </c>
      <c r="K13" s="151"/>
      <c r="L13" s="163">
        <f>Q13*635</f>
        <v>110445.30791788855</v>
      </c>
      <c r="M13" s="162" t="str">
        <f>+VLOOKUP(C13,Lista!B:D,3,0)</f>
        <v>MICRO</v>
      </c>
      <c r="N13" s="164">
        <f t="shared" si="0"/>
        <v>10821.052631578947</v>
      </c>
      <c r="O13" s="164">
        <f>Tabla2[[#This Row],[USUARIOS]]*150</f>
        <v>28950</v>
      </c>
      <c r="P13" s="50">
        <f>+(E13*1)-W13</f>
        <v>9</v>
      </c>
      <c r="Q13" s="47">
        <f>+I13-P13-X13</f>
        <v>173.92961876832842</v>
      </c>
      <c r="R13" s="49">
        <f>+G13-P13</f>
        <v>184</v>
      </c>
      <c r="S13" s="51">
        <f>+E13*$T$3</f>
        <v>173.92961876832842</v>
      </c>
      <c r="T13" s="46">
        <f t="shared" si="1"/>
        <v>95661.290322580637</v>
      </c>
      <c r="U13" t="str">
        <f>+IF(K13&lt;&gt;"",K13,"")</f>
        <v/>
      </c>
      <c r="V13">
        <f>+RANK(H13,$H$6:$H$1048576,1)</f>
        <v>26</v>
      </c>
      <c r="Z13" t="str">
        <f>TRIM(Tabla2[[#This Row],[CONDUCTOR]])</f>
        <v>CARTAGENA RAMIREZ FREDY ALONSO</v>
      </c>
    </row>
    <row r="14" spans="1:32" x14ac:dyDescent="0.2">
      <c r="B14" s="136" t="s">
        <v>185</v>
      </c>
      <c r="C14" s="166">
        <v>10</v>
      </c>
      <c r="D14" s="151" t="s">
        <v>153</v>
      </c>
      <c r="E14" s="150">
        <v>10</v>
      </c>
      <c r="F14" s="150">
        <v>0</v>
      </c>
      <c r="G14" s="165">
        <v>222</v>
      </c>
      <c r="H14" s="226">
        <f>+G14/E14</f>
        <v>22.2</v>
      </c>
      <c r="I14" s="227">
        <f>+(SUM($G$7:$G$1048576)/SUM($E$7:$E$1048576))*E14</f>
        <v>203.25513196480938</v>
      </c>
      <c r="J14" s="363">
        <f>+Tabla2[[#This Row],[PROM DE USUARIOS]]-Tabla2[[#This Row],[USUARIOS]]</f>
        <v>-18.744868035190621</v>
      </c>
      <c r="K14" s="151"/>
      <c r="L14" s="163">
        <f>Q14*635</f>
        <v>122717.00879765395</v>
      </c>
      <c r="M14" s="162" t="str">
        <f>+VLOOKUP(C14,Lista!B:D,3,0)</f>
        <v>MICRO</v>
      </c>
      <c r="N14" s="164">
        <f t="shared" si="0"/>
        <v>10821.052631578947</v>
      </c>
      <c r="O14" s="164">
        <f>Tabla2[[#This Row],[USUARIOS]]*150</f>
        <v>33300</v>
      </c>
      <c r="P14" s="50">
        <f>+(E14*1)-W14</f>
        <v>10</v>
      </c>
      <c r="Q14" s="47">
        <f>+I14-P14-X14</f>
        <v>193.25513196480938</v>
      </c>
      <c r="R14" s="49">
        <f>+G14-P14</f>
        <v>212</v>
      </c>
      <c r="S14" s="51">
        <f>+E14*$T$3</f>
        <v>193.25513196480938</v>
      </c>
      <c r="T14" s="46">
        <f t="shared" si="1"/>
        <v>106290.32258064515</v>
      </c>
      <c r="U14" t="str">
        <f>+IF(K14&lt;&gt;"",K14,"")</f>
        <v/>
      </c>
      <c r="V14">
        <f>+RANK(H14,$H$6:$H$1048576,1)</f>
        <v>32</v>
      </c>
      <c r="Z14" t="str">
        <f>TRIM(Tabla2[[#This Row],[CONDUCTOR]])</f>
        <v>PARRA VILLA YUBER ALONSO</v>
      </c>
    </row>
    <row r="15" spans="1:32" x14ac:dyDescent="0.2">
      <c r="B15" s="136" t="s">
        <v>122</v>
      </c>
      <c r="C15" s="166">
        <v>11</v>
      </c>
      <c r="D15" s="151" t="s">
        <v>148</v>
      </c>
      <c r="E15" s="150">
        <v>10</v>
      </c>
      <c r="F15" s="150">
        <v>0</v>
      </c>
      <c r="G15" s="146">
        <v>184</v>
      </c>
      <c r="H15" s="226">
        <f>+G15/E15</f>
        <v>18.399999999999999</v>
      </c>
      <c r="I15" s="227">
        <f>+(SUM($G$7:$G$1048576)/SUM($E$7:$E$1048576))*E15</f>
        <v>203.25513196480938</v>
      </c>
      <c r="J15" s="363">
        <f>+Tabla2[[#This Row],[PROM DE USUARIOS]]-Tabla2[[#This Row],[USUARIOS]]</f>
        <v>19.255131964809379</v>
      </c>
      <c r="K15" s="151" t="s">
        <v>188</v>
      </c>
      <c r="L15" s="163">
        <f>Q15*635</f>
        <v>122717.00879765395</v>
      </c>
      <c r="M15" s="162" t="str">
        <f>+VLOOKUP(C15,Lista!B:D,3,0)</f>
        <v>MICRO</v>
      </c>
      <c r="N15" s="164">
        <f t="shared" si="0"/>
        <v>10821.052631578947</v>
      </c>
      <c r="O15" s="164">
        <f>Tabla2[[#This Row],[USUARIOS]]*150</f>
        <v>27600</v>
      </c>
      <c r="P15" s="50">
        <f>+(E15*1)-W15</f>
        <v>10</v>
      </c>
      <c r="Q15" s="47">
        <f>+I15-P15-X15</f>
        <v>193.25513196480938</v>
      </c>
      <c r="R15" s="49">
        <f>+G15-P15</f>
        <v>174</v>
      </c>
      <c r="S15" s="51">
        <f>+E15*$T$3</f>
        <v>193.25513196480938</v>
      </c>
      <c r="T15" s="46">
        <f t="shared" si="1"/>
        <v>106290.32258064515</v>
      </c>
      <c r="U15" t="str">
        <f>+IF(K15&lt;&gt;"",K15,"")</f>
        <v xml:space="preserve">1 Descuento (Despachador) </v>
      </c>
      <c r="V15">
        <f>+RANK(H15,$H$6:$H$1048576,1)</f>
        <v>9</v>
      </c>
      <c r="Z15" t="str">
        <f>TRIM(Tabla2[[#This Row],[CONDUCTOR]])</f>
        <v>YEPES TORRES JHON ALEXANDER</v>
      </c>
    </row>
    <row r="16" spans="1:32" x14ac:dyDescent="0.2">
      <c r="B16" s="136" t="s">
        <v>185</v>
      </c>
      <c r="C16" s="166">
        <v>12</v>
      </c>
      <c r="D16" s="151" t="s">
        <v>180</v>
      </c>
      <c r="E16" s="150">
        <v>7</v>
      </c>
      <c r="F16" s="150">
        <v>0</v>
      </c>
      <c r="G16" s="146">
        <v>151</v>
      </c>
      <c r="H16" s="226">
        <f>+G16/E16</f>
        <v>21.571428571428573</v>
      </c>
      <c r="I16" s="364">
        <f>+(SUM($G$7:$G$1048576)/SUM($E$7:$E$1048576))*E16</f>
        <v>142.27859237536657</v>
      </c>
      <c r="J16" s="363">
        <f>+Tabla2[[#This Row],[PROM DE USUARIOS]]-Tabla2[[#This Row],[USUARIOS]]</f>
        <v>-8.7214076246334287</v>
      </c>
      <c r="K16" s="151"/>
      <c r="L16" s="163">
        <f>Q16*635</f>
        <v>85901.906158357771</v>
      </c>
      <c r="M16" s="162">
        <f>+VLOOKUP(C16,Lista!B:D,3,0)</f>
        <v>0</v>
      </c>
      <c r="N16" s="164">
        <f t="shared" si="0"/>
        <v>10821.052631578947</v>
      </c>
      <c r="O16" s="164">
        <f>Tabla2[[#This Row],[USUARIOS]]*150</f>
        <v>22650</v>
      </c>
      <c r="P16" s="50">
        <f>+(E16*1)-W16</f>
        <v>7</v>
      </c>
      <c r="Q16" s="47">
        <f>+I16-P16-X16</f>
        <v>135.27859237536657</v>
      </c>
      <c r="R16" s="49">
        <f>+G16-P16</f>
        <v>144</v>
      </c>
      <c r="S16" s="51">
        <f>+E16*$T$3</f>
        <v>135.27859237536657</v>
      </c>
      <c r="T16" s="46">
        <f t="shared" si="1"/>
        <v>74403.225806451621</v>
      </c>
      <c r="U16" t="str">
        <f>+IF(K16&lt;&gt;"",K16,"")</f>
        <v/>
      </c>
      <c r="V16">
        <f>+RANK(H16,$H$6:$H$1048576,1)</f>
        <v>27</v>
      </c>
      <c r="Z16" t="str">
        <f>TRIM(Tabla2[[#This Row],[CONDUCTOR]])</f>
        <v>DAVID HENRY GIOVANNY</v>
      </c>
    </row>
    <row r="17" spans="2:26" x14ac:dyDescent="0.2">
      <c r="B17" s="136" t="s">
        <v>122</v>
      </c>
      <c r="C17" s="166">
        <v>13</v>
      </c>
      <c r="D17" s="151" t="s">
        <v>182</v>
      </c>
      <c r="E17" s="150">
        <v>10</v>
      </c>
      <c r="F17" s="150">
        <v>0</v>
      </c>
      <c r="G17" s="165">
        <v>208</v>
      </c>
      <c r="H17" s="226">
        <f>+G17/E17</f>
        <v>20.8</v>
      </c>
      <c r="I17" s="227">
        <f>+(SUM($G$7:$G$1048576)/SUM($E$7:$E$1048576))*E17</f>
        <v>203.25513196480938</v>
      </c>
      <c r="J17" s="363">
        <f>+Tabla2[[#This Row],[PROM DE USUARIOS]]-Tabla2[[#This Row],[USUARIOS]]</f>
        <v>-4.7448680351906205</v>
      </c>
      <c r="K17" s="151"/>
      <c r="L17" s="163">
        <f>Q17*635</f>
        <v>122717.00879765395</v>
      </c>
      <c r="M17" s="162" t="str">
        <f>+VLOOKUP(C17,Lista!B:D,3,0)</f>
        <v>MICRO</v>
      </c>
      <c r="N17" s="164">
        <f t="shared" si="0"/>
        <v>10821.052631578947</v>
      </c>
      <c r="O17" s="164">
        <f>Tabla2[[#This Row],[USUARIOS]]*150</f>
        <v>31200</v>
      </c>
      <c r="P17" s="50">
        <f>+(E17*1)-W17</f>
        <v>10</v>
      </c>
      <c r="Q17" s="47">
        <f>+I17-P17-X17</f>
        <v>193.25513196480938</v>
      </c>
      <c r="R17" s="49">
        <f>+G17-P17</f>
        <v>198</v>
      </c>
      <c r="S17" s="51">
        <f>+E17*$T$3</f>
        <v>193.25513196480938</v>
      </c>
      <c r="T17" s="46">
        <f t="shared" si="1"/>
        <v>106290.32258064515</v>
      </c>
      <c r="U17" t="str">
        <f>+IF(K17&lt;&gt;"",K17,"")</f>
        <v/>
      </c>
      <c r="V17">
        <f>+RANK(H17,$H$6:$H$1048576,1)</f>
        <v>22</v>
      </c>
      <c r="Z17" t="str">
        <f>TRIM(Tabla2[[#This Row],[CONDUCTOR]])</f>
        <v>IBARGUEN GARRIDO JUAN ESTEBAN</v>
      </c>
    </row>
    <row r="18" spans="2:26" x14ac:dyDescent="0.2">
      <c r="B18" s="136" t="s">
        <v>185</v>
      </c>
      <c r="C18" s="166">
        <v>14</v>
      </c>
      <c r="D18" s="151" t="s">
        <v>120</v>
      </c>
      <c r="E18" s="150">
        <v>10</v>
      </c>
      <c r="F18" s="150">
        <v>0</v>
      </c>
      <c r="G18" s="146">
        <v>254</v>
      </c>
      <c r="H18" s="226">
        <f>+G18/E18</f>
        <v>25.4</v>
      </c>
      <c r="I18" s="364">
        <f>+(SUM($G$7:$G$1048576)/SUM($E$7:$E$1048576))*E18</f>
        <v>203.25513196480938</v>
      </c>
      <c r="J18" s="363">
        <f>+Tabla2[[#This Row],[PROM DE USUARIOS]]-Tabla2[[#This Row],[USUARIOS]]</f>
        <v>-50.744868035190621</v>
      </c>
      <c r="K18" s="151"/>
      <c r="L18" s="163">
        <f>Q18*635</f>
        <v>122717.00879765395</v>
      </c>
      <c r="M18" s="162">
        <f>+VLOOKUP(C18,Lista!B:D,3,0)</f>
        <v>0</v>
      </c>
      <c r="N18" s="164">
        <f t="shared" si="0"/>
        <v>10821.052631578947</v>
      </c>
      <c r="O18" s="164">
        <f>Tabla2[[#This Row],[USUARIOS]]*150</f>
        <v>38100</v>
      </c>
      <c r="P18" s="50">
        <f>+(E18*1)-W18</f>
        <v>10</v>
      </c>
      <c r="Q18" s="47">
        <f>+I18-P18-X18</f>
        <v>193.25513196480938</v>
      </c>
      <c r="R18" s="49">
        <f>+G18-P18</f>
        <v>244</v>
      </c>
      <c r="S18" s="51">
        <f>+E18*$T$3</f>
        <v>193.25513196480938</v>
      </c>
      <c r="T18" s="46">
        <f t="shared" si="1"/>
        <v>106290.32258064515</v>
      </c>
      <c r="U18" t="str">
        <f>+IF(K18&lt;&gt;"",K18,"")</f>
        <v/>
      </c>
      <c r="V18">
        <f>+RANK(H18,$H$6:$H$1048576,1)</f>
        <v>39</v>
      </c>
      <c r="Z18" t="str">
        <f>TRIM(Tabla2[[#This Row],[CONDUCTOR]])</f>
        <v>DURANGO PAEZ GILDARDO</v>
      </c>
    </row>
    <row r="19" spans="2:26" x14ac:dyDescent="0.2">
      <c r="B19" s="136" t="s">
        <v>122</v>
      </c>
      <c r="C19" s="166">
        <v>15</v>
      </c>
      <c r="D19" s="151" t="s">
        <v>156</v>
      </c>
      <c r="E19" s="150">
        <v>9</v>
      </c>
      <c r="F19" s="150">
        <v>0</v>
      </c>
      <c r="G19" s="146">
        <v>197</v>
      </c>
      <c r="H19" s="226">
        <f>+G19/E19</f>
        <v>21.888888888888889</v>
      </c>
      <c r="I19" s="364">
        <f>+(SUM($G$7:$G$1048576)/SUM($E$7:$E$1048576))*E19</f>
        <v>182.92961876832842</v>
      </c>
      <c r="J19" s="363">
        <f>+Tabla2[[#This Row],[PROM DE USUARIOS]]-Tabla2[[#This Row],[USUARIOS]]</f>
        <v>-14.070381231671576</v>
      </c>
      <c r="K19" s="151" t="s">
        <v>189</v>
      </c>
      <c r="L19" s="163">
        <f>Q19*635</f>
        <v>110445.30791788855</v>
      </c>
      <c r="M19" s="162">
        <f>+VLOOKUP(C19,Lista!B:D,3,0)</f>
        <v>0</v>
      </c>
      <c r="N19" s="164">
        <f t="shared" si="0"/>
        <v>10821.052631578947</v>
      </c>
      <c r="O19" s="164">
        <f>Tabla2[[#This Row],[USUARIOS]]*150</f>
        <v>29550</v>
      </c>
      <c r="P19" s="50">
        <f>+(E19*1)-W19</f>
        <v>9</v>
      </c>
      <c r="Q19" s="47">
        <f>+I19-P19-X19</f>
        <v>173.92961876832842</v>
      </c>
      <c r="R19" s="49">
        <f>+G19-P19</f>
        <v>188</v>
      </c>
      <c r="S19" s="51">
        <f>+E19*$T$3</f>
        <v>173.92961876832842</v>
      </c>
      <c r="T19" s="46">
        <f t="shared" si="1"/>
        <v>95661.290322580637</v>
      </c>
      <c r="U19" t="str">
        <f>+IF(K19&lt;&gt;"",K19,"")</f>
        <v xml:space="preserve">1 Descuento (Tecnico radios) </v>
      </c>
      <c r="V19">
        <f>+RANK(H19,$H$6:$H$1048576,1)</f>
        <v>30</v>
      </c>
      <c r="Z19" t="str">
        <f>TRIM(Tabla2[[#This Row],[CONDUCTOR]])</f>
        <v>MACIAS HERNANDEZ JULIAN DAVID</v>
      </c>
    </row>
    <row r="20" spans="2:26" x14ac:dyDescent="0.2">
      <c r="B20" s="136" t="s">
        <v>185</v>
      </c>
      <c r="C20" s="166">
        <v>16</v>
      </c>
      <c r="D20" s="151" t="s">
        <v>184</v>
      </c>
      <c r="E20" s="150">
        <v>9</v>
      </c>
      <c r="F20" s="150">
        <v>0</v>
      </c>
      <c r="G20" s="165">
        <v>179</v>
      </c>
      <c r="H20" s="226">
        <f>+G20/E20</f>
        <v>19.888888888888889</v>
      </c>
      <c r="I20" s="227">
        <f>+(SUM($G$7:$G$1048576)/SUM($E$7:$E$1048576))*E20</f>
        <v>182.92961876832842</v>
      </c>
      <c r="J20" s="363">
        <f>+Tabla2[[#This Row],[PROM DE USUARIOS]]-Tabla2[[#This Row],[USUARIOS]]</f>
        <v>3.9296187683284245</v>
      </c>
      <c r="K20" s="151"/>
      <c r="L20" s="163">
        <f>Q20*635</f>
        <v>110445.30791788855</v>
      </c>
      <c r="M20" s="162" t="str">
        <f>+VLOOKUP(C20,Lista!B:D,3,0)</f>
        <v>MICRO</v>
      </c>
      <c r="N20" s="164">
        <f t="shared" si="0"/>
        <v>10821.052631578947</v>
      </c>
      <c r="O20" s="164">
        <f>Tabla2[[#This Row],[USUARIOS]]*150</f>
        <v>26850</v>
      </c>
      <c r="P20" s="50">
        <f>+(E20*1)-W20</f>
        <v>9</v>
      </c>
      <c r="Q20" s="47">
        <f>+I20-P20-X20</f>
        <v>173.92961876832842</v>
      </c>
      <c r="R20" s="49">
        <f>+G20-P20</f>
        <v>170</v>
      </c>
      <c r="S20" s="51">
        <f>+E20*$T$3</f>
        <v>173.92961876832842</v>
      </c>
      <c r="T20" s="46">
        <f t="shared" si="1"/>
        <v>95661.290322580637</v>
      </c>
      <c r="U20" t="str">
        <f>+IF(K20&lt;&gt;"",K20,"")</f>
        <v/>
      </c>
      <c r="V20">
        <f>+RANK(H20,$H$6:$H$1048576,1)</f>
        <v>14</v>
      </c>
      <c r="Z20" t="str">
        <f>TRIM(Tabla2[[#This Row],[CONDUCTOR]])</f>
        <v>PEREZ GARCIA JUAN ESTEBAN</v>
      </c>
    </row>
    <row r="21" spans="2:26" x14ac:dyDescent="0.2">
      <c r="B21" s="136" t="s">
        <v>122</v>
      </c>
      <c r="C21" s="166">
        <v>18</v>
      </c>
      <c r="D21" s="151" t="s">
        <v>152</v>
      </c>
      <c r="E21" s="150">
        <v>11</v>
      </c>
      <c r="F21" s="150">
        <v>0</v>
      </c>
      <c r="G21" s="146">
        <v>238</v>
      </c>
      <c r="H21" s="226">
        <f>+G21/E21</f>
        <v>21.636363636363637</v>
      </c>
      <c r="I21" s="364">
        <f>+(SUM($G$7:$G$1048576)/SUM($E$7:$E$1048576))*E21</f>
        <v>223.58064516129031</v>
      </c>
      <c r="J21" s="363">
        <f>+Tabla2[[#This Row],[PROM DE USUARIOS]]-Tabla2[[#This Row],[USUARIOS]]</f>
        <v>-14.419354838709694</v>
      </c>
      <c r="K21" s="151"/>
      <c r="L21" s="163">
        <f>Q21*635</f>
        <v>134988.70967741933</v>
      </c>
      <c r="M21" s="162" t="str">
        <f>+VLOOKUP(C21,Lista!B:D,3,0)</f>
        <v>MICRO</v>
      </c>
      <c r="N21" s="164">
        <f t="shared" si="0"/>
        <v>10821.052631578947</v>
      </c>
      <c r="O21" s="164">
        <f>Tabla2[[#This Row],[USUARIOS]]*150</f>
        <v>35700</v>
      </c>
      <c r="P21" s="50">
        <f>+(E21*1)-W21</f>
        <v>11</v>
      </c>
      <c r="Q21" s="47">
        <f>+I21-P21-X21</f>
        <v>212.58064516129031</v>
      </c>
      <c r="R21" s="49">
        <f>+G21-P21</f>
        <v>227</v>
      </c>
      <c r="S21" s="51">
        <f>+E21*$T$3</f>
        <v>212.58064516129031</v>
      </c>
      <c r="T21" s="46">
        <f t="shared" si="1"/>
        <v>116919.35483870967</v>
      </c>
      <c r="U21" t="str">
        <f>+IF(K21&lt;&gt;"",K21,"")</f>
        <v/>
      </c>
      <c r="V21">
        <f>+RANK(H21,$H$6:$H$1048576,1)</f>
        <v>28</v>
      </c>
      <c r="Z21" t="str">
        <f>TRIM(Tabla2[[#This Row],[CONDUCTOR]])</f>
        <v>ALBERTO ARISTIZABAL RAFAEL</v>
      </c>
    </row>
    <row r="22" spans="2:26" x14ac:dyDescent="0.2">
      <c r="B22" s="136" t="s">
        <v>185</v>
      </c>
      <c r="C22" s="166">
        <v>19</v>
      </c>
      <c r="D22" s="151" t="s">
        <v>174</v>
      </c>
      <c r="E22" s="150">
        <v>10</v>
      </c>
      <c r="F22" s="150">
        <v>0</v>
      </c>
      <c r="G22" s="146">
        <v>234</v>
      </c>
      <c r="H22" s="226">
        <f>+G22/E22</f>
        <v>23.4</v>
      </c>
      <c r="I22" s="364">
        <f>+(SUM($G$7:$G$1048576)/SUM($E$7:$E$1048576))*E22</f>
        <v>203.25513196480938</v>
      </c>
      <c r="J22" s="363">
        <f>+Tabla2[[#This Row],[PROM DE USUARIOS]]-Tabla2[[#This Row],[USUARIOS]]</f>
        <v>-30.744868035190621</v>
      </c>
      <c r="K22" s="151" t="s">
        <v>129</v>
      </c>
      <c r="L22" s="163">
        <f>Q22*635</f>
        <v>122717.00879765395</v>
      </c>
      <c r="M22" s="162" t="str">
        <f>+VLOOKUP(C22,Lista!B:D,3,0)</f>
        <v>MICRO</v>
      </c>
      <c r="N22" s="164">
        <f t="shared" si="0"/>
        <v>10821.052631578947</v>
      </c>
      <c r="O22" s="164">
        <f>Tabla2[[#This Row],[USUARIOS]]*150</f>
        <v>35100</v>
      </c>
      <c r="P22" s="50">
        <f>+(E22*1)-W22</f>
        <v>10</v>
      </c>
      <c r="Q22" s="47">
        <f>+I22-P22-X22</f>
        <v>193.25513196480938</v>
      </c>
      <c r="R22" s="49">
        <f>+G22-P22</f>
        <v>224</v>
      </c>
      <c r="S22" s="51">
        <f>+E22*$T$3</f>
        <v>193.25513196480938</v>
      </c>
      <c r="T22" s="46">
        <f t="shared" si="1"/>
        <v>106290.32258064515</v>
      </c>
      <c r="U22" t="str">
        <f>+IF(K22&lt;&gt;"",K22,"")</f>
        <v xml:space="preserve">1 Descuento (Conduct) </v>
      </c>
      <c r="V22">
        <f>+RANK(H22,$H$6:$H$1048576,1)</f>
        <v>34</v>
      </c>
      <c r="Z22" t="str">
        <f>TRIM(Tabla2[[#This Row],[CONDUCTOR]])</f>
        <v>MACEA ARBELAEZ MATEO</v>
      </c>
    </row>
    <row r="23" spans="2:26" x14ac:dyDescent="0.2">
      <c r="B23" s="136" t="s">
        <v>122</v>
      </c>
      <c r="C23" s="137">
        <v>20</v>
      </c>
      <c r="D23" s="151" t="s">
        <v>168</v>
      </c>
      <c r="E23" s="150">
        <v>9</v>
      </c>
      <c r="F23" s="150">
        <v>0</v>
      </c>
      <c r="G23" s="146">
        <v>183</v>
      </c>
      <c r="H23" s="226">
        <f>+G23/E23</f>
        <v>20.333333333333332</v>
      </c>
      <c r="I23" s="227">
        <f>+(SUM($G$7:$G$1048576)/SUM($E$7:$E$1048576))*E23</f>
        <v>182.92961876832842</v>
      </c>
      <c r="J23" s="363">
        <f>+Tabla2[[#This Row],[PROM DE USUARIOS]]-Tabla2[[#This Row],[USUARIOS]]</f>
        <v>-7.0381231671575506E-2</v>
      </c>
      <c r="K23" s="151"/>
      <c r="L23" s="163">
        <f>Q23*635</f>
        <v>110445.30791788855</v>
      </c>
      <c r="M23" s="162" t="str">
        <f>+VLOOKUP(C23,Lista!B:D,3,0)</f>
        <v>MICRO</v>
      </c>
      <c r="N23" s="164">
        <f t="shared" si="0"/>
        <v>10821.052631578947</v>
      </c>
      <c r="O23" s="164">
        <f>Tabla2[[#This Row],[USUARIOS]]*150</f>
        <v>27450</v>
      </c>
      <c r="P23" s="50">
        <f>+(E23*1)-W23</f>
        <v>9</v>
      </c>
      <c r="Q23" s="47">
        <f>+I23-P23-X23</f>
        <v>173.92961876832842</v>
      </c>
      <c r="R23" s="49">
        <f>+G23-P23</f>
        <v>174</v>
      </c>
      <c r="S23" s="51">
        <f>+E23*$T$3</f>
        <v>173.92961876832842</v>
      </c>
      <c r="T23" s="46">
        <f t="shared" si="1"/>
        <v>95661.290322580637</v>
      </c>
      <c r="U23" t="str">
        <f>+IF(K23&lt;&gt;"",K23,"")</f>
        <v/>
      </c>
      <c r="V23">
        <f>+RANK(H23,$H$6:$H$1048576,1)</f>
        <v>21</v>
      </c>
      <c r="Z23" t="str">
        <f>TRIM(Tabla2[[#This Row],[CONDUCTOR]])</f>
        <v>JARAMILLO JARAMILLO FRANCISCO WBEIMAR</v>
      </c>
    </row>
    <row r="24" spans="2:26" x14ac:dyDescent="0.2">
      <c r="B24" s="136" t="s">
        <v>185</v>
      </c>
      <c r="C24" s="166">
        <v>21</v>
      </c>
      <c r="D24" s="151" t="s">
        <v>158</v>
      </c>
      <c r="E24" s="150">
        <v>9</v>
      </c>
      <c r="F24" s="150">
        <v>0</v>
      </c>
      <c r="G24" s="146">
        <v>170</v>
      </c>
      <c r="H24" s="226">
        <f>+G24/E24</f>
        <v>18.888888888888889</v>
      </c>
      <c r="I24" s="364">
        <f>+(SUM($G$7:$G$1048576)/SUM($E$7:$E$1048576))*E24</f>
        <v>182.92961876832842</v>
      </c>
      <c r="J24" s="363">
        <f>+Tabla2[[#This Row],[PROM DE USUARIOS]]-Tabla2[[#This Row],[USUARIOS]]</f>
        <v>12.929618768328424</v>
      </c>
      <c r="K24" s="151"/>
      <c r="L24" s="163">
        <f>Q24*635</f>
        <v>110445.30791788855</v>
      </c>
      <c r="M24" s="162" t="str">
        <f>+VLOOKUP(C24,Lista!B:D,3,0)</f>
        <v>MICRO</v>
      </c>
      <c r="N24" s="164">
        <f t="shared" si="0"/>
        <v>10821.052631578947</v>
      </c>
      <c r="O24" s="164">
        <f>Tabla2[[#This Row],[USUARIOS]]*150</f>
        <v>25500</v>
      </c>
      <c r="P24" s="50">
        <f>+(E24*1)-W24</f>
        <v>9</v>
      </c>
      <c r="Q24" s="47">
        <f>+I24-P24-X24</f>
        <v>173.92961876832842</v>
      </c>
      <c r="R24" s="49">
        <f>+G24-P24</f>
        <v>161</v>
      </c>
      <c r="S24" s="51">
        <f>+E24*$T$3</f>
        <v>173.92961876832842</v>
      </c>
      <c r="T24" s="46">
        <f t="shared" si="1"/>
        <v>95661.290322580637</v>
      </c>
      <c r="U24" t="str">
        <f>+IF(K24&lt;&gt;"",K24,"")</f>
        <v/>
      </c>
      <c r="V24">
        <f>+RANK(H24,$H$6:$H$1048576,1)</f>
        <v>11</v>
      </c>
      <c r="Z24" t="str">
        <f>TRIM(Tabla2[[#This Row],[CONDUCTOR]])</f>
        <v>JIMENEZ JIMENEZ OMAR</v>
      </c>
    </row>
    <row r="25" spans="2:26" x14ac:dyDescent="0.2">
      <c r="B25" s="136" t="s">
        <v>122</v>
      </c>
      <c r="C25" s="166">
        <v>22</v>
      </c>
      <c r="D25" s="151" t="s">
        <v>175</v>
      </c>
      <c r="E25" s="150">
        <v>9</v>
      </c>
      <c r="F25" s="150">
        <v>0</v>
      </c>
      <c r="G25" s="146">
        <v>150</v>
      </c>
      <c r="H25" s="226">
        <f>+G25/E25</f>
        <v>16.666666666666668</v>
      </c>
      <c r="I25" s="364">
        <f>+(SUM($G$7:$G$1048576)/SUM($E$7:$E$1048576))*E25</f>
        <v>182.92961876832842</v>
      </c>
      <c r="J25" s="363">
        <f>+Tabla2[[#This Row],[PROM DE USUARIOS]]-Tabla2[[#This Row],[USUARIOS]]</f>
        <v>32.929618768328424</v>
      </c>
      <c r="K25" s="151"/>
      <c r="L25" s="163">
        <f>Q25*635</f>
        <v>110445.30791788855</v>
      </c>
      <c r="M25" s="162">
        <f>+VLOOKUP(C25,Lista!B:D,3,0)</f>
        <v>0</v>
      </c>
      <c r="N25" s="164">
        <f t="shared" si="0"/>
        <v>10821.052631578947</v>
      </c>
      <c r="O25" s="164">
        <f>Tabla2[[#This Row],[USUARIOS]]*150</f>
        <v>22500</v>
      </c>
      <c r="P25" s="50">
        <f>+(E25*1)-W25</f>
        <v>9</v>
      </c>
      <c r="Q25" s="47">
        <f>+I25-P25-X25</f>
        <v>173.92961876832842</v>
      </c>
      <c r="R25" s="49">
        <f>+G25-P25</f>
        <v>141</v>
      </c>
      <c r="S25" s="51">
        <f>+E25*$T$3</f>
        <v>173.92961876832842</v>
      </c>
      <c r="T25" s="46">
        <f t="shared" si="1"/>
        <v>95661.290322580637</v>
      </c>
      <c r="U25" t="str">
        <f>+IF(K25&lt;&gt;"",K25,"")</f>
        <v/>
      </c>
      <c r="V25">
        <f>+RANK(H25,$H$6:$H$1048576,1)</f>
        <v>4</v>
      </c>
      <c r="Z25" t="str">
        <f>TRIM(Tabla2[[#This Row],[CONDUCTOR]])</f>
        <v>QUIRAMA CASTAÑEDA JHON JADER</v>
      </c>
    </row>
    <row r="26" spans="2:26" x14ac:dyDescent="0.2">
      <c r="B26" s="136" t="s">
        <v>185</v>
      </c>
      <c r="C26" s="166">
        <v>23</v>
      </c>
      <c r="D26" s="151" t="s">
        <v>177</v>
      </c>
      <c r="E26" s="150">
        <v>4</v>
      </c>
      <c r="F26" s="150">
        <v>0</v>
      </c>
      <c r="G26" s="165">
        <v>95</v>
      </c>
      <c r="H26" s="226">
        <f>+G26/E26</f>
        <v>23.75</v>
      </c>
      <c r="I26" s="227">
        <f>+(SUM($G$7:$G$1048576)/SUM($E$7:$E$1048576))*E26</f>
        <v>81.302052785923749</v>
      </c>
      <c r="J26" s="363">
        <f>+Tabla2[[#This Row],[PROM DE USUARIOS]]-Tabla2[[#This Row],[USUARIOS]]</f>
        <v>-13.697947214076251</v>
      </c>
      <c r="K26" s="151"/>
      <c r="L26" s="163">
        <f>Q26*635</f>
        <v>49086.803519061577</v>
      </c>
      <c r="M26" s="162" t="str">
        <f>+VLOOKUP(C26,Lista!B:D,3,0)</f>
        <v xml:space="preserve">MICRO </v>
      </c>
      <c r="N26" s="164">
        <f t="shared" si="0"/>
        <v>10821.052631578947</v>
      </c>
      <c r="O26" s="164">
        <f>Tabla2[[#This Row],[USUARIOS]]*150</f>
        <v>14250</v>
      </c>
      <c r="P26" s="50">
        <f>+(E26*1)-W26</f>
        <v>4</v>
      </c>
      <c r="Q26" s="47">
        <f>+I26-P26-X26</f>
        <v>77.302052785923749</v>
      </c>
      <c r="R26" s="49">
        <f>+G26-P26</f>
        <v>91</v>
      </c>
      <c r="S26" s="51">
        <f>+E26*$T$3</f>
        <v>77.302052785923749</v>
      </c>
      <c r="T26" s="46">
        <f t="shared" si="1"/>
        <v>42516.129032258061</v>
      </c>
      <c r="U26" t="str">
        <f>+IF(K26&lt;&gt;"",K26,"")</f>
        <v/>
      </c>
      <c r="V26">
        <f>+RANK(H26,$H$6:$H$1048576,1)</f>
        <v>36</v>
      </c>
      <c r="Z26" t="str">
        <f>TRIM(Tabla2[[#This Row],[CONDUCTOR]])</f>
        <v>SALDARRIAGA PARRA LUIS ALBERTO</v>
      </c>
    </row>
    <row r="27" spans="2:26" x14ac:dyDescent="0.2">
      <c r="B27" s="136" t="s">
        <v>122</v>
      </c>
      <c r="C27" s="166">
        <v>24</v>
      </c>
      <c r="D27" s="151" t="s">
        <v>179</v>
      </c>
      <c r="E27" s="150">
        <v>9</v>
      </c>
      <c r="F27" s="150">
        <v>0</v>
      </c>
      <c r="G27" s="146">
        <v>158</v>
      </c>
      <c r="H27" s="226">
        <f>+G27/E27</f>
        <v>17.555555555555557</v>
      </c>
      <c r="I27" s="364">
        <f>+(SUM($G$7:$G$1048576)/SUM($E$7:$E$1048576))*E27</f>
        <v>182.92961876832842</v>
      </c>
      <c r="J27" s="363">
        <f>+Tabla2[[#This Row],[PROM DE USUARIOS]]-Tabla2[[#This Row],[USUARIOS]]</f>
        <v>24.929618768328424</v>
      </c>
      <c r="K27" s="151"/>
      <c r="L27" s="163">
        <f>Q27*635</f>
        <v>110445.30791788855</v>
      </c>
      <c r="M27" s="162" t="str">
        <f>+VLOOKUP(C27,Lista!B:D,3,0)</f>
        <v>MICRO</v>
      </c>
      <c r="N27" s="164">
        <f t="shared" si="0"/>
        <v>10821.052631578947</v>
      </c>
      <c r="O27" s="164">
        <f>Tabla2[[#This Row],[USUARIOS]]*150</f>
        <v>23700</v>
      </c>
      <c r="P27" s="50">
        <f>+(E27*1)-W27</f>
        <v>9</v>
      </c>
      <c r="Q27" s="47">
        <f>+I27-P27-X27</f>
        <v>173.92961876832842</v>
      </c>
      <c r="R27" s="49">
        <f>+G27-P27</f>
        <v>149</v>
      </c>
      <c r="S27" s="51">
        <f>+E27*$T$3</f>
        <v>173.92961876832842</v>
      </c>
      <c r="T27" s="46">
        <f t="shared" si="1"/>
        <v>95661.290322580637</v>
      </c>
      <c r="U27" t="str">
        <f>+IF(K27&lt;&gt;"",K27,"")</f>
        <v/>
      </c>
      <c r="V27">
        <f>+RANK(H27,$H$6:$H$1048576,1)</f>
        <v>6</v>
      </c>
      <c r="Z27" t="str">
        <f>TRIM(Tabla2[[#This Row],[CONDUCTOR]])</f>
        <v>CALLE RICARDO</v>
      </c>
    </row>
    <row r="28" spans="2:26" x14ac:dyDescent="0.2">
      <c r="B28" s="136" t="s">
        <v>185</v>
      </c>
      <c r="C28" s="166">
        <v>27</v>
      </c>
      <c r="D28" s="151" t="s">
        <v>149</v>
      </c>
      <c r="E28" s="150">
        <v>9</v>
      </c>
      <c r="F28" s="150">
        <v>0</v>
      </c>
      <c r="G28" s="165">
        <v>211</v>
      </c>
      <c r="H28" s="226">
        <f>+G28/E28</f>
        <v>23.444444444444443</v>
      </c>
      <c r="I28" s="227">
        <f>+(SUM($G$7:$G$1048576)/SUM($E$7:$E$1048576))*E28</f>
        <v>182.92961876832842</v>
      </c>
      <c r="J28" s="363">
        <f>+Tabla2[[#This Row],[PROM DE USUARIOS]]-Tabla2[[#This Row],[USUARIOS]]</f>
        <v>-28.070381231671576</v>
      </c>
      <c r="K28" s="151"/>
      <c r="L28" s="163">
        <f>Q28*635</f>
        <v>110445.30791788855</v>
      </c>
      <c r="M28" s="162">
        <f>+VLOOKUP(C28,Lista!B:D,3,0)</f>
        <v>0</v>
      </c>
      <c r="N28" s="164">
        <f t="shared" si="0"/>
        <v>10821.052631578947</v>
      </c>
      <c r="O28" s="164">
        <f>Tabla2[[#This Row],[USUARIOS]]*150</f>
        <v>31650</v>
      </c>
      <c r="P28" s="50">
        <f>+(E28*1)-W28</f>
        <v>9</v>
      </c>
      <c r="Q28" s="47">
        <f>+I28-P28-X28</f>
        <v>173.92961876832842</v>
      </c>
      <c r="R28" s="49">
        <f>+G28-P28</f>
        <v>202</v>
      </c>
      <c r="S28" s="51">
        <f>+E28*$T$3</f>
        <v>173.92961876832842</v>
      </c>
      <c r="T28" s="46">
        <f t="shared" si="1"/>
        <v>95661.290322580637</v>
      </c>
      <c r="U28" t="str">
        <f>+IF(K28&lt;&gt;"",K28,"")</f>
        <v/>
      </c>
      <c r="V28">
        <f>+RANK(H28,$H$6:$H$1048576,1)</f>
        <v>35</v>
      </c>
      <c r="Z28" t="str">
        <f>TRIM(Tabla2[[#This Row],[CONDUCTOR]])</f>
        <v>VERENZUELA MARTINEZ ALEXANDER</v>
      </c>
    </row>
    <row r="29" spans="2:26" x14ac:dyDescent="0.2">
      <c r="B29" s="136" t="s">
        <v>122</v>
      </c>
      <c r="C29" s="166">
        <v>28</v>
      </c>
      <c r="D29" s="151" t="s">
        <v>167</v>
      </c>
      <c r="E29" s="150">
        <v>9</v>
      </c>
      <c r="F29" s="150">
        <v>0</v>
      </c>
      <c r="G29" s="165">
        <v>181</v>
      </c>
      <c r="H29" s="226">
        <f>+G29/E29</f>
        <v>20.111111111111111</v>
      </c>
      <c r="I29" s="227">
        <f>+(SUM($G$7:$G$1048576)/SUM($E$7:$E$1048576))*E29</f>
        <v>182.92961876832842</v>
      </c>
      <c r="J29" s="363">
        <f>+Tabla2[[#This Row],[PROM DE USUARIOS]]-Tabla2[[#This Row],[USUARIOS]]</f>
        <v>1.9296187683284245</v>
      </c>
      <c r="K29" s="151"/>
      <c r="L29" s="163">
        <f>Q29*635</f>
        <v>110445.30791788855</v>
      </c>
      <c r="M29" s="366" t="str">
        <f>+VLOOKUP(C29,Lista!B:D,3,0)</f>
        <v>MICRO</v>
      </c>
      <c r="N29" s="164">
        <f t="shared" si="0"/>
        <v>10821.052631578947</v>
      </c>
      <c r="O29" s="164">
        <f>Tabla2[[#This Row],[USUARIOS]]*150</f>
        <v>27150</v>
      </c>
      <c r="P29" s="50">
        <f>+(E29*1)-W29</f>
        <v>9</v>
      </c>
      <c r="Q29" s="47">
        <f>+I29-P29-X29</f>
        <v>173.92961876832842</v>
      </c>
      <c r="R29" s="49">
        <f>+G29-P29</f>
        <v>172</v>
      </c>
      <c r="S29" s="51">
        <f>+E29*$T$3</f>
        <v>173.92961876832842</v>
      </c>
      <c r="T29" s="46">
        <f t="shared" si="1"/>
        <v>95661.290322580637</v>
      </c>
      <c r="U29" t="str">
        <f>+IF(K29&lt;&gt;"",K29,"")</f>
        <v/>
      </c>
      <c r="V29">
        <f>+RANK(H29,$H$6:$H$1048576,1)</f>
        <v>19</v>
      </c>
      <c r="Z29" t="str">
        <f>TRIM(Tabla2[[#This Row],[CONDUCTOR]])</f>
        <v>SUAREZ ESCUDERO JONATAN</v>
      </c>
    </row>
    <row r="30" spans="2:26" s="2" customFormat="1" x14ac:dyDescent="0.2">
      <c r="B30" s="136" t="s">
        <v>185</v>
      </c>
      <c r="C30" s="137">
        <v>29</v>
      </c>
      <c r="D30" s="151" t="s">
        <v>181</v>
      </c>
      <c r="E30" s="150">
        <v>8</v>
      </c>
      <c r="F30" s="150">
        <v>0</v>
      </c>
      <c r="G30" s="146">
        <v>116</v>
      </c>
      <c r="H30" s="226">
        <f>+G30/E30</f>
        <v>14.5</v>
      </c>
      <c r="I30" s="227">
        <f>+(SUM($G$7:$G$1048576)/SUM($E$7:$E$1048576))*E30</f>
        <v>162.6041055718475</v>
      </c>
      <c r="J30" s="363">
        <f>+Tabla2[[#This Row],[PROM DE USUARIOS]]-Tabla2[[#This Row],[USUARIOS]]</f>
        <v>46.604105571847498</v>
      </c>
      <c r="K30" s="151"/>
      <c r="L30" s="163">
        <f>Q30*635</f>
        <v>98173.607038123155</v>
      </c>
      <c r="M30" s="366" t="str">
        <f>+VLOOKUP(C30,Lista!B:D,3,0)</f>
        <v>MICRO</v>
      </c>
      <c r="N30" s="164">
        <f t="shared" si="0"/>
        <v>10821.052631578947</v>
      </c>
      <c r="O30" s="164">
        <f>Tabla2[[#This Row],[USUARIOS]]*150</f>
        <v>17400</v>
      </c>
      <c r="P30" s="50">
        <f>+(E30*1)-W30</f>
        <v>8</v>
      </c>
      <c r="Q30" s="47">
        <f>+I30-P30-X30</f>
        <v>154.6041055718475</v>
      </c>
      <c r="R30" s="49">
        <f>+G30-P30</f>
        <v>108</v>
      </c>
      <c r="S30" s="51">
        <f>+E30*$T$3</f>
        <v>154.6041055718475</v>
      </c>
      <c r="T30" s="46">
        <f t="shared" si="1"/>
        <v>85032.258064516122</v>
      </c>
      <c r="U30" t="str">
        <f>+IF(K30&lt;&gt;"",K30,"")</f>
        <v/>
      </c>
      <c r="V30">
        <f>+RANK(H30,$H$6:$H$1048576,1)</f>
        <v>1</v>
      </c>
      <c r="Z30" t="str">
        <f>TRIM(Tabla2[[#This Row],[CONDUCTOR]])</f>
        <v>MURILLO YOIMAR ANDRES</v>
      </c>
    </row>
    <row r="31" spans="2:26" x14ac:dyDescent="0.2">
      <c r="B31" s="136" t="s">
        <v>122</v>
      </c>
      <c r="C31" s="166">
        <v>31</v>
      </c>
      <c r="D31" s="151" t="s">
        <v>166</v>
      </c>
      <c r="E31" s="150">
        <v>10</v>
      </c>
      <c r="F31" s="150">
        <v>0</v>
      </c>
      <c r="G31" s="146">
        <v>164</v>
      </c>
      <c r="H31" s="226">
        <f>+G31/E31</f>
        <v>16.399999999999999</v>
      </c>
      <c r="I31" s="364">
        <f>+(SUM($G$7:$G$1048576)/SUM($E$7:$E$1048576))*E31</f>
        <v>203.25513196480938</v>
      </c>
      <c r="J31" s="363">
        <f>+Tabla2[[#This Row],[PROM DE USUARIOS]]-Tabla2[[#This Row],[USUARIOS]]</f>
        <v>39.255131964809379</v>
      </c>
      <c r="K31" s="151" t="s">
        <v>129</v>
      </c>
      <c r="L31" s="163">
        <f>Q31*635</f>
        <v>122717.00879765395</v>
      </c>
      <c r="M31" s="366" t="str">
        <f>+VLOOKUP(C31,Lista!B:D,3,0)</f>
        <v>MICRO</v>
      </c>
      <c r="N31" s="164">
        <f t="shared" si="0"/>
        <v>10821.052631578947</v>
      </c>
      <c r="O31" s="164">
        <f>Tabla2[[#This Row],[USUARIOS]]*150</f>
        <v>24600</v>
      </c>
      <c r="P31" s="50">
        <f>+(E31*1)-W31</f>
        <v>10</v>
      </c>
      <c r="Q31" s="47">
        <f>+I31-P31-X31</f>
        <v>193.25513196480938</v>
      </c>
      <c r="R31" s="49">
        <f>+G31-P31</f>
        <v>154</v>
      </c>
      <c r="S31" s="51">
        <f>+E31*$T$3</f>
        <v>193.25513196480938</v>
      </c>
      <c r="T31" s="46">
        <f t="shared" si="1"/>
        <v>106290.32258064515</v>
      </c>
      <c r="U31" t="str">
        <f>+IF(K31&lt;&gt;"",K31,"")</f>
        <v xml:space="preserve">1 Descuento (Conduct) </v>
      </c>
      <c r="V31">
        <f>+RANK(H31,$H$6:$H$1048576,1)</f>
        <v>2</v>
      </c>
      <c r="Z31" t="str">
        <f>TRIM(Tabla2[[#This Row],[CONDUCTOR]])</f>
        <v>FRANCO CARVAJAL GERARDO ANTONIO</v>
      </c>
    </row>
    <row r="32" spans="2:26" x14ac:dyDescent="0.2">
      <c r="B32" s="136" t="s">
        <v>185</v>
      </c>
      <c r="C32" s="166">
        <v>32</v>
      </c>
      <c r="D32" s="151" t="s">
        <v>155</v>
      </c>
      <c r="E32" s="150">
        <v>9</v>
      </c>
      <c r="F32" s="150">
        <v>0</v>
      </c>
      <c r="G32" s="146">
        <v>155</v>
      </c>
      <c r="H32" s="226">
        <f>+G32/E32</f>
        <v>17.222222222222221</v>
      </c>
      <c r="I32" s="364">
        <f>+(SUM($G$7:$G$1048576)/SUM($E$7:$E$1048576))*E32</f>
        <v>182.92961876832842</v>
      </c>
      <c r="J32" s="363">
        <f>+Tabla2[[#This Row],[PROM DE USUARIOS]]-Tabla2[[#This Row],[USUARIOS]]</f>
        <v>27.929618768328424</v>
      </c>
      <c r="K32" s="151"/>
      <c r="L32" s="163">
        <f>Q32*635</f>
        <v>110445.30791788855</v>
      </c>
      <c r="M32" s="366" t="str">
        <f>+VLOOKUP(C32,Lista!B:D,3,0)</f>
        <v>MICRO</v>
      </c>
      <c r="N32" s="164">
        <f t="shared" si="0"/>
        <v>10821.052631578947</v>
      </c>
      <c r="O32" s="164">
        <f>Tabla2[[#This Row],[USUARIOS]]*150</f>
        <v>23250</v>
      </c>
      <c r="P32" s="50">
        <f>+(E32*1)-W32</f>
        <v>9</v>
      </c>
      <c r="Q32" s="47">
        <f>+I32-P32-X32</f>
        <v>173.92961876832842</v>
      </c>
      <c r="R32" s="49">
        <f>+G32-P32</f>
        <v>146</v>
      </c>
      <c r="S32" s="51">
        <f>+E32*$T$3</f>
        <v>173.92961876832842</v>
      </c>
      <c r="T32" s="46">
        <f t="shared" si="1"/>
        <v>95661.290322580637</v>
      </c>
      <c r="U32" t="str">
        <f>+IF(K32&lt;&gt;"",K32,"")</f>
        <v/>
      </c>
      <c r="V32">
        <f>+RANK(H32,$H$6:$H$1048576,1)</f>
        <v>5</v>
      </c>
      <c r="Z32" t="str">
        <f>TRIM(Tabla2[[#This Row],[CONDUCTOR]])</f>
        <v>LAYOS JIMENEZ JOHAN CAMILO</v>
      </c>
    </row>
    <row r="33" spans="2:26" x14ac:dyDescent="0.2">
      <c r="B33" s="136" t="s">
        <v>122</v>
      </c>
      <c r="C33" s="137">
        <v>33</v>
      </c>
      <c r="D33" s="151" t="s">
        <v>151</v>
      </c>
      <c r="E33" s="150">
        <v>5.5</v>
      </c>
      <c r="F33" s="150">
        <v>0.5</v>
      </c>
      <c r="G33" s="165">
        <v>116</v>
      </c>
      <c r="H33" s="226">
        <f>+G33/E33</f>
        <v>21.09090909090909</v>
      </c>
      <c r="I33" s="227">
        <f>+(SUM($G$7:$G$1048576)/SUM($E$7:$E$1048576))*E33</f>
        <v>111.79032258064515</v>
      </c>
      <c r="J33" s="363">
        <f>+Tabla2[[#This Row],[PROM DE USUARIOS]]-Tabla2[[#This Row],[USUARIOS]]</f>
        <v>-4.209677419354847</v>
      </c>
      <c r="K33" s="151"/>
      <c r="L33" s="163">
        <f>Q33*635</f>
        <v>67494.354838709667</v>
      </c>
      <c r="M33" s="366" t="str">
        <f>+VLOOKUP(C33,Lista!B:D,3,0)</f>
        <v>MICRO</v>
      </c>
      <c r="N33" s="164">
        <f t="shared" si="0"/>
        <v>10821.052631578947</v>
      </c>
      <c r="O33" s="164">
        <f>Tabla2[[#This Row],[USUARIOS]]*150</f>
        <v>17400</v>
      </c>
      <c r="P33" s="50">
        <f>+(E33*1)-W33</f>
        <v>5.5</v>
      </c>
      <c r="Q33" s="47">
        <f>+I33-P33-X33</f>
        <v>106.29032258064515</v>
      </c>
      <c r="R33" s="49">
        <f>+G33-P33</f>
        <v>110.5</v>
      </c>
      <c r="S33" s="51">
        <f>+E33*$T$3</f>
        <v>106.29032258064515</v>
      </c>
      <c r="T33" s="46">
        <f t="shared" si="1"/>
        <v>58459.677419354834</v>
      </c>
      <c r="U33" t="str">
        <f>+IF(K33&lt;&gt;"",K33,"")</f>
        <v/>
      </c>
      <c r="V33">
        <f>+RANK(H33,$H$6:$H$1048576,1)</f>
        <v>24</v>
      </c>
      <c r="Z33" t="str">
        <f>TRIM(Tabla2[[#This Row],[CONDUCTOR]])</f>
        <v>MARULANDA JARAMILLO DAWER ANDRES</v>
      </c>
    </row>
    <row r="34" spans="2:26" x14ac:dyDescent="0.2">
      <c r="B34" s="136" t="s">
        <v>185</v>
      </c>
      <c r="C34" s="166">
        <v>34</v>
      </c>
      <c r="D34" s="151" t="s">
        <v>154</v>
      </c>
      <c r="E34" s="150">
        <v>10</v>
      </c>
      <c r="F34" s="150">
        <v>0</v>
      </c>
      <c r="G34" s="146">
        <v>210</v>
      </c>
      <c r="H34" s="226">
        <f>+G34/E34</f>
        <v>21</v>
      </c>
      <c r="I34" s="364">
        <f>+(SUM($G$7:$G$1048576)/SUM($E$7:$E$1048576))*E34</f>
        <v>203.25513196480938</v>
      </c>
      <c r="J34" s="363">
        <f>+Tabla2[[#This Row],[PROM DE USUARIOS]]-Tabla2[[#This Row],[USUARIOS]]</f>
        <v>-6.7448680351906205</v>
      </c>
      <c r="K34" s="151"/>
      <c r="L34" s="163">
        <f>Q34*635</f>
        <v>122717.00879765395</v>
      </c>
      <c r="M34" s="366" t="str">
        <f>+VLOOKUP(C34,Lista!B:D,3,0)</f>
        <v>MICRO</v>
      </c>
      <c r="N34" s="164">
        <f t="shared" si="0"/>
        <v>10821.052631578947</v>
      </c>
      <c r="O34" s="164">
        <f>Tabla2[[#This Row],[USUARIOS]]*150</f>
        <v>31500</v>
      </c>
      <c r="P34" s="50">
        <f>+(E34*1)-W34</f>
        <v>10</v>
      </c>
      <c r="Q34" s="47">
        <f>+I34-P34-X34</f>
        <v>193.25513196480938</v>
      </c>
      <c r="R34" s="49">
        <f>+G34-P34</f>
        <v>200</v>
      </c>
      <c r="S34" s="51">
        <f>+E34*$T$3</f>
        <v>193.25513196480938</v>
      </c>
      <c r="T34" s="46">
        <f t="shared" si="1"/>
        <v>106290.32258064515</v>
      </c>
      <c r="U34" t="str">
        <f>+IF(K34&lt;&gt;"",K34,"")</f>
        <v/>
      </c>
      <c r="V34">
        <f>+RANK(H34,$H$6:$H$1048576,1)</f>
        <v>23</v>
      </c>
      <c r="Z34" t="str">
        <f>TRIM(Tabla2[[#This Row],[CONDUCTOR]])</f>
        <v>MONTOYA OSPINA GILBERTO ANTONIO</v>
      </c>
    </row>
    <row r="35" spans="2:26" x14ac:dyDescent="0.2">
      <c r="B35" s="136" t="s">
        <v>122</v>
      </c>
      <c r="C35" s="166">
        <v>35</v>
      </c>
      <c r="D35" s="151" t="s">
        <v>169</v>
      </c>
      <c r="E35" s="150">
        <v>9.5</v>
      </c>
      <c r="F35" s="150">
        <v>0.5</v>
      </c>
      <c r="G35" s="165">
        <v>208</v>
      </c>
      <c r="H35" s="226">
        <f>+G35/E35</f>
        <v>21.894736842105264</v>
      </c>
      <c r="I35" s="227">
        <f>+(SUM($G$7:$G$1048576)/SUM($E$7:$E$1048576))*E35</f>
        <v>193.09237536656892</v>
      </c>
      <c r="J35" s="363">
        <f>+Tabla2[[#This Row],[PROM DE USUARIOS]]-Tabla2[[#This Row],[USUARIOS]]</f>
        <v>-14.907624633431084</v>
      </c>
      <c r="K35" s="151" t="s">
        <v>190</v>
      </c>
      <c r="L35" s="163">
        <f>Q35*635</f>
        <v>116581.15835777126</v>
      </c>
      <c r="M35" s="366">
        <f>+VLOOKUP(C35,Lista!B:D,3,0)</f>
        <v>0</v>
      </c>
      <c r="N35" s="164">
        <f t="shared" si="0"/>
        <v>10821.052631578947</v>
      </c>
      <c r="O35" s="164">
        <f>Tabla2[[#This Row],[USUARIOS]]*150</f>
        <v>31200</v>
      </c>
      <c r="P35" s="50">
        <f>+(E35*1)-W35</f>
        <v>9.5</v>
      </c>
      <c r="Q35" s="47">
        <f>+I35-P35-X35</f>
        <v>183.59237536656892</v>
      </c>
      <c r="R35" s="49">
        <f>+G35-P35</f>
        <v>198.5</v>
      </c>
      <c r="S35" s="51">
        <f>+E35*$T$3</f>
        <v>183.59237536656892</v>
      </c>
      <c r="T35" s="46">
        <f t="shared" si="1"/>
        <v>100975.80645161291</v>
      </c>
      <c r="U35" t="str">
        <f>+IF(K35&lt;&gt;"",K35,"")</f>
        <v xml:space="preserve">2 Descuentos (Despachador y usuario desubicado) </v>
      </c>
      <c r="V35">
        <f>+RANK(H35,$H$6:$H$1048576,1)</f>
        <v>31</v>
      </c>
      <c r="Z35" t="str">
        <f>TRIM(Tabla2[[#This Row],[CONDUCTOR]])</f>
        <v>ARAQUE ARROYAVE JOSE ALBEIRO</v>
      </c>
    </row>
    <row r="36" spans="2:26" x14ac:dyDescent="0.2">
      <c r="B36" s="136" t="s">
        <v>185</v>
      </c>
      <c r="C36" s="166">
        <v>36</v>
      </c>
      <c r="D36" s="151" t="s">
        <v>171</v>
      </c>
      <c r="E36" s="150">
        <v>13</v>
      </c>
      <c r="F36" s="150">
        <v>0</v>
      </c>
      <c r="G36" s="146">
        <v>261</v>
      </c>
      <c r="H36" s="226">
        <f>+G36/E36</f>
        <v>20.076923076923077</v>
      </c>
      <c r="I36" s="364">
        <f>+(SUM($G$7:$G$1048576)/SUM($E$7:$E$1048576))*E36</f>
        <v>264.23167155425216</v>
      </c>
      <c r="J36" s="363">
        <f>+Tabla2[[#This Row],[PROM DE USUARIOS]]-Tabla2[[#This Row],[USUARIOS]]</f>
        <v>3.2316715542521592</v>
      </c>
      <c r="K36" s="151" t="s">
        <v>188</v>
      </c>
      <c r="L36" s="163">
        <f>Q36*635</f>
        <v>159532.11143695013</v>
      </c>
      <c r="M36" s="366" t="str">
        <f>+VLOOKUP(C36,Lista!B:D,3,0)</f>
        <v>MICRO</v>
      </c>
      <c r="N36" s="164">
        <f t="shared" si="0"/>
        <v>10821.052631578947</v>
      </c>
      <c r="O36" s="164">
        <f>Tabla2[[#This Row],[USUARIOS]]*150</f>
        <v>39150</v>
      </c>
      <c r="P36" s="50">
        <f>+(E36*1)-W36</f>
        <v>13</v>
      </c>
      <c r="Q36" s="47">
        <f>+I36-P36-X36</f>
        <v>251.23167155425216</v>
      </c>
      <c r="R36" s="49">
        <f>+G36-P36</f>
        <v>248</v>
      </c>
      <c r="S36" s="51">
        <f>+E36*$T$3</f>
        <v>251.23167155425219</v>
      </c>
      <c r="T36" s="46">
        <f t="shared" si="1"/>
        <v>138177.4193548387</v>
      </c>
      <c r="U36" t="str">
        <f>+IF(K36&lt;&gt;"",K36,"")</f>
        <v xml:space="preserve">1 Descuento (Despachador) </v>
      </c>
      <c r="V36">
        <f>+RANK(H36,$H$6:$H$1048576,1)</f>
        <v>18</v>
      </c>
      <c r="Z36" t="str">
        <f>TRIM(Tabla2[[#This Row],[CONDUCTOR]])</f>
        <v>MARTINEZ CHAVERRA LUIS NORBERTO</v>
      </c>
    </row>
    <row r="37" spans="2:26" x14ac:dyDescent="0.2">
      <c r="B37" s="136" t="s">
        <v>122</v>
      </c>
      <c r="C37" s="166">
        <v>37</v>
      </c>
      <c r="D37" s="151" t="s">
        <v>170</v>
      </c>
      <c r="E37" s="150">
        <v>8</v>
      </c>
      <c r="F37" s="150">
        <v>0.5</v>
      </c>
      <c r="G37" s="165">
        <v>148</v>
      </c>
      <c r="H37" s="226">
        <f>+G37/E37</f>
        <v>18.5</v>
      </c>
      <c r="I37" s="227">
        <f>+(SUM($G$7:$G$1048576)/SUM($E$7:$E$1048576))*E37</f>
        <v>162.6041055718475</v>
      </c>
      <c r="J37" s="363">
        <f>+Tabla2[[#This Row],[PROM DE USUARIOS]]-Tabla2[[#This Row],[USUARIOS]]</f>
        <v>14.604105571847498</v>
      </c>
      <c r="K37" s="151" t="s">
        <v>192</v>
      </c>
      <c r="L37" s="163">
        <f>Q37*635</f>
        <v>92037.60203812315</v>
      </c>
      <c r="M37" s="366">
        <f>+VLOOKUP(C37,Lista!B:D,3,0)</f>
        <v>0</v>
      </c>
      <c r="N37" s="164">
        <f t="shared" si="0"/>
        <v>10821.052631578947</v>
      </c>
      <c r="O37" s="164">
        <f>Tabla2[[#This Row],[USUARIOS]]*150</f>
        <v>22200</v>
      </c>
      <c r="P37" s="50">
        <f>+(E37*1)-W37</f>
        <v>7.5</v>
      </c>
      <c r="Q37" s="47">
        <f>+I37-P37-X37</f>
        <v>144.94110557184749</v>
      </c>
      <c r="R37" s="49">
        <f>+G37-P37</f>
        <v>140.5</v>
      </c>
      <c r="S37" s="51">
        <f>+E37*$T$3</f>
        <v>154.6041055718475</v>
      </c>
      <c r="T37" s="46">
        <f t="shared" si="1"/>
        <v>85032.258064516122</v>
      </c>
      <c r="U37" t="str">
        <f>+IF(K37&lt;&gt;"",K37,"")</f>
        <v xml:space="preserve">Se descuenta 0.5 viaje de 6 20 am ya que NO ingresa al 13 </v>
      </c>
      <c r="V37">
        <f>+RANK(H37,$H$6:$H$1048576,1)</f>
        <v>10</v>
      </c>
      <c r="W37">
        <v>0.5</v>
      </c>
      <c r="X37">
        <v>10.163</v>
      </c>
      <c r="Z37" t="str">
        <f>TRIM(Tabla2[[#This Row],[CONDUCTOR]])</f>
        <v>TABORDA ROJAS DIEGO ALEJANDRO</v>
      </c>
    </row>
    <row r="38" spans="2:26" x14ac:dyDescent="0.2">
      <c r="B38" s="136" t="s">
        <v>185</v>
      </c>
      <c r="C38" s="166">
        <v>38</v>
      </c>
      <c r="D38" s="151" t="s">
        <v>173</v>
      </c>
      <c r="E38" s="150">
        <v>9</v>
      </c>
      <c r="F38" s="150">
        <v>0</v>
      </c>
      <c r="G38" s="146">
        <v>158</v>
      </c>
      <c r="H38" s="226">
        <f>+G38/E38</f>
        <v>17.555555555555557</v>
      </c>
      <c r="I38" s="227">
        <f>+(SUM($G$7:$G$1048576)/SUM($E$7:$E$1048576))*E38</f>
        <v>182.92961876832842</v>
      </c>
      <c r="J38" s="363">
        <f>+Tabla2[[#This Row],[PROM DE USUARIOS]]-Tabla2[[#This Row],[USUARIOS]]</f>
        <v>24.929618768328424</v>
      </c>
      <c r="K38" s="151"/>
      <c r="L38" s="163">
        <f>Q38*635</f>
        <v>110445.30791788855</v>
      </c>
      <c r="M38" s="366" t="str">
        <f>+VLOOKUP(C38,Lista!B:D,3,0)</f>
        <v>MICRO</v>
      </c>
      <c r="N38" s="164">
        <f t="shared" si="0"/>
        <v>10821.052631578947</v>
      </c>
      <c r="O38" s="164">
        <f>Tabla2[[#This Row],[USUARIOS]]*150</f>
        <v>23700</v>
      </c>
      <c r="P38" s="50">
        <f>+(E38*1)-W38</f>
        <v>9</v>
      </c>
      <c r="Q38" s="47">
        <f>+I38-P38-X38</f>
        <v>173.92961876832842</v>
      </c>
      <c r="R38" s="49">
        <f>+G38-P38</f>
        <v>149</v>
      </c>
      <c r="S38" s="51">
        <f>+E38*$T$3</f>
        <v>173.92961876832842</v>
      </c>
      <c r="T38" s="46">
        <f t="shared" si="1"/>
        <v>95661.290322580637</v>
      </c>
      <c r="U38" t="str">
        <f>+IF(K38&lt;&gt;"",K38,"")</f>
        <v/>
      </c>
      <c r="V38">
        <f>+RANK(H38,$H$6:$H$1048576,1)</f>
        <v>6</v>
      </c>
      <c r="Z38" t="str">
        <f>TRIM(Tabla2[[#This Row],[CONDUCTOR]])</f>
        <v>GONZALEZ IPUANA RENE</v>
      </c>
    </row>
    <row r="39" spans="2:26" x14ac:dyDescent="0.2">
      <c r="B39" s="136" t="s">
        <v>122</v>
      </c>
      <c r="C39" s="166">
        <v>39</v>
      </c>
      <c r="D39" s="151" t="s">
        <v>172</v>
      </c>
      <c r="E39" s="150">
        <v>8</v>
      </c>
      <c r="F39" s="150">
        <v>0.5</v>
      </c>
      <c r="G39" s="165">
        <v>154</v>
      </c>
      <c r="H39" s="226">
        <f>+G39/E39</f>
        <v>19.25</v>
      </c>
      <c r="I39" s="227">
        <f>+(SUM($G$7:$G$1048576)/SUM($E$7:$E$1048576))*E39</f>
        <v>162.6041055718475</v>
      </c>
      <c r="J39" s="363">
        <f>+Tabla2[[#This Row],[PROM DE USUARIOS]]-Tabla2[[#This Row],[USUARIOS]]</f>
        <v>8.6041055718474979</v>
      </c>
      <c r="K39" s="151" t="s">
        <v>193</v>
      </c>
      <c r="L39" s="163">
        <f>Q39*635</f>
        <v>92037.60203812315</v>
      </c>
      <c r="M39" s="366" t="str">
        <f>+VLOOKUP(C39,Lista!B:D,3,0)</f>
        <v>MICRO</v>
      </c>
      <c r="N39" s="164">
        <f t="shared" si="0"/>
        <v>10821.052631578947</v>
      </c>
      <c r="O39" s="164">
        <f>Tabla2[[#This Row],[USUARIOS]]*150</f>
        <v>23100</v>
      </c>
      <c r="P39" s="50">
        <f>+(E39*1)-W39</f>
        <v>7.5</v>
      </c>
      <c r="Q39" s="47">
        <f>+I39-P39-X39</f>
        <v>144.94110557184749</v>
      </c>
      <c r="R39" s="49">
        <f>+G39-P39</f>
        <v>146.5</v>
      </c>
      <c r="S39" s="51">
        <f>+E39*$T$3</f>
        <v>154.6041055718475</v>
      </c>
      <c r="T39" s="46">
        <f t="shared" si="1"/>
        <v>85032.258064516122</v>
      </c>
      <c r="U39" t="str">
        <f>+IF(K39&lt;&gt;"",K39,"")</f>
        <v xml:space="preserve">Se descuenta 0.5 viaje de 9 07 am ya que NO ingresa al 13 </v>
      </c>
      <c r="V39">
        <f>+RANK(H39,$H$6:$H$1048576,1)</f>
        <v>13</v>
      </c>
      <c r="W39">
        <v>0.5</v>
      </c>
      <c r="X39">
        <v>10.163</v>
      </c>
      <c r="Z39" t="str">
        <f>TRIM(Tabla2[[#This Row],[CONDUCTOR]])</f>
        <v>PALMAR PANA EDIXON JOSUE</v>
      </c>
    </row>
    <row r="40" spans="2:26" x14ac:dyDescent="0.2">
      <c r="B40" s="136" t="s">
        <v>185</v>
      </c>
      <c r="C40" s="166">
        <v>40</v>
      </c>
      <c r="D40" s="151" t="s">
        <v>165</v>
      </c>
      <c r="E40" s="150">
        <v>10</v>
      </c>
      <c r="F40" s="150">
        <v>0</v>
      </c>
      <c r="G40" s="165">
        <v>217</v>
      </c>
      <c r="H40" s="226">
        <f>+G40/E40</f>
        <v>21.7</v>
      </c>
      <c r="I40" s="227">
        <f>+(SUM($G$7:$G$1048576)/SUM($E$7:$E$1048576))*E40</f>
        <v>203.25513196480938</v>
      </c>
      <c r="J40" s="363">
        <f>+Tabla2[[#This Row],[PROM DE USUARIOS]]-Tabla2[[#This Row],[USUARIOS]]</f>
        <v>-13.744868035190621</v>
      </c>
      <c r="K40" s="151"/>
      <c r="L40" s="163">
        <f>Q40*635</f>
        <v>122717.00879765395</v>
      </c>
      <c r="M40" s="366" t="str">
        <f>+VLOOKUP(C40,Lista!B:D,3,0)</f>
        <v>MICRO</v>
      </c>
      <c r="N40" s="164">
        <f t="shared" si="0"/>
        <v>10821.052631578947</v>
      </c>
      <c r="O40" s="164">
        <f>Tabla2[[#This Row],[USUARIOS]]*150</f>
        <v>32550</v>
      </c>
      <c r="P40" s="50">
        <f>+(E40*1)-W40</f>
        <v>10</v>
      </c>
      <c r="Q40" s="47">
        <f>+I40-P40-X40</f>
        <v>193.25513196480938</v>
      </c>
      <c r="R40" s="49">
        <f>+G40-P40</f>
        <v>207</v>
      </c>
      <c r="S40" s="51">
        <f>+E40*$T$3</f>
        <v>193.25513196480938</v>
      </c>
      <c r="T40" s="46">
        <f t="shared" si="1"/>
        <v>106290.32258064515</v>
      </c>
      <c r="U40" t="str">
        <f>+IF(K40&lt;&gt;"",K40,"")</f>
        <v/>
      </c>
      <c r="V40">
        <f>+RANK(H40,$H$6:$H$1048576,1)</f>
        <v>29</v>
      </c>
      <c r="Z40" t="str">
        <f>TRIM(Tabla2[[#This Row],[CONDUCTOR]])</f>
        <v>OCAMPO OCAMPO ANTONIO JOSE</v>
      </c>
    </row>
    <row r="41" spans="2:26" x14ac:dyDescent="0.2">
      <c r="B41" s="136" t="s">
        <v>122</v>
      </c>
      <c r="C41" s="166">
        <v>41</v>
      </c>
      <c r="D41" s="151" t="s">
        <v>178</v>
      </c>
      <c r="E41" s="150">
        <v>9</v>
      </c>
      <c r="F41" s="150">
        <v>0</v>
      </c>
      <c r="G41" s="146">
        <v>180</v>
      </c>
      <c r="H41" s="226">
        <f>+G41/E41</f>
        <v>20</v>
      </c>
      <c r="I41" s="364">
        <f>+(SUM($G$7:$G$1048576)/SUM($E$7:$E$1048576))*E41</f>
        <v>182.92961876832842</v>
      </c>
      <c r="J41" s="363">
        <f>+Tabla2[[#This Row],[PROM DE USUARIOS]]-Tabla2[[#This Row],[USUARIOS]]</f>
        <v>2.9296187683284245</v>
      </c>
      <c r="K41" s="151"/>
      <c r="L41" s="163">
        <f>Q41*635</f>
        <v>110445.30791788855</v>
      </c>
      <c r="M41" s="366">
        <f>+VLOOKUP(C41,Lista!B:D,3,0)</f>
        <v>0</v>
      </c>
      <c r="N41" s="164">
        <f t="shared" si="0"/>
        <v>10821.052631578947</v>
      </c>
      <c r="O41" s="164">
        <f>Tabla2[[#This Row],[USUARIOS]]*150</f>
        <v>27000</v>
      </c>
      <c r="P41" s="50">
        <f>+(E41*1)-W41</f>
        <v>9</v>
      </c>
      <c r="Q41" s="47">
        <f>+I41-P41-X41</f>
        <v>173.92961876832842</v>
      </c>
      <c r="R41" s="49">
        <f>+G41-P41</f>
        <v>171</v>
      </c>
      <c r="S41" s="51">
        <f>+E41*$T$3</f>
        <v>173.92961876832842</v>
      </c>
      <c r="T41" s="46">
        <f t="shared" si="1"/>
        <v>95661.290322580637</v>
      </c>
      <c r="U41" t="str">
        <f>+IF(K41&lt;&gt;"",K41,"")</f>
        <v/>
      </c>
      <c r="V41">
        <f>+RANK(H41,$H$6:$H$1048576,1)</f>
        <v>16</v>
      </c>
      <c r="Z41" t="str">
        <f>TRIM(Tabla2[[#This Row],[CONDUCTOR]])</f>
        <v>HERNANDEZ MACIAS GILBERTO</v>
      </c>
    </row>
    <row r="42" spans="2:26" x14ac:dyDescent="0.2">
      <c r="B42" s="136" t="s">
        <v>185</v>
      </c>
      <c r="C42" s="166">
        <v>42</v>
      </c>
      <c r="D42" s="151" t="s">
        <v>164</v>
      </c>
      <c r="E42" s="150">
        <v>6</v>
      </c>
      <c r="F42" s="150">
        <v>0</v>
      </c>
      <c r="G42" s="165">
        <v>120</v>
      </c>
      <c r="H42" s="226">
        <f>+G42/E42</f>
        <v>20</v>
      </c>
      <c r="I42" s="227">
        <f>+(SUM($G$7:$G$1048576)/SUM($E$7:$E$1048576))*E42</f>
        <v>121.95307917888562</v>
      </c>
      <c r="J42" s="363">
        <f>+Tabla2[[#This Row],[PROM DE USUARIOS]]-Tabla2[[#This Row],[USUARIOS]]</f>
        <v>1.9530791788856163</v>
      </c>
      <c r="K42" s="151"/>
      <c r="L42" s="163">
        <f>Q42*635</f>
        <v>73630.205278592373</v>
      </c>
      <c r="M42" s="366">
        <f>+VLOOKUP(C42,Lista!B:D,3,0)</f>
        <v>0</v>
      </c>
      <c r="N42" s="164">
        <f t="shared" si="0"/>
        <v>10821.052631578947</v>
      </c>
      <c r="O42" s="164">
        <f>Tabla2[[#This Row],[USUARIOS]]*150</f>
        <v>18000</v>
      </c>
      <c r="P42" s="50">
        <f>+(E42*1)-W42</f>
        <v>6</v>
      </c>
      <c r="Q42" s="47">
        <f>+I42-P42-X42</f>
        <v>115.95307917888562</v>
      </c>
      <c r="R42" s="49">
        <f>+G42-P42</f>
        <v>114</v>
      </c>
      <c r="S42" s="51">
        <f>+E42*$T$3</f>
        <v>115.95307917888562</v>
      </c>
      <c r="T42" s="46">
        <f t="shared" si="1"/>
        <v>63774.193548387091</v>
      </c>
      <c r="U42" t="str">
        <f>+IF(K42&lt;&gt;"",K42,"")</f>
        <v/>
      </c>
      <c r="V42">
        <f>+RANK(H42,$H$6:$H$1048576,1)</f>
        <v>16</v>
      </c>
      <c r="Z42" t="str">
        <f>TRIM(Tabla2[[#This Row],[CONDUCTOR]])</f>
        <v>BETANCUR GUZMAN JHON FERNANDO</v>
      </c>
    </row>
    <row r="43" spans="2:26" x14ac:dyDescent="0.2">
      <c r="B43" s="136" t="s">
        <v>122</v>
      </c>
      <c r="C43" s="166">
        <v>43</v>
      </c>
      <c r="D43" s="151" t="s">
        <v>183</v>
      </c>
      <c r="E43" s="150">
        <v>10</v>
      </c>
      <c r="F43" s="150">
        <v>0</v>
      </c>
      <c r="G43" s="146">
        <v>199</v>
      </c>
      <c r="H43" s="226">
        <f>+G43/E43</f>
        <v>19.899999999999999</v>
      </c>
      <c r="I43" s="364">
        <f>+(SUM($G$7:$G$1048576)/SUM($E$7:$E$1048576))*E43</f>
        <v>203.25513196480938</v>
      </c>
      <c r="J43" s="363">
        <f>+Tabla2[[#This Row],[PROM DE USUARIOS]]-Tabla2[[#This Row],[USUARIOS]]</f>
        <v>4.2551319648093795</v>
      </c>
      <c r="K43" s="151"/>
      <c r="L43" s="163">
        <f>Q43*635</f>
        <v>122717.00879765395</v>
      </c>
      <c r="M43" s="366">
        <f>+VLOOKUP(C43,Lista!B:D,3,0)</f>
        <v>0</v>
      </c>
      <c r="N43" s="164">
        <f t="shared" si="0"/>
        <v>10821.052631578947</v>
      </c>
      <c r="O43" s="164">
        <f>Tabla2[[#This Row],[USUARIOS]]*150</f>
        <v>29850</v>
      </c>
      <c r="P43" s="50">
        <f>+(E43*1)-W43</f>
        <v>10</v>
      </c>
      <c r="Q43" s="47">
        <f>+I43-P43-X43</f>
        <v>193.25513196480938</v>
      </c>
      <c r="R43" s="49">
        <f>+G43-P43</f>
        <v>189</v>
      </c>
      <c r="S43" s="51">
        <f>+E43*$T$3</f>
        <v>193.25513196480938</v>
      </c>
      <c r="T43" s="46">
        <f t="shared" si="1"/>
        <v>106290.32258064515</v>
      </c>
      <c r="U43" t="str">
        <f>+IF(K43&lt;&gt;"",K43,"")</f>
        <v/>
      </c>
      <c r="V43">
        <f>+RANK(H43,$H$6:$H$1048576,1)</f>
        <v>15</v>
      </c>
      <c r="Z43" t="str">
        <f>TRIM(Tabla2[[#This Row],[CONDUCTOR]])</f>
        <v>MARIN GARCIA JUAN DANIEL</v>
      </c>
    </row>
    <row r="44" spans="2:26" x14ac:dyDescent="0.2">
      <c r="B44" s="136" t="s">
        <v>185</v>
      </c>
      <c r="C44" s="166">
        <v>44</v>
      </c>
      <c r="D44" s="151" t="s">
        <v>157</v>
      </c>
      <c r="E44" s="150">
        <v>10</v>
      </c>
      <c r="F44" s="150">
        <v>0</v>
      </c>
      <c r="G44" s="146">
        <v>164</v>
      </c>
      <c r="H44" s="226">
        <f>+G44/E44</f>
        <v>16.399999999999999</v>
      </c>
      <c r="I44" s="364">
        <f>+(SUM($G$7:$G$1048576)/SUM($E$7:$E$1048576))*E44</f>
        <v>203.25513196480938</v>
      </c>
      <c r="J44" s="363">
        <f>+Tabla2[[#This Row],[PROM DE USUARIOS]]-Tabla2[[#This Row],[USUARIOS]]</f>
        <v>39.255131964809379</v>
      </c>
      <c r="K44" s="151"/>
      <c r="L44" s="163">
        <f>Q44*635</f>
        <v>122717.00879765395</v>
      </c>
      <c r="M44" s="366">
        <f>+VLOOKUP(C44,Lista!B:D,3,0)</f>
        <v>0</v>
      </c>
      <c r="N44" s="164">
        <f t="shared" si="0"/>
        <v>10821.052631578947</v>
      </c>
      <c r="O44" s="164">
        <f>Tabla2[[#This Row],[USUARIOS]]*150</f>
        <v>24600</v>
      </c>
      <c r="P44" s="50">
        <f>+(E44*1)-W44</f>
        <v>10</v>
      </c>
      <c r="Q44" s="47">
        <f>+I44-P44-X44</f>
        <v>193.25513196480938</v>
      </c>
      <c r="R44" s="49">
        <f>+G44-P44</f>
        <v>154</v>
      </c>
      <c r="S44" s="51">
        <f>+E44*$T$3</f>
        <v>193.25513196480938</v>
      </c>
      <c r="T44" s="46">
        <f t="shared" si="1"/>
        <v>106290.32258064515</v>
      </c>
      <c r="U44" t="str">
        <f>+IF(K44&lt;&gt;"",K44,"")</f>
        <v/>
      </c>
      <c r="V44">
        <f>+RANK(H44,$H$6:$H$1048576,1)</f>
        <v>2</v>
      </c>
      <c r="Z44" t="str">
        <f>TRIM(Tabla2[[#This Row],[CONDUCTOR]])</f>
        <v>MARIN ALZATE KEVIN ANDRES</v>
      </c>
    </row>
    <row r="45" spans="2:26" x14ac:dyDescent="0.2">
      <c r="B45" s="232"/>
      <c r="C45" s="239">
        <f>SUBTOTAL(102,Tabla2[VEH])</f>
        <v>38</v>
      </c>
      <c r="D45" s="233" t="s">
        <v>127</v>
      </c>
      <c r="E45" s="234">
        <f>SUBTOTAL(109,Tabla2[VIAJES])</f>
        <v>341</v>
      </c>
      <c r="F45" s="234">
        <f>SUBTOTAL(109,Tabla2[VIAJES PERD.])</f>
        <v>2</v>
      </c>
      <c r="G45" s="240">
        <f>SUBTOTAL(109,Tabla2[USUARIOS])</f>
        <v>6931</v>
      </c>
      <c r="H45" s="374">
        <f>+Tabla2[[#Totals],[USUARIOS]]/Tabla2[[#Totals],[VIAJES]]</f>
        <v>20.325513196480937</v>
      </c>
      <c r="I45" s="240">
        <f>SUBTOTAL(109,Tabla2[PROM DE USUARIOS])</f>
        <v>6931</v>
      </c>
      <c r="J45" s="373">
        <f>SUBTOTAL(109,Tabla2[RECIBE / ENTREGA])</f>
        <v>-5.4001247917767614E-13</v>
      </c>
      <c r="K45" s="235" t="s">
        <v>191</v>
      </c>
      <c r="L45" s="236"/>
      <c r="M45" s="237"/>
      <c r="N45" s="238">
        <f>SUBTOTAL(109,Tabla2[DIFER. MICRO - BUS ])</f>
        <v>411199.99999999959</v>
      </c>
      <c r="O45" s="238">
        <f>SUBTOTAL(109,Tabla2[FONDO (SIT)])</f>
        <v>1039650</v>
      </c>
      <c r="P45" s="50" t="e">
        <f>+(#REF!*1)-W45</f>
        <v>#REF!</v>
      </c>
      <c r="Q45" s="47" t="e">
        <f>+#REF!-P45-X45</f>
        <v>#REF!</v>
      </c>
      <c r="R45" s="49" t="e">
        <f>+#REF!-P45</f>
        <v>#REF!</v>
      </c>
      <c r="S45" s="51" t="e">
        <f>+#REF!*$T$3</f>
        <v>#REF!</v>
      </c>
      <c r="T45" s="46" t="e">
        <f t="shared" ref="T45" si="2">+S45*550</f>
        <v>#REF!</v>
      </c>
      <c r="U45" t="e">
        <f>+IF(#REF!&lt;&gt;"",#REF!,"")</f>
        <v>#REF!</v>
      </c>
      <c r="V45" t="e">
        <f>+RANK(#REF!,$H$6:$H$1048576,1)</f>
        <v>#REF!</v>
      </c>
      <c r="Z45" t="e">
        <f>TRIM(Tabla2[[#This Row],[CONDUCTOR]])</f>
        <v>#VALUE!</v>
      </c>
    </row>
    <row r="46" spans="2:26" x14ac:dyDescent="0.2">
      <c r="B46" s="245"/>
      <c r="C46" s="246"/>
      <c r="D46" s="247"/>
      <c r="E46" s="248"/>
      <c r="F46" s="248"/>
      <c r="G46" s="249"/>
      <c r="H46" s="250"/>
      <c r="I46" s="251"/>
      <c r="J46" s="341"/>
      <c r="K46" s="247"/>
      <c r="L46" s="252"/>
      <c r="M46" s="253"/>
      <c r="N46" s="203"/>
      <c r="O46" s="50"/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6:S47" si="3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6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/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si="3"/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6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4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54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5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+(E108*1)-V50</f>
        <v>0</v>
      </c>
      <c r="P50" s="134">
        <f>+I108-O50-W50</f>
        <v>0</v>
      </c>
      <c r="Q50" s="11">
        <f>+G108-O50</f>
        <v>0</v>
      </c>
      <c r="R50">
        <f>+E108*$T$3</f>
        <v>0</v>
      </c>
      <c r="S50">
        <f t="shared" ref="S50:S55" si="6">+R50*550</f>
        <v>0</v>
      </c>
      <c r="T50" t="str">
        <f>+IF(K108&lt;&gt;"",K108,"")</f>
        <v/>
      </c>
      <c r="U50" t="e">
        <f>+RANK(H108,$H$6:$H$1048576,1)</f>
        <v>#N/A</v>
      </c>
    </row>
    <row r="51" spans="2:21" x14ac:dyDescent="0.2">
      <c r="B51" s="245"/>
      <c r="C51" s="255"/>
      <c r="D51" s="247"/>
      <c r="E51" s="248"/>
      <c r="F51" s="248"/>
      <c r="G51" s="199"/>
      <c r="H51" s="250"/>
      <c r="I51" s="251"/>
      <c r="J51" s="341"/>
      <c r="K51" s="247"/>
      <c r="L51" s="252"/>
      <c r="M51" s="253"/>
      <c r="N51" s="203"/>
      <c r="O51">
        <f>+(E109*1)-V51</f>
        <v>0</v>
      </c>
      <c r="P51" s="134">
        <f>+I109-O51-W51</f>
        <v>0</v>
      </c>
      <c r="Q51" s="11">
        <f>+G109-O51</f>
        <v>0</v>
      </c>
      <c r="R51">
        <f>+E109*$T$3</f>
        <v>0</v>
      </c>
      <c r="S51">
        <f t="shared" si="6"/>
        <v>0</v>
      </c>
      <c r="T51" t="str">
        <f>+IF(K109&lt;&gt;"",K109,"")</f>
        <v/>
      </c>
      <c r="U51" t="e">
        <f>+RANK(H109,$H$6:$H$1048576,1)</f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>+(E110*1)-V52</f>
        <v>0</v>
      </c>
      <c r="P52" s="134">
        <f>+I110-O52-W52</f>
        <v>0</v>
      </c>
      <c r="Q52" s="11">
        <f>+G110-O52</f>
        <v>0</v>
      </c>
      <c r="R52">
        <f>+E110*$T$3</f>
        <v>0</v>
      </c>
      <c r="S52">
        <f t="shared" si="6"/>
        <v>0</v>
      </c>
      <c r="T52" t="str">
        <f>+IF(K110&lt;&gt;"",K110,"")</f>
        <v/>
      </c>
      <c r="U52" t="e">
        <f>+RANK(H110,$H$6:$H$1048576,1)</f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>+(E111*1)-V53</f>
        <v>0</v>
      </c>
      <c r="P53" s="134">
        <f>+I111-O53-W53</f>
        <v>0</v>
      </c>
      <c r="Q53" s="11">
        <f>+G111-O53</f>
        <v>0</v>
      </c>
      <c r="R53">
        <f>+E111*$T$3</f>
        <v>0</v>
      </c>
      <c r="S53">
        <f t="shared" si="6"/>
        <v>0</v>
      </c>
      <c r="T53" t="str">
        <f>+IF(K111&lt;&gt;"",K111,"")</f>
        <v/>
      </c>
      <c r="U53" t="e">
        <f>+RANK(H111,$H$6:$H$1048576,1)</f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>+(E112*1)-V54</f>
        <v>0</v>
      </c>
      <c r="P54" s="134">
        <f>+I112-O54-W54</f>
        <v>0</v>
      </c>
      <c r="Q54" s="11">
        <f>+G112-O54</f>
        <v>0</v>
      </c>
      <c r="R54">
        <f>+E112*$T$3</f>
        <v>0</v>
      </c>
      <c r="S54">
        <f t="shared" si="6"/>
        <v>0</v>
      </c>
      <c r="T54" t="str">
        <f>+IF(K112&lt;&gt;"",K112,"")</f>
        <v/>
      </c>
      <c r="U54" t="e">
        <f>+RANK(H112,$H$6:$H$1048576,1)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>+(E113*1)-V55</f>
        <v>0</v>
      </c>
      <c r="P55" s="134">
        <f>+I113-O55-W55</f>
        <v>0</v>
      </c>
      <c r="Q55" s="11">
        <f>+G113-O55</f>
        <v>0</v>
      </c>
      <c r="R55">
        <f>+E113*$T$3</f>
        <v>0</v>
      </c>
      <c r="S55">
        <f t="shared" si="6"/>
        <v>0</v>
      </c>
      <c r="T55" t="str">
        <f>+IF(K113&lt;&gt;"",K113,"")</f>
        <v/>
      </c>
      <c r="U55" t="e">
        <f>+RANK(H113,$H$6:$H$1048576,1)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7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7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7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7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+(E77*1)-V65</f>
        <v>0</v>
      </c>
      <c r="P65" s="134">
        <f>+I77-O65-W65</f>
        <v>0</v>
      </c>
      <c r="Q65" s="11">
        <f>+G77-O65</f>
        <v>0</v>
      </c>
      <c r="R65">
        <f>+E77*$T$3</f>
        <v>0</v>
      </c>
      <c r="S65">
        <f t="shared" si="7"/>
        <v>0</v>
      </c>
      <c r="T65" t="str">
        <f>+IF(K77&lt;&gt;"",K77,"")</f>
        <v/>
      </c>
      <c r="U65" t="e">
        <f>+RANK(H77,$H$6:$H$1048576,1)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+(E78*1)-V66</f>
        <v>0</v>
      </c>
      <c r="P66" s="134">
        <f>+I78-O66-W66</f>
        <v>0</v>
      </c>
      <c r="Q66" s="11">
        <f>+G78-O66</f>
        <v>0</v>
      </c>
      <c r="R66">
        <f>+E78*$T$3</f>
        <v>0</v>
      </c>
      <c r="S66">
        <f t="shared" si="7"/>
        <v>0</v>
      </c>
      <c r="T66" t="str">
        <f>+IF(K78&lt;&gt;"",K78,"")</f>
        <v/>
      </c>
      <c r="U66" t="e">
        <f>+RANK(H78,$H$6:$H$1048576,1)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+(E79*1)-V67</f>
        <v>0</v>
      </c>
      <c r="P67" s="134">
        <f>+I79-O67-W67</f>
        <v>0</v>
      </c>
      <c r="Q67" s="11">
        <f>+G79-O67</f>
        <v>0</v>
      </c>
      <c r="R67">
        <f>+E79*$T$3</f>
        <v>0</v>
      </c>
      <c r="S67">
        <f t="shared" si="7"/>
        <v>0</v>
      </c>
      <c r="T67" t="str">
        <f>+IF(K79&lt;&gt;"",K79,"")</f>
        <v/>
      </c>
      <c r="U67" t="e">
        <f>+RANK(H79,$H$6:$H$1048576,1)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+(E80*1)-V68</f>
        <v>0</v>
      </c>
      <c r="P68" s="134">
        <f>+I80-O68-W68</f>
        <v>0</v>
      </c>
      <c r="Q68" s="11">
        <f>+G80-O68</f>
        <v>0</v>
      </c>
      <c r="R68">
        <f>+E80*$T$3</f>
        <v>0</v>
      </c>
      <c r="S68">
        <f t="shared" si="7"/>
        <v>0</v>
      </c>
      <c r="T68" t="str">
        <f>+IF(K80&lt;&gt;"",K80,"")</f>
        <v/>
      </c>
      <c r="U68" t="e">
        <f>+RANK(H80,$H$6:$H$1048576,1)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+(E81*1)-V69</f>
        <v>0</v>
      </c>
      <c r="P69" s="134">
        <f>+I81-O69-W69</f>
        <v>0</v>
      </c>
      <c r="Q69" s="11">
        <f>+G81-O69</f>
        <v>0</v>
      </c>
      <c r="R69">
        <f>+E81*$T$3</f>
        <v>0</v>
      </c>
      <c r="S69">
        <f t="shared" si="7"/>
        <v>0</v>
      </c>
      <c r="T69" t="str">
        <f>+IF(K81&lt;&gt;"",K81,"")</f>
        <v/>
      </c>
      <c r="U69" t="e">
        <f>+RANK(H81,$H$6:$H$1048576,1)</f>
        <v>#N/A</v>
      </c>
    </row>
    <row r="70" spans="2:21" x14ac:dyDescent="0.2">
      <c r="B70" s="245"/>
      <c r="C70" s="255"/>
      <c r="D70" s="247"/>
      <c r="E70" s="248"/>
      <c r="F70" s="248"/>
      <c r="G70" s="256"/>
      <c r="H70" s="250"/>
      <c r="I70" s="221"/>
      <c r="J70" s="342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55"/>
      <c r="D75" s="247"/>
      <c r="E75" s="248"/>
      <c r="F75" s="248"/>
      <c r="G75" s="199"/>
      <c r="H75" s="257"/>
      <c r="I75" s="222"/>
      <c r="J75" s="343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52"/>
      <c r="M77" s="253"/>
      <c r="N77" s="258"/>
    </row>
    <row r="78" spans="2:21" x14ac:dyDescent="0.2">
      <c r="B78" s="245"/>
      <c r="C78" s="255"/>
      <c r="D78" s="247"/>
      <c r="E78" s="248"/>
      <c r="F78" s="248"/>
      <c r="G78" s="254"/>
      <c r="H78" s="257"/>
      <c r="I78" s="222"/>
      <c r="J78" s="343"/>
      <c r="K78" s="247"/>
      <c r="L78" s="252"/>
      <c r="M78" s="253"/>
      <c r="N78" s="258"/>
    </row>
    <row r="79" spans="2:21" x14ac:dyDescent="0.2">
      <c r="B79" s="245"/>
      <c r="C79" s="246"/>
      <c r="D79" s="247"/>
      <c r="E79" s="248"/>
      <c r="F79" s="248"/>
      <c r="G79" s="254"/>
      <c r="H79" s="250"/>
      <c r="I79" s="221"/>
      <c r="J79" s="342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55"/>
      <c r="D82" s="247"/>
      <c r="E82" s="248"/>
      <c r="F82" s="248"/>
      <c r="G82" s="199"/>
      <c r="H82" s="257"/>
      <c r="I82" s="222"/>
      <c r="J82" s="343"/>
      <c r="K82" s="247"/>
      <c r="L82" s="203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6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6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03"/>
      <c r="M90" s="253"/>
      <c r="N90" s="258"/>
    </row>
    <row r="91" spans="2:14" x14ac:dyDescent="0.2">
      <c r="B91" s="245"/>
      <c r="C91" s="255"/>
      <c r="D91" s="247"/>
      <c r="E91" s="248"/>
      <c r="F91" s="248"/>
      <c r="G91" s="199"/>
      <c r="H91" s="257"/>
      <c r="I91" s="222"/>
      <c r="J91" s="343"/>
      <c r="K91" s="247"/>
      <c r="L91" s="203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03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55"/>
      <c r="D96" s="247"/>
      <c r="E96" s="248"/>
      <c r="F96" s="248"/>
      <c r="G96" s="254"/>
      <c r="H96" s="259"/>
      <c r="I96" s="260"/>
      <c r="J96" s="344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52"/>
      <c r="M98" s="253"/>
      <c r="N98" s="258"/>
    </row>
    <row r="99" spans="2:14" x14ac:dyDescent="0.2">
      <c r="B99" s="245"/>
      <c r="C99" s="246"/>
      <c r="D99" s="247"/>
      <c r="E99" s="248"/>
      <c r="F99" s="248"/>
      <c r="G99" s="256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55"/>
      <c r="D101" s="247"/>
      <c r="E101" s="248"/>
      <c r="F101" s="248"/>
      <c r="G101" s="199"/>
      <c r="H101" s="257"/>
      <c r="I101" s="222"/>
      <c r="J101" s="343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6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6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6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55"/>
      <c r="D115" s="247"/>
      <c r="E115" s="248"/>
      <c r="F115" s="248"/>
      <c r="G115" s="199"/>
      <c r="H115" s="257"/>
      <c r="I115" s="222"/>
      <c r="J115" s="343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03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6"/>
      <c r="H117" s="250"/>
      <c r="I117" s="221"/>
      <c r="J117" s="342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52"/>
      <c r="M119" s="253"/>
      <c r="N119" s="203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5"/>
      <c r="E121" s="248"/>
      <c r="F121" s="248"/>
      <c r="G121" s="261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55"/>
      <c r="D126" s="247"/>
      <c r="E126" s="248"/>
      <c r="F126" s="248"/>
      <c r="G126" s="199"/>
      <c r="H126" s="257"/>
      <c r="I126" s="222"/>
      <c r="J126" s="343"/>
      <c r="K126" s="262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55"/>
      <c r="D128" s="247"/>
      <c r="E128" s="248"/>
      <c r="F128" s="248"/>
      <c r="G128" s="199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0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0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55"/>
      <c r="D135" s="247"/>
      <c r="E135" s="248"/>
      <c r="F135" s="248"/>
      <c r="G135" s="199"/>
      <c r="H135" s="200"/>
      <c r="I135" s="221"/>
      <c r="J135" s="342"/>
      <c r="K135" s="247"/>
      <c r="L135" s="203"/>
      <c r="M135" s="253"/>
      <c r="N135" s="258"/>
    </row>
    <row r="136" spans="2:14" x14ac:dyDescent="0.2">
      <c r="B136" s="245"/>
      <c r="C136" s="246"/>
      <c r="D136" s="247"/>
      <c r="E136" s="248"/>
      <c r="F136" s="248"/>
      <c r="G136" s="254"/>
      <c r="H136" s="200"/>
      <c r="I136" s="221"/>
      <c r="J136" s="342"/>
      <c r="K136" s="247"/>
      <c r="L136" s="252"/>
      <c r="M136" s="253"/>
      <c r="N136" s="258"/>
    </row>
    <row r="137" spans="2:14" x14ac:dyDescent="0.2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03"/>
      <c r="M137" s="253"/>
      <c r="N137" s="258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55"/>
      <c r="D139" s="247"/>
      <c r="E139" s="248"/>
      <c r="F139" s="248"/>
      <c r="G139" s="199"/>
      <c r="H139" s="25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5"/>
      <c r="E141" s="248"/>
      <c r="F141" s="248"/>
      <c r="G141" s="201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46"/>
      <c r="D142" s="247"/>
      <c r="E142" s="248"/>
      <c r="F142" s="248"/>
      <c r="G142" s="254"/>
      <c r="H142" s="25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0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55"/>
      <c r="D149" s="247"/>
      <c r="E149" s="248"/>
      <c r="F149" s="248"/>
      <c r="G149" s="199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0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5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50"/>
      <c r="I155" s="251"/>
      <c r="J155" s="341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5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55"/>
      <c r="D160" s="245"/>
      <c r="E160" s="248"/>
      <c r="F160" s="248"/>
      <c r="G160" s="201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7"/>
      <c r="E161" s="248"/>
      <c r="F161" s="248"/>
      <c r="G161" s="199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50"/>
      <c r="I162" s="221"/>
      <c r="J162" s="342"/>
      <c r="K162" s="247"/>
      <c r="L162" s="252"/>
      <c r="M162" s="253"/>
      <c r="N162" s="258"/>
    </row>
    <row r="163" spans="2:14" x14ac:dyDescent="0.2">
      <c r="B163" s="245"/>
      <c r="C163" s="246"/>
      <c r="D163" s="247"/>
      <c r="E163" s="248"/>
      <c r="F163" s="248"/>
      <c r="G163" s="254"/>
      <c r="H163" s="20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55"/>
      <c r="D167" s="247"/>
      <c r="E167" s="248"/>
      <c r="F167" s="248"/>
      <c r="G167" s="199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55"/>
      <c r="D169" s="247"/>
      <c r="E169" s="248"/>
      <c r="F169" s="248"/>
      <c r="G169" s="199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55"/>
      <c r="D172" s="247"/>
      <c r="E172" s="248"/>
      <c r="F172" s="248"/>
      <c r="G172" s="199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55"/>
      <c r="D176" s="247"/>
      <c r="E176" s="248"/>
      <c r="F176" s="248"/>
      <c r="G176" s="199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55"/>
      <c r="D181" s="247"/>
      <c r="E181" s="248"/>
      <c r="F181" s="248"/>
      <c r="G181" s="199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55"/>
      <c r="D189" s="247"/>
      <c r="E189" s="248"/>
      <c r="F189" s="248"/>
      <c r="G189" s="199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55"/>
      <c r="D191" s="247"/>
      <c r="E191" s="248"/>
      <c r="F191" s="248"/>
      <c r="G191" s="199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03"/>
      <c r="M192" s="253"/>
      <c r="N192" s="258"/>
    </row>
    <row r="193" spans="2:14" x14ac:dyDescent="0.2">
      <c r="B193" s="245"/>
      <c r="C193" s="246"/>
      <c r="D193" s="247"/>
      <c r="E193" s="248"/>
      <c r="F193" s="248"/>
      <c r="G193" s="254"/>
      <c r="H193" s="250"/>
      <c r="I193" s="221"/>
      <c r="J193" s="342"/>
      <c r="K193" s="247"/>
      <c r="L193" s="252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55"/>
      <c r="D195" s="247"/>
      <c r="E195" s="248"/>
      <c r="F195" s="248"/>
      <c r="G195" s="199"/>
      <c r="H195" s="244"/>
      <c r="I195" s="222"/>
      <c r="J195" s="343"/>
      <c r="K195" s="247"/>
      <c r="L195" s="252"/>
      <c r="M195" s="253"/>
      <c r="N195" s="203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03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03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52"/>
      <c r="M203" s="253"/>
      <c r="N203" s="203"/>
    </row>
    <row r="204" spans="2:14" x14ac:dyDescent="0.2">
      <c r="B204" s="245"/>
      <c r="C204" s="255"/>
      <c r="D204" s="247"/>
      <c r="E204" s="248"/>
      <c r="F204" s="248"/>
      <c r="G204" s="199"/>
      <c r="H204" s="244"/>
      <c r="I204" s="222"/>
      <c r="J204" s="343"/>
      <c r="K204" s="247"/>
      <c r="L204" s="252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03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03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55"/>
      <c r="D210" s="247"/>
      <c r="E210" s="248"/>
      <c r="F210" s="248"/>
      <c r="G210" s="199"/>
      <c r="H210" s="244"/>
      <c r="I210" s="222"/>
      <c r="J210" s="343"/>
      <c r="K210" s="247"/>
      <c r="L210" s="203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52"/>
      <c r="M214" s="253"/>
      <c r="N214" s="203"/>
    </row>
    <row r="215" spans="2:14" x14ac:dyDescent="0.2">
      <c r="B215" s="245"/>
      <c r="C215" s="255"/>
      <c r="D215" s="247"/>
      <c r="E215" s="248"/>
      <c r="F215" s="248"/>
      <c r="G215" s="199"/>
      <c r="H215" s="244"/>
      <c r="I215" s="222"/>
      <c r="J215" s="343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03"/>
      <c r="M216" s="253"/>
      <c r="N216" s="203"/>
    </row>
    <row r="217" spans="2:14" x14ac:dyDescent="0.2">
      <c r="B217" s="245"/>
      <c r="C217" s="246"/>
      <c r="D217" s="245"/>
      <c r="E217" s="248"/>
      <c r="F217" s="248"/>
      <c r="G217" s="261"/>
      <c r="H217" s="200"/>
      <c r="I217" s="221"/>
      <c r="J217" s="342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5"/>
      <c r="E221" s="248"/>
      <c r="F221" s="248"/>
      <c r="G221" s="261"/>
      <c r="H221" s="200"/>
      <c r="I221" s="221"/>
      <c r="J221" s="342"/>
      <c r="K221" s="247"/>
      <c r="L221" s="203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5"/>
      <c r="E223" s="248"/>
      <c r="F223" s="248"/>
      <c r="G223" s="261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55"/>
      <c r="D226" s="247"/>
      <c r="E226" s="248"/>
      <c r="F226" s="248"/>
      <c r="G226" s="261"/>
      <c r="H226" s="263"/>
      <c r="I226" s="260"/>
      <c r="J226" s="344"/>
      <c r="K226" s="247"/>
      <c r="L226" s="252"/>
      <c r="M226" s="253"/>
      <c r="N226" s="203"/>
    </row>
    <row r="227" spans="2:14" x14ac:dyDescent="0.2">
      <c r="B227" s="245"/>
      <c r="C227" s="246"/>
      <c r="D227" s="245"/>
      <c r="E227" s="248"/>
      <c r="F227" s="248"/>
      <c r="G227" s="261"/>
      <c r="H227" s="200"/>
      <c r="I227" s="221"/>
      <c r="J227" s="342"/>
      <c r="K227" s="245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55"/>
      <c r="D236" s="247"/>
      <c r="E236" s="248"/>
      <c r="F236" s="248"/>
      <c r="G236" s="199"/>
      <c r="H236" s="244"/>
      <c r="I236" s="222"/>
      <c r="J236" s="343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03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55"/>
      <c r="D260" s="247"/>
      <c r="E260" s="248"/>
      <c r="F260" s="248"/>
      <c r="G260" s="261"/>
      <c r="H260" s="200"/>
      <c r="I260" s="221"/>
      <c r="J260" s="342"/>
      <c r="K260" s="245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62"/>
      <c r="L261" s="252"/>
      <c r="M261" s="253"/>
      <c r="N261" s="203"/>
    </row>
    <row r="262" spans="2:14" x14ac:dyDescent="0.2">
      <c r="B262" s="245"/>
      <c r="C262" s="255"/>
      <c r="D262" s="245"/>
      <c r="E262" s="248"/>
      <c r="F262" s="248"/>
      <c r="G262" s="201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45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7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5"/>
      <c r="E266" s="248"/>
      <c r="F266" s="248"/>
      <c r="G266" s="261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55"/>
      <c r="D267" s="247"/>
      <c r="E267" s="248"/>
      <c r="F267" s="248"/>
      <c r="G267" s="199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55"/>
      <c r="D272" s="245"/>
      <c r="E272" s="248"/>
      <c r="F272" s="248"/>
      <c r="G272" s="201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6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55"/>
      <c r="D277" s="247"/>
      <c r="E277" s="248"/>
      <c r="F277" s="248"/>
      <c r="G277" s="199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5"/>
      <c r="E278" s="248"/>
      <c r="F278" s="248"/>
      <c r="G278" s="261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7"/>
      <c r="E279" s="248"/>
      <c r="F279" s="248"/>
      <c r="G279" s="254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55"/>
      <c r="D280" s="245"/>
      <c r="E280" s="248"/>
      <c r="F280" s="248"/>
      <c r="G280" s="201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7"/>
      <c r="E281" s="248"/>
      <c r="F281" s="248"/>
      <c r="G281" s="199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7"/>
      <c r="E282" s="248"/>
      <c r="F282" s="248"/>
      <c r="G282" s="254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5"/>
      <c r="E283" s="248"/>
      <c r="F283" s="248"/>
      <c r="G283" s="261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55"/>
      <c r="D284" s="247"/>
      <c r="E284" s="248"/>
      <c r="F284" s="248"/>
      <c r="G284" s="199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7"/>
      <c r="E285" s="248"/>
      <c r="F285" s="248"/>
      <c r="G285" s="254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2"/>
      <c r="I286" s="223"/>
      <c r="J286" s="345"/>
      <c r="K286" s="264"/>
      <c r="L286" s="252"/>
      <c r="M286" s="253"/>
      <c r="N286" s="265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6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4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5"/>
      <c r="E301" s="248"/>
      <c r="F301" s="248"/>
      <c r="G301" s="261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4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6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7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6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55"/>
      <c r="D374" s="247"/>
      <c r="E374" s="248"/>
      <c r="F374" s="248"/>
      <c r="G374" s="199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55"/>
      <c r="D378" s="247"/>
      <c r="E378" s="248"/>
      <c r="F378" s="248"/>
      <c r="G378" s="199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55"/>
      <c r="D385" s="247"/>
      <c r="E385" s="248"/>
      <c r="F385" s="248"/>
      <c r="G385" s="199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55"/>
      <c r="D390" s="247"/>
      <c r="E390" s="248"/>
      <c r="F390" s="248"/>
      <c r="G390" s="199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5"/>
      <c r="E401" s="248"/>
      <c r="F401" s="248"/>
      <c r="G401" s="261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55"/>
      <c r="D407" s="247"/>
      <c r="E407" s="248"/>
      <c r="F407" s="248"/>
      <c r="G407" s="199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7"/>
      <c r="E410" s="248"/>
      <c r="F410" s="248"/>
      <c r="G410" s="254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55"/>
      <c r="D414" s="247"/>
      <c r="E414" s="248"/>
      <c r="F414" s="248"/>
      <c r="G414" s="199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55"/>
      <c r="D416" s="247"/>
      <c r="E416" s="248"/>
      <c r="F416" s="248"/>
      <c r="G416" s="199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5"/>
      <c r="E421" s="248"/>
      <c r="F421" s="248"/>
      <c r="G421" s="261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4"/>
      <c r="L427" s="252"/>
      <c r="M427" s="253"/>
      <c r="N427" s="265"/>
    </row>
    <row r="428" spans="2:14" x14ac:dyDescent="0.2">
      <c r="B428" s="245"/>
      <c r="C428" s="246"/>
      <c r="D428" s="245"/>
      <c r="E428" s="248"/>
      <c r="F428" s="248"/>
      <c r="G428" s="261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4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5"/>
      <c r="E436" s="248"/>
      <c r="F436" s="248"/>
      <c r="G436" s="261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55"/>
      <c r="D442" s="247"/>
      <c r="E442" s="248"/>
      <c r="F442" s="248"/>
      <c r="G442" s="199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55"/>
      <c r="D445" s="247"/>
      <c r="E445" s="248"/>
      <c r="F445" s="248"/>
      <c r="G445" s="199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68"/>
      <c r="F449" s="268"/>
      <c r="G449" s="269"/>
      <c r="H449" s="270"/>
      <c r="I449" s="271"/>
      <c r="J449" s="346"/>
      <c r="K449" s="266"/>
      <c r="L449" s="252"/>
      <c r="M449" s="253"/>
      <c r="N449" s="265"/>
    </row>
    <row r="450" spans="2:14" x14ac:dyDescent="0.2">
      <c r="B450" s="245"/>
      <c r="C450" s="255"/>
      <c r="D450" s="247"/>
      <c r="E450" s="248"/>
      <c r="F450" s="248"/>
      <c r="G450" s="261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55"/>
      <c r="D452" s="247"/>
      <c r="E452" s="248"/>
      <c r="F452" s="248"/>
      <c r="G452" s="199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5"/>
      <c r="E453" s="248"/>
      <c r="F453" s="248"/>
      <c r="G453" s="261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7"/>
      <c r="E454" s="248"/>
      <c r="F454" s="248"/>
      <c r="G454" s="254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4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55"/>
      <c r="D465" s="247"/>
      <c r="E465" s="248"/>
      <c r="F465" s="248"/>
      <c r="G465" s="199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5"/>
      <c r="E488" s="248"/>
      <c r="F488" s="248"/>
      <c r="G488" s="261"/>
      <c r="H488" s="202"/>
      <c r="I488" s="223"/>
      <c r="J488" s="345"/>
      <c r="K488" s="264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4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6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55"/>
      <c r="D501" s="247"/>
      <c r="E501" s="248"/>
      <c r="F501" s="248"/>
      <c r="G501" s="199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4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7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5"/>
      <c r="E521" s="248"/>
      <c r="F521" s="272"/>
      <c r="G521" s="261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55"/>
      <c r="D525" s="247"/>
      <c r="E525" s="248"/>
      <c r="F525" s="248"/>
      <c r="G525" s="199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46"/>
      <c r="D529" s="247"/>
      <c r="E529" s="248"/>
      <c r="F529" s="248"/>
      <c r="G529" s="254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5"/>
      <c r="E538" s="248"/>
      <c r="F538" s="248"/>
      <c r="G538" s="261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55"/>
      <c r="D541" s="247"/>
      <c r="E541" s="248"/>
      <c r="F541" s="248"/>
      <c r="G541" s="199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5"/>
      <c r="E544" s="248"/>
      <c r="F544" s="248"/>
      <c r="G544" s="261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55"/>
      <c r="D547" s="247"/>
      <c r="E547" s="248"/>
      <c r="F547" s="248"/>
      <c r="G547" s="199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5"/>
      <c r="E556" s="248"/>
      <c r="F556" s="248"/>
      <c r="G556" s="261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55"/>
      <c r="D564" s="245"/>
      <c r="E564" s="248"/>
      <c r="F564" s="248"/>
      <c r="G564" s="201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55"/>
      <c r="D570" s="245"/>
      <c r="E570" s="248"/>
      <c r="F570" s="248"/>
      <c r="G570" s="201"/>
      <c r="H570" s="202"/>
      <c r="I570" s="223"/>
      <c r="J570" s="345"/>
      <c r="K570" s="264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55"/>
      <c r="D572" s="247"/>
      <c r="E572" s="248"/>
      <c r="F572" s="248"/>
      <c r="G572" s="199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55"/>
      <c r="D575" s="247"/>
      <c r="E575" s="248"/>
      <c r="F575" s="248"/>
      <c r="G575" s="199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55"/>
      <c r="D583" s="247"/>
      <c r="E583" s="248"/>
      <c r="F583" s="248"/>
      <c r="G583" s="199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5"/>
      <c r="E592" s="248"/>
      <c r="F592" s="248"/>
      <c r="G592" s="261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55"/>
      <c r="D597" s="247"/>
      <c r="E597" s="248"/>
      <c r="F597" s="248"/>
      <c r="G597" s="199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55"/>
      <c r="D602" s="245"/>
      <c r="E602" s="248"/>
      <c r="F602" s="248"/>
      <c r="G602" s="201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55"/>
      <c r="D608" s="247"/>
      <c r="E608" s="248"/>
      <c r="F608" s="248"/>
      <c r="G608" s="199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4"/>
      <c r="L612" s="252"/>
      <c r="M612" s="253"/>
      <c r="N612" s="265"/>
    </row>
    <row r="613" spans="2:14" x14ac:dyDescent="0.2">
      <c r="B613" s="245"/>
      <c r="C613" s="255"/>
      <c r="D613" s="247"/>
      <c r="E613" s="248"/>
      <c r="F613" s="248"/>
      <c r="G613" s="199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5"/>
      <c r="E614" s="248"/>
      <c r="F614" s="248"/>
      <c r="G614" s="261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4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55"/>
      <c r="D621" s="245"/>
      <c r="E621" s="248"/>
      <c r="F621" s="248"/>
      <c r="G621" s="201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55"/>
      <c r="D632" s="247"/>
      <c r="E632" s="248"/>
      <c r="F632" s="248"/>
      <c r="G632" s="199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4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55"/>
      <c r="D639" s="247"/>
      <c r="E639" s="248"/>
      <c r="F639" s="248"/>
      <c r="G639" s="199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55"/>
      <c r="D655" s="247"/>
      <c r="E655" s="248"/>
      <c r="F655" s="248"/>
      <c r="G655" s="199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55"/>
      <c r="D671" s="247"/>
      <c r="E671" s="248"/>
      <c r="F671" s="248"/>
      <c r="G671" s="199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5"/>
      <c r="E675" s="248"/>
      <c r="F675" s="248"/>
      <c r="G675" s="261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55"/>
      <c r="D680" s="247"/>
      <c r="E680" s="248"/>
      <c r="F680" s="248"/>
      <c r="G680" s="199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5"/>
      <c r="E683" s="248"/>
      <c r="F683" s="248"/>
      <c r="G683" s="261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4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6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55"/>
      <c r="D699" s="245"/>
      <c r="E699" s="248"/>
      <c r="F699" s="248"/>
      <c r="G699" s="201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55"/>
      <c r="D703" s="247"/>
      <c r="E703" s="248"/>
      <c r="F703" s="248"/>
      <c r="G703" s="199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4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4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55"/>
      <c r="D724" s="247"/>
      <c r="E724" s="248"/>
      <c r="F724" s="248"/>
      <c r="G724" s="199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55"/>
      <c r="D738" s="247"/>
      <c r="E738" s="248"/>
      <c r="F738" s="248"/>
      <c r="G738" s="199"/>
      <c r="H738" s="202"/>
      <c r="I738" s="223"/>
      <c r="J738" s="345"/>
      <c r="K738" s="266"/>
      <c r="L738" s="252"/>
      <c r="M738" s="253"/>
      <c r="N738" s="273"/>
    </row>
    <row r="739" spans="2:14" x14ac:dyDescent="0.2">
      <c r="B739" s="245"/>
      <c r="C739" s="255"/>
      <c r="D739" s="245"/>
      <c r="E739" s="248"/>
      <c r="F739" s="248"/>
      <c r="G739" s="201"/>
      <c r="H739" s="202"/>
      <c r="I739" s="223"/>
      <c r="J739" s="345"/>
      <c r="K739" s="266"/>
      <c r="L739" s="252"/>
      <c r="M739" s="253"/>
      <c r="N739" s="203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55"/>
      <c r="D743" s="247"/>
      <c r="E743" s="248"/>
      <c r="F743" s="248"/>
      <c r="G743" s="199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4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55"/>
      <c r="D753" s="247"/>
      <c r="E753" s="248"/>
      <c r="F753" s="248"/>
      <c r="G753" s="199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5"/>
      <c r="E758" s="248"/>
      <c r="F758" s="248"/>
      <c r="G758" s="261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5"/>
      <c r="E763" s="248"/>
      <c r="F763" s="248"/>
      <c r="G763" s="261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55"/>
      <c r="D764" s="245"/>
      <c r="E764" s="248"/>
      <c r="F764" s="248"/>
      <c r="G764" s="20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55"/>
      <c r="D776" s="247"/>
      <c r="E776" s="248"/>
      <c r="F776" s="248"/>
      <c r="G776" s="254"/>
      <c r="H776" s="202"/>
      <c r="I776" s="223"/>
      <c r="J776" s="345"/>
      <c r="K776" s="264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55"/>
      <c r="D780" s="245"/>
      <c r="E780" s="248"/>
      <c r="F780" s="248"/>
      <c r="G780" s="261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7"/>
      <c r="E783" s="248"/>
      <c r="F783" s="248"/>
      <c r="G783" s="199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46"/>
      <c r="D785" s="247"/>
      <c r="E785" s="248"/>
      <c r="F785" s="248"/>
      <c r="G785" s="254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55"/>
      <c r="D789" s="247"/>
      <c r="E789" s="248"/>
      <c r="F789" s="248"/>
      <c r="G789" s="199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4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5"/>
      <c r="E800" s="248"/>
      <c r="F800" s="248"/>
      <c r="G800" s="261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4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5"/>
      <c r="E803" s="248"/>
      <c r="F803" s="248"/>
      <c r="G803" s="261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55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5"/>
      <c r="E806" s="248"/>
      <c r="F806" s="248"/>
      <c r="G806" s="261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55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55"/>
      <c r="D824" s="247"/>
      <c r="E824" s="248"/>
      <c r="F824" s="248"/>
      <c r="G824" s="199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5"/>
      <c r="E835" s="248"/>
      <c r="F835" s="248"/>
      <c r="G835" s="261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4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5"/>
      <c r="E844" s="248"/>
      <c r="F844" s="248"/>
      <c r="G844" s="261"/>
      <c r="H844" s="202"/>
      <c r="I844" s="223"/>
      <c r="J844" s="345"/>
      <c r="K844" s="264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7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55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55"/>
      <c r="D866" s="247"/>
      <c r="E866" s="248"/>
      <c r="F866" s="248"/>
      <c r="G866" s="199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55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55"/>
      <c r="D876" s="247"/>
      <c r="E876" s="248"/>
      <c r="F876" s="248"/>
      <c r="G876" s="199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74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5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55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199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7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199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46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199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46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199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46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46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55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46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199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46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55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199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199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199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199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199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199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199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199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199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199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5"/>
      <c r="E1012" s="248"/>
      <c r="F1012" s="248"/>
      <c r="G1012" s="261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0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4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01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01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5"/>
      <c r="E1046" s="248"/>
      <c r="F1046" s="248"/>
      <c r="G1046" s="261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5"/>
      <c r="E1059" s="248"/>
      <c r="F1059" s="248"/>
      <c r="G1059" s="261"/>
      <c r="H1059" s="202"/>
      <c r="I1059" s="223"/>
      <c r="J1059" s="345"/>
      <c r="K1059" s="264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03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199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5"/>
      <c r="E1087" s="275"/>
      <c r="F1087" s="275"/>
      <c r="G1087" s="205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199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5"/>
      <c r="E1095" s="248"/>
      <c r="F1095" s="248"/>
      <c r="G1095" s="205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199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199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199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199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03"/>
      <c r="M1116" s="253"/>
      <c r="N1116" s="203"/>
    </row>
    <row r="1117" spans="2:14" x14ac:dyDescent="0.2">
      <c r="B1117" s="245"/>
      <c r="C1117" s="255"/>
      <c r="D1117" s="245"/>
      <c r="E1117" s="248"/>
      <c r="F1117" s="248"/>
      <c r="G1117" s="205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199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254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199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5"/>
      <c r="E1126" s="248"/>
      <c r="F1126" s="248"/>
      <c r="G1126" s="206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76"/>
      <c r="D1137" s="276"/>
      <c r="E1137" s="248"/>
      <c r="F1137" s="277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5"/>
      <c r="E1139" s="248"/>
      <c r="F1139" s="248"/>
      <c r="G1139" s="201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4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74"/>
      <c r="L1145" s="252"/>
      <c r="M1145" s="253"/>
      <c r="N1145" s="203"/>
    </row>
    <row r="1146" spans="2:14" x14ac:dyDescent="0.2">
      <c r="B1146" s="245"/>
      <c r="C1146" s="255"/>
      <c r="D1146" s="245"/>
      <c r="E1146" s="248"/>
      <c r="F1146" s="248"/>
      <c r="G1146" s="261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74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199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61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4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199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5"/>
      <c r="E1161" s="275"/>
      <c r="F1161" s="275"/>
      <c r="G1161" s="205"/>
      <c r="H1161" s="202"/>
      <c r="I1161" s="223"/>
      <c r="J1161" s="345"/>
      <c r="K1161" s="274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199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254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74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199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199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254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5"/>
      <c r="E1188" s="248"/>
      <c r="F1188" s="248"/>
      <c r="G1188" s="261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199"/>
      <c r="H1189" s="202"/>
      <c r="I1189" s="223"/>
      <c r="J1189" s="345"/>
      <c r="K1189" s="274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78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199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199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5"/>
      <c r="E1200" s="275"/>
      <c r="F1200" s="275"/>
      <c r="G1200" s="205"/>
      <c r="H1200" s="202"/>
      <c r="I1200" s="223"/>
      <c r="J1200" s="345"/>
      <c r="K1200" s="279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199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5"/>
      <c r="E1208" s="248"/>
      <c r="F1208" s="248"/>
      <c r="G1208" s="205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01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5"/>
      <c r="E1214" s="248"/>
      <c r="F1214" s="248"/>
      <c r="G1214" s="206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5"/>
      <c r="E1216" s="275"/>
      <c r="F1216" s="275"/>
      <c r="G1216" s="205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199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254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199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03"/>
      <c r="M1230" s="253"/>
      <c r="N1230" s="204"/>
    </row>
    <row r="1231" spans="2:14" x14ac:dyDescent="0.2">
      <c r="B1231" s="245"/>
      <c r="C1231" s="280"/>
      <c r="D1231" s="281"/>
      <c r="E1231" s="275"/>
      <c r="F1231" s="275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199"/>
      <c r="H1233" s="202"/>
      <c r="I1233" s="223"/>
      <c r="J1233" s="345"/>
      <c r="K1233" s="279"/>
      <c r="L1233" s="203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199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7"/>
      <c r="I1236" s="221"/>
      <c r="J1236" s="342"/>
      <c r="K1236" s="279"/>
      <c r="L1236" s="252"/>
      <c r="M1236" s="253"/>
      <c r="N1236" s="208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46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76"/>
      <c r="D1241" s="276"/>
      <c r="E1241" s="277"/>
      <c r="F1241" s="277"/>
      <c r="G1241" s="209"/>
      <c r="H1241" s="207"/>
      <c r="I1241" s="221"/>
      <c r="J1241" s="342"/>
      <c r="K1241" s="282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5"/>
      <c r="E1245" s="248"/>
      <c r="F1245" s="248"/>
      <c r="G1245" s="261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46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05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46"/>
      <c r="D1251" s="247"/>
      <c r="E1251" s="248"/>
      <c r="F1251" s="248"/>
      <c r="G1251" s="261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54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10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61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46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54"/>
      <c r="H1256" s="207"/>
      <c r="I1256" s="221"/>
      <c r="J1256" s="342"/>
      <c r="K1256" s="279"/>
      <c r="L1256" s="252"/>
      <c r="M1256" s="253"/>
      <c r="N1256" s="208"/>
    </row>
    <row r="1257" spans="2:14" ht="15" x14ac:dyDescent="0.25">
      <c r="B1257" s="30"/>
      <c r="C1257" s="283"/>
      <c r="D1257" s="109"/>
      <c r="E1257" s="68"/>
      <c r="F1257" s="68"/>
      <c r="G1257" s="284"/>
      <c r="H1257" s="211"/>
      <c r="I1257" s="224"/>
      <c r="J1257" s="347"/>
      <c r="K1257" s="69"/>
      <c r="L1257" s="285"/>
      <c r="M1257" s="116"/>
      <c r="N1257" s="212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7"/>
      <c r="C1260" s="78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x14ac:dyDescent="0.2">
      <c r="B1264" s="37"/>
      <c r="C1264" s="286"/>
      <c r="D1264" s="37"/>
      <c r="E1264" s="60"/>
      <c r="F1264" s="60"/>
      <c r="G1264" s="213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78"/>
      <c r="D1265" s="109"/>
      <c r="E1265" s="68"/>
      <c r="F1265" s="68"/>
      <c r="G1265" s="21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283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66"/>
      <c r="D1268" s="287"/>
      <c r="E1268" s="68"/>
      <c r="F1268" s="68"/>
      <c r="G1268" s="21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0"/>
      <c r="C1269" s="283"/>
      <c r="D1269" s="109"/>
      <c r="E1269" s="68"/>
      <c r="F1269" s="68"/>
      <c r="G1269" s="288"/>
      <c r="H1269" s="215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4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65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30"/>
      <c r="C1274" s="78"/>
      <c r="D1274" s="109"/>
      <c r="E1274" s="68"/>
      <c r="F1274" s="68"/>
      <c r="G1274" s="21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78"/>
      <c r="D1280" s="109"/>
      <c r="E1280" s="68"/>
      <c r="F1280" s="68"/>
      <c r="G1280" s="21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30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16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78"/>
      <c r="D1287" s="109"/>
      <c r="E1287" s="68"/>
      <c r="F1287" s="68"/>
      <c r="G1287" s="21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16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8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16"/>
      <c r="M1293" s="116"/>
      <c r="N1293" s="212"/>
    </row>
    <row r="1294" spans="2:14" ht="15" x14ac:dyDescent="0.25">
      <c r="B1294" s="65"/>
      <c r="C1294" s="78"/>
      <c r="D1294" s="109"/>
      <c r="E1294" s="68"/>
      <c r="F1294" s="68"/>
      <c r="G1294" s="21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30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16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283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289"/>
      <c r="D1302" s="290"/>
      <c r="E1302" s="291"/>
      <c r="F1302" s="291"/>
      <c r="G1302" s="284"/>
      <c r="H1302" s="215"/>
      <c r="I1302" s="224"/>
      <c r="J1302" s="347"/>
      <c r="K1302" s="69"/>
      <c r="L1302" s="216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283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x14ac:dyDescent="0.2">
      <c r="B1306" s="30"/>
      <c r="C1306" s="78"/>
      <c r="D1306" s="109"/>
      <c r="E1306" s="68"/>
      <c r="F1306" s="68"/>
      <c r="G1306" s="288"/>
      <c r="H1306" s="211"/>
      <c r="I1306" s="224"/>
      <c r="J1306" s="347"/>
      <c r="K1306" s="80"/>
      <c r="L1306" s="285"/>
      <c r="M1306" s="116"/>
      <c r="N1306" s="212"/>
    </row>
    <row r="1307" spans="2:14" ht="15" x14ac:dyDescent="0.25">
      <c r="B1307" s="30"/>
      <c r="C1307" s="283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78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16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65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14"/>
      <c r="H1313" s="215"/>
      <c r="I1313" s="224"/>
      <c r="J1313" s="347"/>
      <c r="K1313" s="69"/>
      <c r="L1313" s="216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16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1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30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292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65"/>
      <c r="C1335" s="78"/>
      <c r="D1335" s="109"/>
      <c r="E1335" s="68"/>
      <c r="F1335" s="68"/>
      <c r="G1335" s="21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14"/>
      <c r="H1344" s="215"/>
      <c r="I1344" s="293"/>
      <c r="J1344" s="348"/>
      <c r="K1344" s="69"/>
      <c r="L1344" s="285"/>
      <c r="M1344" s="116"/>
      <c r="N1344" s="212"/>
    </row>
    <row r="1345" spans="2:14" ht="15" x14ac:dyDescent="0.25">
      <c r="B1345" s="292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8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8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13"/>
      <c r="H1351" s="215"/>
      <c r="I1351" s="293"/>
      <c r="J1351" s="348"/>
      <c r="K1351" s="69"/>
      <c r="L1351" s="285"/>
      <c r="M1351" s="116"/>
      <c r="N1351" s="212"/>
    </row>
    <row r="1352" spans="2:14" x14ac:dyDescent="0.2">
      <c r="B1352" s="292"/>
      <c r="C1352" s="78"/>
      <c r="D1352" s="109"/>
      <c r="E1352" s="68"/>
      <c r="F1352" s="68"/>
      <c r="G1352" s="288"/>
      <c r="H1352" s="211"/>
      <c r="I1352" s="224"/>
      <c r="J1352" s="347"/>
      <c r="K1352" s="80"/>
      <c r="L1352" s="216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88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65"/>
      <c r="C1354" s="289"/>
      <c r="D1354" s="290"/>
      <c r="E1354" s="294"/>
      <c r="F1354" s="295"/>
      <c r="G1354" s="296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78"/>
      <c r="D1355" s="109"/>
      <c r="E1355" s="68"/>
      <c r="F1355" s="77"/>
      <c r="G1355" s="284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292"/>
      <c r="C1357" s="78"/>
      <c r="D1357" s="109"/>
      <c r="E1357" s="297"/>
      <c r="F1357" s="298"/>
      <c r="G1357" s="299"/>
      <c r="H1357" s="300"/>
      <c r="I1357" s="301"/>
      <c r="J1357" s="349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14"/>
      <c r="H1360" s="215"/>
      <c r="I1360" s="293"/>
      <c r="J1360" s="348"/>
      <c r="K1360" s="69"/>
      <c r="L1360" s="216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65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289"/>
      <c r="D1363" s="290"/>
      <c r="E1363" s="291"/>
      <c r="F1363" s="284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66"/>
      <c r="D1364" s="109"/>
      <c r="E1364" s="68"/>
      <c r="F1364" s="77"/>
      <c r="G1364" s="296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8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292"/>
      <c r="C1368" s="78"/>
      <c r="D1368" s="109"/>
      <c r="E1368" s="68"/>
      <c r="F1368" s="77"/>
      <c r="G1368" s="284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66"/>
      <c r="D1372" s="109"/>
      <c r="E1372" s="68"/>
      <c r="F1372" s="77"/>
      <c r="G1372" s="296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1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1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8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91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65"/>
      <c r="C1381" s="78"/>
      <c r="D1381" s="109"/>
      <c r="E1381" s="68"/>
      <c r="F1381" s="77"/>
      <c r="G1381" s="21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66"/>
      <c r="D1383" s="109"/>
      <c r="E1383" s="68"/>
      <c r="F1383" s="77"/>
      <c r="G1383" s="296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68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78"/>
      <c r="D1385" s="109"/>
      <c r="E1385" s="68"/>
      <c r="F1385" s="77"/>
      <c r="G1385" s="214"/>
      <c r="H1385" s="215"/>
      <c r="I1385" s="293"/>
      <c r="J1385" s="348"/>
      <c r="K1385" s="69"/>
      <c r="L1385" s="285"/>
      <c r="M1385" s="116"/>
      <c r="N1385" s="212"/>
    </row>
    <row r="1386" spans="2:14" x14ac:dyDescent="0.2">
      <c r="B1386" s="65"/>
      <c r="C1386" s="78"/>
      <c r="D1386" s="109"/>
      <c r="E1386" s="68"/>
      <c r="F1386" s="77"/>
      <c r="G1386" s="302"/>
      <c r="H1386" s="211"/>
      <c r="I1386" s="224"/>
      <c r="J1386" s="347"/>
      <c r="K1386" s="80"/>
      <c r="L1386" s="285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84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66"/>
      <c r="D1388" s="109"/>
      <c r="E1388" s="68"/>
      <c r="F1388" s="77"/>
      <c r="G1388" s="296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66"/>
      <c r="D1391" s="109"/>
      <c r="E1391" s="68"/>
      <c r="F1391" s="77"/>
      <c r="G1391" s="296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303"/>
      <c r="I1392" s="225"/>
      <c r="J1392" s="350"/>
      <c r="K1392" s="69"/>
      <c r="L1392" s="285"/>
      <c r="M1392" s="116"/>
      <c r="N1392" s="212"/>
    </row>
    <row r="1393" spans="2:14" ht="15" x14ac:dyDescent="0.25">
      <c r="B1393" s="65"/>
      <c r="C1393" s="289"/>
      <c r="D1393" s="290"/>
      <c r="E1393" s="291"/>
      <c r="F1393" s="304"/>
      <c r="G1393" s="284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91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78"/>
      <c r="D1399" s="109"/>
      <c r="E1399" s="68"/>
      <c r="F1399" s="68"/>
      <c r="G1399" s="214"/>
      <c r="H1399" s="215"/>
      <c r="I1399" s="293"/>
      <c r="J1399" s="348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65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289"/>
      <c r="D1410" s="290"/>
      <c r="E1410" s="291"/>
      <c r="F1410" s="304"/>
      <c r="G1410" s="284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78"/>
      <c r="D1412" s="109"/>
      <c r="E1412" s="68"/>
      <c r="F1412" s="77"/>
      <c r="G1412" s="21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91"/>
      <c r="C1414" s="66"/>
      <c r="D1414" s="109"/>
      <c r="E1414" s="68"/>
      <c r="F1414" s="77"/>
      <c r="G1414" s="296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68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65"/>
      <c r="C1425" s="66"/>
      <c r="D1425" s="109"/>
      <c r="E1425" s="68"/>
      <c r="F1425" s="77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78"/>
      <c r="D1427" s="109"/>
      <c r="E1427" s="68"/>
      <c r="F1427" s="77"/>
      <c r="G1427" s="214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23"/>
      <c r="D1431" s="37"/>
      <c r="E1431" s="60"/>
      <c r="F1431" s="26"/>
      <c r="G1431" s="2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78"/>
      <c r="D1433" s="109"/>
      <c r="E1433" s="68"/>
      <c r="F1433" s="77"/>
      <c r="G1433" s="305"/>
      <c r="H1433" s="215"/>
      <c r="I1433" s="293"/>
      <c r="J1433" s="348"/>
      <c r="K1433" s="69"/>
      <c r="L1433" s="216"/>
      <c r="M1433" s="116"/>
      <c r="N1433" s="212"/>
    </row>
    <row r="1434" spans="2:14" ht="15" x14ac:dyDescent="0.25">
      <c r="B1434" s="91"/>
      <c r="C1434" s="78"/>
      <c r="D1434" s="109"/>
      <c r="E1434" s="68"/>
      <c r="F1434" s="77"/>
      <c r="G1434" s="302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91"/>
      <c r="C1435" s="66"/>
      <c r="D1435" s="109"/>
      <c r="E1435" s="68"/>
      <c r="F1435" s="77"/>
      <c r="G1435" s="29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78"/>
      <c r="D1437" s="109"/>
      <c r="E1437" s="68"/>
      <c r="F1437" s="77"/>
      <c r="G1437" s="214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23"/>
      <c r="D1441" s="37"/>
      <c r="E1441" s="60"/>
      <c r="F1441" s="26"/>
      <c r="G1441" s="104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65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23"/>
      <c r="D1444" s="290"/>
      <c r="E1444" s="291"/>
      <c r="F1444" s="304"/>
      <c r="G1444" s="284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91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80"/>
      <c r="L1447" s="285"/>
      <c r="M1447" s="116"/>
      <c r="N1447" s="212"/>
    </row>
    <row r="1448" spans="2:14" ht="15" x14ac:dyDescent="0.25">
      <c r="B1448" s="91"/>
      <c r="C1448" s="23"/>
      <c r="D1448" s="37"/>
      <c r="E1448" s="60"/>
      <c r="F1448" s="26"/>
      <c r="G1448" s="104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27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78"/>
      <c r="D1451" s="109"/>
      <c r="E1451" s="68"/>
      <c r="F1451" s="77"/>
      <c r="G1451" s="214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78"/>
      <c r="D1454" s="109"/>
      <c r="E1454" s="68"/>
      <c r="F1454" s="77"/>
      <c r="G1454" s="214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9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290"/>
      <c r="L1456" s="285"/>
      <c r="M1456" s="116"/>
      <c r="N1456" s="212"/>
    </row>
    <row r="1457" spans="2:14" ht="15" x14ac:dyDescent="0.25">
      <c r="B1457" s="65"/>
      <c r="C1457" s="66"/>
      <c r="D1457" s="109"/>
      <c r="E1457" s="68"/>
      <c r="F1457" s="77"/>
      <c r="G1457" s="104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296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286"/>
      <c r="D1459" s="286"/>
      <c r="E1459" s="306"/>
      <c r="F1459" s="307"/>
      <c r="G1459" s="307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78"/>
      <c r="D1460" s="109"/>
      <c r="E1460" s="68"/>
      <c r="F1460" s="77"/>
      <c r="G1460" s="214"/>
      <c r="H1460" s="215"/>
      <c r="I1460" s="293"/>
      <c r="J1460" s="348"/>
      <c r="K1460" s="69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296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78"/>
      <c r="D1469" s="109"/>
      <c r="E1469" s="68"/>
      <c r="F1469" s="77"/>
      <c r="G1469" s="308"/>
      <c r="H1469" s="215"/>
      <c r="I1469" s="293"/>
      <c r="J1469" s="348"/>
      <c r="K1469" s="69"/>
      <c r="L1469" s="216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309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104"/>
      <c r="H1472" s="121"/>
      <c r="I1472" s="107"/>
      <c r="J1472" s="351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310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296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6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91"/>
      <c r="C1478" s="78"/>
      <c r="D1478" s="109"/>
      <c r="E1478" s="68"/>
      <c r="F1478" s="77"/>
      <c r="G1478" s="311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66"/>
      <c r="D1479" s="109"/>
      <c r="E1479" s="68"/>
      <c r="F1479" s="77"/>
      <c r="G1479" s="104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68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296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65"/>
      <c r="C1485" s="78"/>
      <c r="D1485" s="109"/>
      <c r="E1485" s="68"/>
      <c r="F1485" s="77"/>
      <c r="G1485" s="311"/>
      <c r="H1485" s="312"/>
      <c r="I1485" s="313"/>
      <c r="J1485" s="352"/>
      <c r="K1485" s="69"/>
      <c r="L1485" s="285"/>
      <c r="M1485" s="116"/>
      <c r="N1485" s="212"/>
    </row>
    <row r="1486" spans="2:14" ht="15" x14ac:dyDescent="0.25">
      <c r="B1486" s="65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91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78"/>
      <c r="D1491" s="109"/>
      <c r="E1491" s="68"/>
      <c r="F1491" s="77"/>
      <c r="G1491" s="311"/>
      <c r="H1491" s="312"/>
      <c r="I1491" s="313"/>
      <c r="J1491" s="352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78"/>
      <c r="D1494" s="109"/>
      <c r="E1494" s="68"/>
      <c r="F1494" s="77"/>
      <c r="G1494" s="311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11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65"/>
      <c r="C1497" s="78"/>
      <c r="D1497" s="109"/>
      <c r="E1497" s="68"/>
      <c r="F1497" s="77"/>
      <c r="G1497" s="311"/>
      <c r="H1497" s="312"/>
      <c r="I1497" s="313"/>
      <c r="J1497" s="352"/>
      <c r="K1497" s="69"/>
      <c r="L1497" s="216"/>
      <c r="M1497" s="116"/>
      <c r="N1497" s="212"/>
    </row>
    <row r="1498" spans="2:14" ht="15.75" x14ac:dyDescent="0.25">
      <c r="B1498" s="314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5"/>
      <c r="C1499" s="66"/>
      <c r="D1499" s="109"/>
      <c r="E1499" s="68"/>
      <c r="F1499" s="77"/>
      <c r="G1499" s="104"/>
      <c r="H1499" s="121"/>
      <c r="I1499" s="107"/>
      <c r="J1499" s="351"/>
      <c r="K1499" s="69"/>
      <c r="L1499" s="126"/>
      <c r="M1499" s="116"/>
      <c r="N1499" s="217"/>
    </row>
    <row r="1500" spans="2:14" ht="15.75" x14ac:dyDescent="0.25">
      <c r="B1500" s="315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126"/>
      <c r="M1500" s="116"/>
      <c r="N1500" s="217"/>
    </row>
    <row r="1501" spans="2:14" ht="15.75" x14ac:dyDescent="0.25">
      <c r="B1501" s="314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" x14ac:dyDescent="0.25">
      <c r="B1502" s="91"/>
      <c r="C1502" s="66"/>
      <c r="D1502" s="109"/>
      <c r="E1502" s="68"/>
      <c r="F1502" s="77"/>
      <c r="G1502" s="104"/>
      <c r="H1502" s="121"/>
      <c r="I1502" s="107"/>
      <c r="J1502" s="351"/>
      <c r="K1502" s="69"/>
      <c r="L1502" s="126"/>
      <c r="M1502" s="116"/>
      <c r="N1502" s="217"/>
    </row>
    <row r="1503" spans="2:14" ht="15" x14ac:dyDescent="0.25">
      <c r="B1503" s="91"/>
      <c r="C1503" s="316"/>
      <c r="D1503" s="65"/>
      <c r="E1503" s="68"/>
      <c r="F1503" s="117"/>
      <c r="G1503" s="117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2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65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78"/>
      <c r="D1509" s="109"/>
      <c r="E1509" s="68"/>
      <c r="F1509" s="77"/>
      <c r="G1509" s="311"/>
      <c r="H1509" s="312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313"/>
      <c r="J1510" s="352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216"/>
      <c r="M1513" s="116"/>
      <c r="N1513" s="212"/>
    </row>
    <row r="1514" spans="2:14" ht="15" x14ac:dyDescent="0.25">
      <c r="B1514" s="65"/>
      <c r="C1514" s="78"/>
      <c r="D1514" s="109"/>
      <c r="E1514" s="68"/>
      <c r="F1514" s="77"/>
      <c r="G1514" s="311"/>
      <c r="H1514" s="312"/>
      <c r="I1514" s="313"/>
      <c r="J1514" s="352"/>
      <c r="K1514" s="69"/>
      <c r="L1514" s="21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107"/>
      <c r="J1516" s="351"/>
      <c r="K1516" s="69"/>
      <c r="L1516" s="285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313"/>
      <c r="J1517" s="352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91"/>
      <c r="C1523" s="66"/>
      <c r="D1523" s="109"/>
      <c r="E1523" s="68"/>
      <c r="F1523" s="77"/>
      <c r="G1523" s="104"/>
      <c r="H1523" s="121"/>
      <c r="I1523" s="107"/>
      <c r="J1523" s="351"/>
      <c r="K1523" s="69"/>
      <c r="L1523" s="126"/>
      <c r="M1523" s="116"/>
      <c r="N1523" s="217"/>
    </row>
    <row r="1524" spans="2:14" ht="15" x14ac:dyDescent="0.25">
      <c r="B1524" s="91"/>
      <c r="C1524" s="66"/>
      <c r="D1524" s="109"/>
      <c r="E1524" s="68"/>
      <c r="F1524" s="77"/>
      <c r="G1524" s="104"/>
      <c r="H1524" s="123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80"/>
      <c r="L1525" s="126"/>
      <c r="M1525" s="117"/>
      <c r="N1525" s="217"/>
    </row>
    <row r="1526" spans="2:14" ht="15" x14ac:dyDescent="0.25">
      <c r="B1526" s="37"/>
      <c r="C1526" s="66"/>
      <c r="D1526" s="109"/>
      <c r="E1526" s="68"/>
      <c r="F1526" s="77"/>
      <c r="G1526" s="104"/>
      <c r="H1526" s="123"/>
      <c r="I1526" s="107"/>
      <c r="J1526" s="351"/>
      <c r="K1526" s="80"/>
      <c r="L1526" s="126"/>
      <c r="M1526" s="116"/>
      <c r="N1526" s="217"/>
    </row>
    <row r="1527" spans="2:14" ht="15" x14ac:dyDescent="0.25">
      <c r="B1527" s="37"/>
      <c r="C1527" s="66"/>
      <c r="D1527" s="109"/>
      <c r="E1527" s="68"/>
      <c r="F1527" s="68"/>
      <c r="G1527" s="104"/>
      <c r="H1527" s="121"/>
      <c r="I1527" s="107"/>
      <c r="J1527" s="351"/>
      <c r="K1527" s="69"/>
      <c r="L1527" s="126"/>
      <c r="M1527" s="116"/>
      <c r="N1527" s="217"/>
    </row>
    <row r="1528" spans="2:14" ht="15" x14ac:dyDescent="0.25">
      <c r="B1528" s="37"/>
      <c r="C1528" s="316"/>
      <c r="D1528" s="65"/>
      <c r="E1528" s="68"/>
      <c r="F1528" s="117"/>
      <c r="G1528" s="117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77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65"/>
      <c r="C1535" s="78"/>
      <c r="D1535" s="109"/>
      <c r="E1535" s="68"/>
      <c r="F1535" s="77"/>
      <c r="G1535" s="311"/>
      <c r="H1535" s="312"/>
      <c r="I1535" s="313"/>
      <c r="J1535" s="352"/>
      <c r="K1535" s="69"/>
      <c r="L1535" s="216"/>
      <c r="M1535" s="116"/>
      <c r="N1535" s="212"/>
    </row>
    <row r="1536" spans="2:14" ht="15" x14ac:dyDescent="0.25">
      <c r="B1536" s="91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11"/>
      <c r="H1537" s="312"/>
      <c r="I1537" s="313"/>
      <c r="J1537" s="352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78"/>
      <c r="D1540" s="109"/>
      <c r="E1540" s="68"/>
      <c r="F1540" s="77"/>
      <c r="G1540" s="311"/>
      <c r="H1540" s="312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78"/>
      <c r="D1541" s="109"/>
      <c r="E1541" s="68"/>
      <c r="F1541" s="77"/>
      <c r="G1541" s="311"/>
      <c r="H1541" s="312"/>
      <c r="I1541" s="313"/>
      <c r="J1541" s="352"/>
      <c r="K1541" s="69"/>
      <c r="L1541" s="216"/>
      <c r="M1541" s="116"/>
      <c r="N1541" s="212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91"/>
      <c r="C1546" s="66"/>
      <c r="D1546" s="109"/>
      <c r="E1546" s="68"/>
      <c r="F1546" s="77"/>
      <c r="G1546" s="104"/>
      <c r="H1546" s="121"/>
      <c r="I1546" s="107"/>
      <c r="J1546" s="351"/>
      <c r="K1546" s="69"/>
      <c r="L1546" s="126"/>
      <c r="M1546" s="116"/>
      <c r="N1546" s="217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65"/>
      <c r="C1550" s="78"/>
      <c r="D1550" s="109"/>
      <c r="E1550" s="68"/>
      <c r="F1550" s="77"/>
      <c r="G1550" s="311"/>
      <c r="H1550" s="312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68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78"/>
      <c r="D1558" s="109"/>
      <c r="E1558" s="68"/>
      <c r="F1558" s="77"/>
      <c r="G1558" s="311"/>
      <c r="H1558" s="123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312"/>
      <c r="I1559" s="313"/>
      <c r="J1559" s="352"/>
      <c r="K1559" s="69"/>
      <c r="L1559" s="216"/>
      <c r="M1559" s="116"/>
      <c r="N1559" s="212"/>
    </row>
    <row r="1560" spans="2:14" x14ac:dyDescent="0.2">
      <c r="B1560" s="91"/>
      <c r="C1560" s="66"/>
      <c r="D1560" s="109"/>
      <c r="E1560" s="68"/>
      <c r="F1560" s="77"/>
      <c r="G1560" s="104"/>
      <c r="H1560" s="121"/>
      <c r="I1560" s="129"/>
      <c r="J1560" s="353"/>
      <c r="K1560" s="80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212"/>
    </row>
    <row r="1562" spans="2:14" ht="15" x14ac:dyDescent="0.25">
      <c r="B1562" s="65"/>
      <c r="C1562" s="66"/>
      <c r="D1562" s="109"/>
      <c r="E1562" s="68"/>
      <c r="F1562" s="77"/>
      <c r="G1562" s="104"/>
      <c r="H1562" s="121"/>
      <c r="I1562" s="107"/>
      <c r="J1562" s="351"/>
      <c r="K1562" s="69"/>
      <c r="L1562" s="126"/>
      <c r="M1562" s="116"/>
      <c r="N1562" s="3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317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212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78"/>
      <c r="D1568" s="109"/>
      <c r="E1568" s="68"/>
      <c r="F1568" s="77"/>
      <c r="G1568" s="311"/>
      <c r="H1568" s="312"/>
      <c r="I1568" s="313"/>
      <c r="J1568" s="352"/>
      <c r="K1568" s="69"/>
      <c r="L1568" s="21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91"/>
      <c r="C1572" s="66"/>
      <c r="D1572" s="109"/>
      <c r="E1572" s="68"/>
      <c r="F1572" s="77"/>
      <c r="G1572" s="104"/>
      <c r="H1572" s="121"/>
      <c r="I1572" s="107"/>
      <c r="J1572" s="351"/>
      <c r="K1572" s="69"/>
      <c r="L1572" s="126"/>
      <c r="M1572" s="116"/>
      <c r="N1572" s="217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79"/>
      <c r="L1573" s="126"/>
      <c r="M1573" s="115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79"/>
      <c r="L1576" s="126"/>
      <c r="M1576" s="115"/>
      <c r="N1576" s="217"/>
    </row>
    <row r="1577" spans="2:14" ht="15" x14ac:dyDescent="0.25">
      <c r="B1577" s="65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78"/>
      <c r="D1582" s="109"/>
      <c r="E1582" s="68"/>
      <c r="F1582" s="77"/>
      <c r="G1582" s="311"/>
      <c r="H1582" s="312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3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78"/>
      <c r="D1587" s="109"/>
      <c r="E1587" s="68"/>
      <c r="F1587" s="77"/>
      <c r="G1587" s="311"/>
      <c r="H1587" s="312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313"/>
      <c r="J1588" s="352"/>
      <c r="K1588" s="69"/>
      <c r="L1588" s="216"/>
      <c r="M1588" s="116"/>
      <c r="N1588" s="212"/>
    </row>
    <row r="1589" spans="2:14" ht="15" x14ac:dyDescent="0.25">
      <c r="B1589" s="91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0"/>
      <c r="M1591" s="116"/>
      <c r="N1591" s="218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68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3"/>
      <c r="I1595" s="107"/>
      <c r="J1595" s="351"/>
      <c r="K1595" s="69"/>
      <c r="L1595" s="120"/>
      <c r="M1595" s="116"/>
      <c r="N1595" s="218"/>
    </row>
    <row r="1596" spans="2:14" ht="15" x14ac:dyDescent="0.25">
      <c r="B1596" s="65"/>
      <c r="C1596" s="78"/>
      <c r="D1596" s="109"/>
      <c r="E1596" s="68"/>
      <c r="F1596" s="77"/>
      <c r="G1596" s="311"/>
      <c r="H1596" s="312"/>
      <c r="I1596" s="313"/>
      <c r="J1596" s="352"/>
      <c r="K1596" s="69"/>
      <c r="L1596" s="318"/>
      <c r="M1596" s="116"/>
      <c r="N1596" s="318"/>
    </row>
    <row r="1597" spans="2:14" ht="15" x14ac:dyDescent="0.25">
      <c r="B1597" s="91"/>
      <c r="C1597" s="66"/>
      <c r="D1597" s="109"/>
      <c r="E1597" s="68"/>
      <c r="F1597" s="77"/>
      <c r="G1597" s="104"/>
      <c r="H1597" s="121"/>
      <c r="I1597" s="107"/>
      <c r="J1597" s="351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318"/>
      <c r="M1598" s="116"/>
      <c r="N1598" s="3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118"/>
      <c r="M1599" s="116"/>
      <c r="N1599" s="318"/>
    </row>
    <row r="1600" spans="2:14" ht="15" x14ac:dyDescent="0.25">
      <c r="B1600" s="65"/>
      <c r="C1600" s="66"/>
      <c r="D1600" s="109"/>
      <c r="E1600" s="68"/>
      <c r="F1600" s="77"/>
      <c r="G1600" s="104"/>
      <c r="H1600" s="121"/>
      <c r="I1600" s="107"/>
      <c r="J1600" s="351"/>
      <c r="K1600" s="69"/>
      <c r="L1600" s="1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3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66"/>
      <c r="D1604" s="109"/>
      <c r="E1604" s="68"/>
      <c r="F1604" s="68"/>
      <c r="G1604" s="104"/>
      <c r="H1604" s="121"/>
      <c r="I1604" s="107"/>
      <c r="J1604" s="351"/>
      <c r="K1604" s="69"/>
      <c r="L1604" s="120"/>
      <c r="M1604" s="116"/>
      <c r="N1604" s="2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120"/>
      <c r="M1605" s="116"/>
      <c r="N1605" s="218"/>
    </row>
    <row r="1606" spans="2:14" ht="15" x14ac:dyDescent="0.25">
      <c r="B1606" s="65"/>
      <c r="C1606" s="66"/>
      <c r="D1606" s="109"/>
      <c r="E1606" s="68"/>
      <c r="F1606" s="77"/>
      <c r="G1606" s="104"/>
      <c r="H1606" s="123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1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3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311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91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78"/>
      <c r="D1613" s="109"/>
      <c r="E1613" s="68"/>
      <c r="F1613" s="77"/>
      <c r="G1613" s="311"/>
      <c r="H1613" s="312"/>
      <c r="I1613" s="313"/>
      <c r="J1613" s="352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1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318"/>
      <c r="M1620" s="116"/>
      <c r="N1620" s="318"/>
    </row>
    <row r="1621" spans="2:14" ht="15" x14ac:dyDescent="0.25">
      <c r="B1621" s="91"/>
      <c r="C1621" s="66"/>
      <c r="D1621" s="109"/>
      <c r="E1621" s="68"/>
      <c r="F1621" s="68"/>
      <c r="G1621" s="104"/>
      <c r="H1621" s="121"/>
      <c r="I1621" s="107"/>
      <c r="J1621" s="351"/>
      <c r="K1621" s="69"/>
      <c r="L1621" s="118"/>
      <c r="M1621" s="116"/>
      <c r="N1621" s="318"/>
    </row>
    <row r="1622" spans="2:14" ht="15" x14ac:dyDescent="0.25">
      <c r="B1622" s="65"/>
      <c r="C1622" s="78"/>
      <c r="D1622" s="109"/>
      <c r="E1622" s="68"/>
      <c r="F1622" s="77"/>
      <c r="G1622" s="311"/>
      <c r="H1622" s="312"/>
      <c r="I1622" s="313"/>
      <c r="J1622" s="352"/>
      <c r="K1622" s="69"/>
      <c r="L1622" s="3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66"/>
      <c r="D1624" s="109"/>
      <c r="E1624" s="68"/>
      <c r="F1624" s="77"/>
      <c r="G1624" s="104"/>
      <c r="H1624" s="121"/>
      <c r="I1624" s="107"/>
      <c r="J1624" s="351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3"/>
      <c r="I1625" s="107"/>
      <c r="J1625" s="351"/>
      <c r="K1625" s="69"/>
      <c r="L1625" s="1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78"/>
      <c r="D1627" s="109"/>
      <c r="E1627" s="68"/>
      <c r="F1627" s="77"/>
      <c r="G1627" s="311"/>
      <c r="H1627" s="312"/>
      <c r="I1627" s="313"/>
      <c r="J1627" s="352"/>
      <c r="K1627" s="69"/>
      <c r="L1627" s="3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9"/>
    </row>
    <row r="1629" spans="2:14" ht="15" x14ac:dyDescent="0.25">
      <c r="B1629" s="91"/>
      <c r="C1629" s="66"/>
      <c r="D1629" s="109"/>
      <c r="E1629" s="68"/>
      <c r="F1629" s="68"/>
      <c r="G1629" s="104"/>
      <c r="H1629" s="123"/>
      <c r="I1629" s="107"/>
      <c r="J1629" s="351"/>
      <c r="K1629" s="69"/>
      <c r="L1629" s="120"/>
      <c r="M1629" s="116"/>
      <c r="N1629" s="319"/>
    </row>
    <row r="1630" spans="2:14" ht="15" x14ac:dyDescent="0.25">
      <c r="B1630" s="91"/>
      <c r="C1630" s="66"/>
      <c r="D1630" s="109"/>
      <c r="E1630" s="68"/>
      <c r="F1630" s="77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78"/>
      <c r="D1631" s="109"/>
      <c r="E1631" s="68"/>
      <c r="F1631" s="77"/>
      <c r="G1631" s="311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65"/>
      <c r="C1632" s="78"/>
      <c r="D1632" s="109"/>
      <c r="E1632" s="68"/>
      <c r="F1632" s="77"/>
      <c r="G1632" s="311"/>
      <c r="H1632" s="312"/>
      <c r="I1632" s="313"/>
      <c r="J1632" s="352"/>
      <c r="K1632" s="69"/>
      <c r="L1632" s="318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91"/>
      <c r="C1635" s="66"/>
      <c r="D1635" s="109"/>
      <c r="E1635" s="68"/>
      <c r="F1635" s="77"/>
      <c r="G1635" s="104"/>
      <c r="H1635" s="123"/>
      <c r="I1635" s="107"/>
      <c r="J1635" s="351"/>
      <c r="K1635" s="69"/>
      <c r="L1635" s="120"/>
      <c r="M1635" s="116"/>
      <c r="N1635" s="219"/>
    </row>
    <row r="1636" spans="2:14" ht="15" x14ac:dyDescent="0.25">
      <c r="B1636" s="91"/>
      <c r="C1636" s="66"/>
      <c r="D1636" s="109"/>
      <c r="E1636" s="68"/>
      <c r="F1636" s="77"/>
      <c r="G1636" s="311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1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37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311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78"/>
      <c r="D1647" s="109"/>
      <c r="E1647" s="68"/>
      <c r="F1647" s="77"/>
      <c r="G1647" s="311"/>
      <c r="H1647" s="312"/>
      <c r="I1647" s="313"/>
      <c r="J1647" s="352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68"/>
      <c r="G1649" s="311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318"/>
      <c r="M1651" s="116"/>
      <c r="N1651" s="319"/>
    </row>
    <row r="1652" spans="2:14" ht="15" x14ac:dyDescent="0.25">
      <c r="B1652" s="37"/>
      <c r="C1652" s="78"/>
      <c r="D1652" s="109"/>
      <c r="E1652" s="68"/>
      <c r="F1652" s="77"/>
      <c r="G1652" s="311"/>
      <c r="H1652" s="123"/>
      <c r="I1652" s="107"/>
      <c r="J1652" s="351"/>
      <c r="K1652" s="69"/>
      <c r="L1652" s="1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312"/>
      <c r="I1653" s="313"/>
      <c r="J1653" s="352"/>
      <c r="K1653" s="69"/>
      <c r="L1653" s="318"/>
      <c r="M1653" s="116"/>
      <c r="N1653" s="319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1"/>
      <c r="K1654" s="69"/>
      <c r="L1654" s="118"/>
      <c r="M1654" s="116"/>
      <c r="N1654" s="319"/>
    </row>
    <row r="1655" spans="2:14" ht="15" x14ac:dyDescent="0.25">
      <c r="B1655" s="65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91"/>
      <c r="C1658" s="66"/>
      <c r="D1658" s="109"/>
      <c r="E1658" s="68"/>
      <c r="F1658" s="77"/>
      <c r="G1658" s="104"/>
      <c r="H1658" s="123"/>
      <c r="I1658" s="107"/>
      <c r="J1658" s="351"/>
      <c r="K1658" s="69"/>
      <c r="L1658" s="120"/>
      <c r="M1658" s="116"/>
      <c r="N1658" s="2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1"/>
      <c r="I1660" s="107"/>
      <c r="J1660" s="351"/>
      <c r="K1660" s="69"/>
      <c r="L1660" s="120"/>
      <c r="M1660" s="116"/>
      <c r="N1660" s="219"/>
    </row>
    <row r="1661" spans="2:14" ht="15" x14ac:dyDescent="0.25">
      <c r="B1661" s="37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68"/>
      <c r="G1662" s="104"/>
      <c r="H1662" s="121"/>
      <c r="I1662" s="107"/>
      <c r="J1662" s="351"/>
      <c r="K1662" s="69"/>
      <c r="L1662" s="318"/>
      <c r="M1662" s="116"/>
      <c r="N1662" s="319"/>
    </row>
    <row r="1663" spans="2:14" ht="15" x14ac:dyDescent="0.25">
      <c r="B1663" s="65"/>
      <c r="C1663" s="78"/>
      <c r="D1663" s="109"/>
      <c r="E1663" s="68"/>
      <c r="F1663" s="77"/>
      <c r="G1663" s="311"/>
      <c r="H1663" s="312"/>
      <c r="I1663" s="313"/>
      <c r="J1663" s="352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37"/>
      <c r="C1669" s="66"/>
      <c r="D1669" s="109"/>
      <c r="E1669" s="68"/>
      <c r="F1669" s="77"/>
      <c r="G1669" s="104"/>
      <c r="H1669" s="121"/>
      <c r="I1669" s="107"/>
      <c r="J1669" s="351"/>
      <c r="K1669" s="79"/>
      <c r="L1669" s="120"/>
      <c r="M1669" s="115"/>
      <c r="N1669" s="2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69"/>
      <c r="L1670" s="118"/>
      <c r="M1670" s="116"/>
      <c r="N1670" s="320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114"/>
      <c r="L1672" s="118"/>
      <c r="M1672" s="117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91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19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318"/>
      <c r="M1680" s="116"/>
      <c r="N1680" s="319"/>
    </row>
    <row r="1681" spans="2:14" ht="15" x14ac:dyDescent="0.25">
      <c r="B1681" s="91"/>
      <c r="C1681" s="78"/>
      <c r="D1681" s="109"/>
      <c r="E1681" s="68"/>
      <c r="F1681" s="77"/>
      <c r="G1681" s="311"/>
      <c r="H1681" s="312"/>
      <c r="I1681" s="313"/>
      <c r="J1681" s="352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66"/>
      <c r="D1683" s="109"/>
      <c r="E1683" s="68"/>
      <c r="F1683" s="68"/>
      <c r="G1683" s="104"/>
      <c r="H1683" s="121"/>
      <c r="I1683" s="107"/>
      <c r="J1683" s="351"/>
      <c r="K1683" s="69"/>
      <c r="L1683" s="118"/>
      <c r="M1683" s="116"/>
      <c r="N1683" s="320"/>
    </row>
    <row r="1684" spans="2:14" ht="15" x14ac:dyDescent="0.25">
      <c r="B1684" s="91"/>
      <c r="C1684" s="66"/>
      <c r="D1684" s="109"/>
      <c r="E1684" s="68"/>
      <c r="F1684" s="77"/>
      <c r="G1684" s="104"/>
      <c r="H1684" s="121"/>
      <c r="I1684" s="107"/>
      <c r="J1684" s="351"/>
      <c r="K1684" s="69"/>
      <c r="L1684" s="118"/>
      <c r="M1684" s="116"/>
      <c r="N1684" s="319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65"/>
      <c r="C1686" s="78"/>
      <c r="D1686" s="109"/>
      <c r="E1686" s="68"/>
      <c r="F1686" s="77"/>
      <c r="G1686" s="311"/>
      <c r="H1686" s="312"/>
      <c r="I1686" s="313"/>
      <c r="J1686" s="352"/>
      <c r="K1686" s="69"/>
      <c r="L1686" s="3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216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82"/>
      <c r="N1689" s="319"/>
    </row>
    <row r="1690" spans="2:14" ht="15" x14ac:dyDescent="0.25">
      <c r="B1690" s="91"/>
      <c r="C1690" s="66"/>
      <c r="D1690" s="100"/>
      <c r="E1690" s="101"/>
      <c r="F1690" s="77"/>
      <c r="G1690" s="104"/>
      <c r="H1690" s="106"/>
      <c r="I1690" s="107"/>
      <c r="J1690" s="351"/>
      <c r="K1690" s="69"/>
      <c r="L1690" s="84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78"/>
      <c r="D1695" s="100"/>
      <c r="E1695" s="101"/>
      <c r="F1695" s="77"/>
      <c r="G1695" s="311"/>
      <c r="H1695" s="321"/>
      <c r="I1695" s="107"/>
      <c r="J1695" s="351"/>
      <c r="K1695" s="69"/>
      <c r="L1695" s="84"/>
      <c r="M1695" s="82"/>
      <c r="N1695" s="319"/>
    </row>
    <row r="1696" spans="2:14" ht="15" x14ac:dyDescent="0.25">
      <c r="B1696" s="65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78"/>
      <c r="D1699" s="100"/>
      <c r="E1699" s="101"/>
      <c r="F1699" s="77"/>
      <c r="G1699" s="311"/>
      <c r="H1699" s="321"/>
      <c r="I1699" s="313"/>
      <c r="J1699" s="352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78"/>
      <c r="D1702" s="100"/>
      <c r="E1702" s="101"/>
      <c r="F1702" s="77"/>
      <c r="G1702" s="311"/>
      <c r="H1702" s="321"/>
      <c r="I1702" s="313"/>
      <c r="J1702" s="352"/>
      <c r="K1702" s="69"/>
      <c r="L1702" s="84"/>
      <c r="M1702" s="82"/>
      <c r="N1702" s="319"/>
    </row>
    <row r="1703" spans="2:14" ht="15" x14ac:dyDescent="0.25">
      <c r="B1703" s="65"/>
      <c r="C1703" s="66"/>
      <c r="D1703" s="109"/>
      <c r="E1703" s="101"/>
      <c r="F1703" s="77"/>
      <c r="G1703" s="104"/>
      <c r="H1703" s="106"/>
      <c r="I1703" s="107"/>
      <c r="J1703" s="351"/>
      <c r="K1703" s="69"/>
      <c r="L1703" s="322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19"/>
    </row>
    <row r="1706" spans="2:14" ht="15" x14ac:dyDescent="0.25">
      <c r="B1706" s="65"/>
      <c r="C1706" s="78"/>
      <c r="D1706" s="100"/>
      <c r="E1706" s="101"/>
      <c r="F1706" s="77"/>
      <c r="G1706" s="311"/>
      <c r="H1706" s="321"/>
      <c r="I1706" s="313"/>
      <c r="J1706" s="352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23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107"/>
      <c r="J1710" s="351"/>
      <c r="K1710" s="69"/>
      <c r="L1710" s="84"/>
      <c r="M1710" s="82"/>
      <c r="N1710" s="323"/>
    </row>
    <row r="1711" spans="2:14" ht="15" x14ac:dyDescent="0.25">
      <c r="B1711" s="91"/>
      <c r="C1711" s="66"/>
      <c r="D1711" s="100"/>
      <c r="E1711" s="101"/>
      <c r="F1711" s="77"/>
      <c r="G1711" s="104"/>
      <c r="H1711" s="106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68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78"/>
      <c r="D1717" s="100"/>
      <c r="E1717" s="101"/>
      <c r="F1717" s="77"/>
      <c r="G1717" s="311"/>
      <c r="H1717" s="321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70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78"/>
      <c r="D1721" s="100"/>
      <c r="E1721" s="101"/>
      <c r="F1721" s="68"/>
      <c r="G1721" s="311"/>
      <c r="H1721" s="321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322"/>
      <c r="M1722" s="82"/>
      <c r="N1722" s="323"/>
    </row>
    <row r="1723" spans="2:14" ht="15" x14ac:dyDescent="0.25">
      <c r="B1723" s="65"/>
      <c r="C1723" s="78"/>
      <c r="D1723" s="100"/>
      <c r="E1723" s="101"/>
      <c r="F1723" s="77"/>
      <c r="G1723" s="311"/>
      <c r="H1723" s="321"/>
      <c r="I1723" s="313"/>
      <c r="J1723" s="352"/>
      <c r="K1723" s="69"/>
      <c r="L1723" s="322"/>
      <c r="M1723" s="82"/>
      <c r="N1723" s="323"/>
    </row>
    <row r="1724" spans="2:14" ht="15" x14ac:dyDescent="0.25">
      <c r="B1724" s="65"/>
      <c r="C1724" s="66"/>
      <c r="D1724" s="100"/>
      <c r="E1724" s="101"/>
      <c r="F1724" s="68"/>
      <c r="G1724" s="104"/>
      <c r="H1724" s="106"/>
      <c r="I1724" s="107"/>
      <c r="J1724" s="351"/>
      <c r="K1724" s="69"/>
      <c r="L1724" s="84"/>
      <c r="M1724" s="82"/>
      <c r="N1724" s="323"/>
    </row>
    <row r="1725" spans="2:14" ht="15" x14ac:dyDescent="0.25">
      <c r="B1725" s="65"/>
      <c r="C1725" s="66"/>
      <c r="D1725" s="100"/>
      <c r="E1725" s="101"/>
      <c r="F1725" s="77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322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x14ac:dyDescent="0.2">
      <c r="B1728" s="65"/>
      <c r="C1728" s="78"/>
      <c r="D1728" s="100"/>
      <c r="E1728" s="101"/>
      <c r="F1728" s="77"/>
      <c r="G1728" s="311"/>
      <c r="H1728" s="321"/>
      <c r="I1728" s="324"/>
      <c r="J1728" s="354"/>
      <c r="K1728" s="69"/>
      <c r="L1728" s="84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ht="15" x14ac:dyDescent="0.25">
      <c r="B1730" s="65"/>
      <c r="C1730" s="78"/>
      <c r="D1730" s="100"/>
      <c r="E1730" s="101"/>
      <c r="F1730" s="77"/>
      <c r="G1730" s="311"/>
      <c r="H1730" s="321"/>
      <c r="I1730" s="313"/>
      <c r="J1730" s="352"/>
      <c r="K1730" s="69"/>
      <c r="L1730" s="322"/>
      <c r="M1730" s="82"/>
      <c r="N1730" s="323"/>
    </row>
    <row r="1731" spans="2:14" ht="15" x14ac:dyDescent="0.25">
      <c r="B1731" s="65"/>
      <c r="C1731" s="78"/>
      <c r="D1731" s="100"/>
      <c r="E1731" s="102"/>
      <c r="F1731" s="77"/>
      <c r="G1731" s="325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97"/>
      <c r="E1732" s="67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26"/>
      <c r="J1734" s="355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x14ac:dyDescent="0.2">
      <c r="B1736" s="65"/>
      <c r="C1736" s="66"/>
      <c r="D1736" s="90"/>
      <c r="E1736" s="67"/>
      <c r="F1736" s="77"/>
      <c r="G1736" s="77"/>
      <c r="H1736" s="106"/>
      <c r="I1736" s="94"/>
      <c r="J1736" s="356"/>
      <c r="K1736" s="80"/>
      <c r="L1736" s="84"/>
      <c r="M1736" s="82"/>
      <c r="N1736" s="327"/>
    </row>
    <row r="1737" spans="2:14" ht="15" x14ac:dyDescent="0.25">
      <c r="B1737" s="65"/>
      <c r="C1737" s="78"/>
      <c r="D1737" s="90"/>
      <c r="E1737" s="67"/>
      <c r="F1737" s="77"/>
      <c r="G1737" s="328"/>
      <c r="H1737" s="321"/>
      <c r="I1737" s="326"/>
      <c r="J1737" s="355"/>
      <c r="K1737" s="69"/>
      <c r="L1737" s="322"/>
      <c r="M1737" s="82"/>
      <c r="N1737" s="327"/>
    </row>
    <row r="1738" spans="2:14" ht="15" x14ac:dyDescent="0.25">
      <c r="B1738" s="65"/>
      <c r="C1738" s="66"/>
      <c r="D1738" s="90"/>
      <c r="E1738" s="67"/>
      <c r="F1738" s="77"/>
      <c r="G1738" s="77"/>
      <c r="H1738" s="106"/>
      <c r="I1738" s="95"/>
      <c r="J1738" s="357"/>
      <c r="K1738" s="80"/>
      <c r="L1738" s="84"/>
      <c r="M1738" s="82"/>
      <c r="N1738" s="327"/>
    </row>
    <row r="1739" spans="2:14" ht="15" x14ac:dyDescent="0.25">
      <c r="B1739" s="91"/>
      <c r="C1739" s="66"/>
      <c r="D1739" s="90"/>
      <c r="E1739" s="67"/>
      <c r="F1739" s="77"/>
      <c r="G1739" s="77"/>
      <c r="H1739" s="106"/>
      <c r="I1739" s="95"/>
      <c r="J1739" s="357"/>
      <c r="K1739" s="69"/>
      <c r="L1739" s="84"/>
      <c r="M1739" s="82"/>
      <c r="N1739" s="327"/>
    </row>
    <row r="1740" spans="2:14" x14ac:dyDescent="0.2">
      <c r="B1740" s="91"/>
      <c r="C1740" s="66"/>
      <c r="D1740" s="90"/>
      <c r="E1740" s="67"/>
      <c r="F1740" s="77"/>
      <c r="G1740" s="77"/>
      <c r="H1740" s="106"/>
      <c r="I1740" s="94"/>
      <c r="J1740" s="356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ht="15" x14ac:dyDescent="0.25">
      <c r="B1742" s="91"/>
      <c r="C1742" s="66"/>
      <c r="D1742" s="90"/>
      <c r="E1742" s="67"/>
      <c r="F1742" s="77"/>
      <c r="G1742" s="77"/>
      <c r="H1742" s="106"/>
      <c r="I1742" s="95"/>
      <c r="J1742" s="357"/>
      <c r="K1742" s="80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69"/>
      <c r="L1743" s="84"/>
      <c r="M1743" s="82"/>
      <c r="N1743" s="327"/>
    </row>
    <row r="1744" spans="2:14" ht="15" x14ac:dyDescent="0.25">
      <c r="B1744" s="91"/>
      <c r="C1744" s="78"/>
      <c r="D1744" s="90"/>
      <c r="E1744" s="67"/>
      <c r="F1744" s="77"/>
      <c r="G1744" s="328"/>
      <c r="H1744" s="321"/>
      <c r="I1744" s="326"/>
      <c r="J1744" s="355"/>
      <c r="K1744" s="69"/>
      <c r="L1744" s="84"/>
      <c r="M1744" s="82"/>
      <c r="N1744" s="327"/>
    </row>
    <row r="1745" spans="2:14" x14ac:dyDescent="0.2">
      <c r="B1745" s="91"/>
      <c r="C1745" s="66"/>
      <c r="D1745" s="90"/>
      <c r="E1745" s="67"/>
      <c r="F1745" s="77"/>
      <c r="G1745" s="77"/>
      <c r="H1745" s="106"/>
      <c r="I1745" s="94"/>
      <c r="J1745" s="356"/>
      <c r="K1745" s="69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80"/>
      <c r="L1747" s="84"/>
      <c r="M1747" s="82"/>
      <c r="N1747" s="327"/>
    </row>
    <row r="1748" spans="2:14" x14ac:dyDescent="0.2">
      <c r="B1748" s="91"/>
      <c r="C1748" s="66"/>
      <c r="D1748" s="90"/>
      <c r="E1748" s="67"/>
      <c r="F1748" s="77"/>
      <c r="G1748" s="77"/>
      <c r="H1748" s="106"/>
      <c r="I1748" s="94"/>
      <c r="J1748" s="356"/>
      <c r="K1748" s="69"/>
      <c r="L1748" s="84"/>
      <c r="M1748" s="82"/>
      <c r="N1748" s="323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69"/>
      <c r="L1749" s="322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84"/>
      <c r="M1750" s="82"/>
      <c r="N1750" s="323"/>
    </row>
    <row r="1751" spans="2:14" ht="15" x14ac:dyDescent="0.25">
      <c r="B1751" s="65"/>
      <c r="C1751" s="78"/>
      <c r="D1751" s="90"/>
      <c r="E1751" s="67"/>
      <c r="F1751" s="77"/>
      <c r="G1751" s="328"/>
      <c r="H1751" s="321"/>
      <c r="I1751" s="326"/>
      <c r="J1751" s="355"/>
      <c r="K1751" s="69"/>
      <c r="L1751" s="322"/>
      <c r="M1751" s="82"/>
      <c r="N1751" s="323"/>
    </row>
    <row r="1752" spans="2:14" ht="15" x14ac:dyDescent="0.25">
      <c r="B1752" s="37"/>
      <c r="C1752" s="52"/>
      <c r="D1752" s="24"/>
      <c r="E1752" s="25"/>
      <c r="F1752" s="26"/>
      <c r="G1752" s="26"/>
      <c r="H1752" s="329"/>
      <c r="I1752" s="41"/>
      <c r="J1752" s="358"/>
      <c r="K1752" s="27"/>
      <c r="L1752" s="330"/>
      <c r="M1752" s="34"/>
      <c r="N1752" s="331"/>
    </row>
    <row r="1753" spans="2:14" ht="15" x14ac:dyDescent="0.25">
      <c r="B1753" s="37"/>
      <c r="C1753" s="53"/>
      <c r="D1753" s="24"/>
      <c r="E1753" s="25"/>
      <c r="F1753" s="26"/>
      <c r="G1753" s="325"/>
      <c r="H1753" s="332"/>
      <c r="I1753" s="333"/>
      <c r="J1753" s="359"/>
      <c r="K1753" s="27"/>
      <c r="L1753" s="33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0"/>
      <c r="C1757" s="52"/>
      <c r="D1757" s="24"/>
      <c r="E1757" s="25"/>
      <c r="F1757" s="26"/>
      <c r="G1757" s="26"/>
      <c r="H1757" s="329"/>
      <c r="I1757" s="41"/>
      <c r="J1757" s="358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5"/>
    </row>
    <row r="1761" spans="2:14" ht="15" x14ac:dyDescent="0.25">
      <c r="B1761" s="30"/>
      <c r="C1761" s="2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52"/>
      <c r="D1762" s="24"/>
      <c r="E1762" s="25"/>
      <c r="F1762" s="26"/>
      <c r="G1762" s="26"/>
      <c r="H1762" s="329"/>
      <c r="I1762" s="41"/>
      <c r="J1762" s="358"/>
      <c r="K1762" s="27"/>
      <c r="L1762" s="33"/>
      <c r="M1762" s="34"/>
      <c r="N1762" s="35"/>
    </row>
    <row r="1763" spans="2:14" ht="15" x14ac:dyDescent="0.25">
      <c r="B1763" s="37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60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0"/>
      <c r="M1771" s="34"/>
      <c r="N1771" s="35"/>
    </row>
    <row r="1772" spans="2:14" x14ac:dyDescent="0.2">
      <c r="B1772" s="37"/>
      <c r="C1772" s="23"/>
      <c r="D1772" s="24"/>
      <c r="E1772" s="25"/>
      <c r="F1772" s="60"/>
      <c r="G1772" s="26"/>
      <c r="H1772" s="329"/>
      <c r="I1772" s="42"/>
      <c r="J1772" s="360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60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3"/>
      <c r="D1775" s="24"/>
      <c r="E1775" s="25"/>
      <c r="F1775" s="26"/>
      <c r="G1775" s="325"/>
      <c r="H1775" s="332"/>
      <c r="I1775" s="333"/>
      <c r="J1775" s="359"/>
      <c r="K1775" s="27"/>
      <c r="L1775" s="330"/>
      <c r="M1775" s="34"/>
      <c r="N1775" s="35"/>
    </row>
    <row r="1776" spans="2:14" ht="15" x14ac:dyDescent="0.25">
      <c r="B1776" s="30"/>
      <c r="C1776" s="52"/>
      <c r="D1776" s="24"/>
      <c r="E1776" s="25"/>
      <c r="F1776" s="26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0"/>
      <c r="C1780" s="52"/>
      <c r="D1780" s="24"/>
      <c r="E1780" s="25"/>
      <c r="F1780" s="26"/>
      <c r="G1780" s="26"/>
      <c r="H1780" s="329"/>
      <c r="I1780" s="41"/>
      <c r="J1780" s="358"/>
      <c r="K1780" s="27"/>
      <c r="L1780" s="33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325"/>
      <c r="H1783" s="332"/>
      <c r="I1783" s="333"/>
      <c r="J1783" s="359"/>
      <c r="K1783" s="27"/>
      <c r="L1783" s="330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0"/>
      <c r="C1786" s="52"/>
      <c r="D1786" s="24"/>
      <c r="E1786" s="25"/>
      <c r="F1786" s="26"/>
      <c r="G1786" s="26"/>
      <c r="H1786" s="329"/>
      <c r="I1786" s="41"/>
      <c r="J1786" s="358"/>
      <c r="K1786" s="27"/>
      <c r="L1786" s="33"/>
      <c r="M1786" s="34"/>
      <c r="N1786" s="35"/>
    </row>
    <row r="1787" spans="2:14" ht="15" x14ac:dyDescent="0.25">
      <c r="B1787" s="30"/>
      <c r="C1787" s="23"/>
      <c r="D1787" s="24"/>
      <c r="E1787" s="25"/>
      <c r="F1787" s="26"/>
      <c r="G1787" s="26"/>
      <c r="H1787" s="329"/>
      <c r="I1787" s="41"/>
      <c r="J1787" s="358"/>
      <c r="K1787" s="36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325"/>
      <c r="H1788" s="332"/>
      <c r="I1788" s="333"/>
      <c r="J1788" s="359"/>
      <c r="K1788" s="27"/>
      <c r="L1788" s="33"/>
      <c r="M1788" s="34"/>
      <c r="N1788" s="35"/>
    </row>
    <row r="1789" spans="2:14" ht="15" x14ac:dyDescent="0.25">
      <c r="B1789" s="30"/>
      <c r="C1789" s="52"/>
      <c r="D1789" s="24"/>
      <c r="E1789" s="25"/>
      <c r="F1789" s="26"/>
      <c r="G1789" s="26"/>
      <c r="H1789" s="329"/>
      <c r="I1789" s="41"/>
      <c r="J1789" s="358"/>
      <c r="K1789" s="27"/>
      <c r="L1789" s="33"/>
      <c r="M1789" s="34"/>
      <c r="N1789" s="35"/>
    </row>
    <row r="1790" spans="2:14" x14ac:dyDescent="0.2">
      <c r="B1790" s="37"/>
      <c r="C1790" s="52"/>
      <c r="D1790" s="24"/>
      <c r="E1790" s="25"/>
      <c r="F1790" s="26"/>
      <c r="G1790" s="26"/>
      <c r="H1790" s="329"/>
      <c r="I1790" s="42"/>
      <c r="J1790" s="360"/>
      <c r="K1790" s="27"/>
      <c r="L1790" s="33"/>
      <c r="M1790" s="34"/>
      <c r="N1790" s="35"/>
    </row>
    <row r="1791" spans="2:14" ht="15" x14ac:dyDescent="0.25">
      <c r="B1791" s="37"/>
      <c r="C1791" s="52"/>
      <c r="D1791" s="24"/>
      <c r="E1791" s="25"/>
      <c r="F1791" s="60"/>
      <c r="G1791" s="26"/>
      <c r="H1791" s="329"/>
      <c r="I1791" s="41"/>
      <c r="J1791" s="358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26"/>
      <c r="G1792" s="26"/>
      <c r="H1792" s="329"/>
      <c r="I1792" s="41"/>
      <c r="J1792" s="358"/>
      <c r="K1792" s="27"/>
      <c r="L1792" s="33"/>
      <c r="M1792" s="34"/>
      <c r="N1792" s="35"/>
    </row>
    <row r="1793" spans="2:14" x14ac:dyDescent="0.2">
      <c r="B1793" s="37"/>
      <c r="C1793" s="52"/>
      <c r="D1793" s="24"/>
      <c r="E1793" s="25"/>
      <c r="F1793" s="26"/>
      <c r="G1793" s="26"/>
      <c r="H1793" s="329"/>
      <c r="I1793" s="42"/>
      <c r="J1793" s="360"/>
      <c r="K1793" s="27"/>
      <c r="L1793" s="33"/>
      <c r="M1793" s="34"/>
      <c r="N1793" s="35"/>
    </row>
    <row r="1794" spans="2:14" ht="15" x14ac:dyDescent="0.25">
      <c r="B1794" s="37"/>
      <c r="C1794" s="53"/>
      <c r="D1794" s="24"/>
      <c r="E1794" s="25"/>
      <c r="F1794" s="26"/>
      <c r="G1794" s="325"/>
      <c r="H1794" s="332"/>
      <c r="I1794" s="333"/>
      <c r="J1794" s="359"/>
      <c r="K1794" s="27"/>
      <c r="L1794" s="330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9"/>
      <c r="I1795" s="42"/>
      <c r="J1795" s="360"/>
      <c r="K1795" s="27"/>
      <c r="L1795" s="33"/>
      <c r="M1795" s="34"/>
      <c r="N1795" s="35"/>
    </row>
    <row r="1796" spans="2:14" x14ac:dyDescent="0.2">
      <c r="B1796" s="37"/>
      <c r="C1796" s="23"/>
      <c r="D1796" s="24"/>
      <c r="E1796" s="25"/>
      <c r="F1796" s="26"/>
      <c r="G1796" s="325"/>
      <c r="H1796" s="332"/>
      <c r="I1796" s="334"/>
      <c r="J1796" s="361"/>
      <c r="K1796" s="27"/>
      <c r="L1796" s="33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36"/>
      <c r="L1797" s="33"/>
      <c r="M1797" s="34"/>
      <c r="N1797" s="35"/>
    </row>
    <row r="1798" spans="2:14" x14ac:dyDescent="0.2">
      <c r="B1798" s="37"/>
      <c r="C1798" s="53"/>
      <c r="D1798" s="24"/>
      <c r="E1798" s="25"/>
      <c r="F1798" s="26"/>
      <c r="G1798" s="26"/>
      <c r="H1798" s="329"/>
      <c r="I1798" s="334"/>
      <c r="J1798" s="361"/>
      <c r="K1798" s="36"/>
      <c r="L1798" s="330"/>
      <c r="M1798" s="34"/>
      <c r="N1798" s="35"/>
    </row>
    <row r="1799" spans="2:14" ht="15" x14ac:dyDescent="0.25">
      <c r="B1799" s="37"/>
      <c r="C1799" s="52"/>
      <c r="D1799" s="24"/>
      <c r="E1799" s="25"/>
      <c r="F1799" s="26"/>
      <c r="G1799" s="26"/>
      <c r="H1799" s="329"/>
      <c r="I1799" s="41"/>
      <c r="J1799" s="358"/>
      <c r="K1799" s="27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"/>
      <c r="M1800" s="34"/>
      <c r="N1800" s="35"/>
    </row>
    <row r="1801" spans="2:14" ht="15" x14ac:dyDescent="0.25">
      <c r="B1801" s="37"/>
      <c r="C1801" s="53"/>
      <c r="D1801" s="24"/>
      <c r="E1801" s="25"/>
      <c r="F1801" s="26"/>
      <c r="G1801" s="26"/>
      <c r="H1801" s="329"/>
      <c r="I1801" s="333"/>
      <c r="J1801" s="359"/>
      <c r="K1801" s="36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325"/>
      <c r="H1802" s="332"/>
      <c r="I1802" s="333"/>
      <c r="J1802" s="359"/>
      <c r="K1802" s="27"/>
      <c r="L1802" s="330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0"/>
      <c r="C1805" s="52"/>
      <c r="D1805" s="24"/>
      <c r="E1805" s="25"/>
      <c r="F1805" s="26"/>
      <c r="G1805" s="26"/>
      <c r="H1805" s="329"/>
      <c r="I1805" s="41"/>
      <c r="J1805" s="358"/>
      <c r="K1805" s="27"/>
      <c r="L1805" s="33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0"/>
      <c r="C1810" s="52"/>
      <c r="D1810" s="24"/>
      <c r="E1810" s="25"/>
      <c r="F1810" s="26"/>
      <c r="G1810" s="26"/>
      <c r="H1810" s="329"/>
      <c r="I1810" s="41"/>
      <c r="J1810" s="358"/>
      <c r="K1810" s="36"/>
      <c r="L1810" s="33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23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27"/>
      <c r="L1813" s="33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3"/>
      <c r="D1817" s="24"/>
      <c r="E1817" s="25"/>
      <c r="F1817" s="26"/>
      <c r="G1817" s="325"/>
      <c r="H1817" s="332"/>
      <c r="I1817" s="333"/>
      <c r="J1817" s="359"/>
      <c r="K1817" s="36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36"/>
      <c r="L1819" s="33"/>
      <c r="M1819" s="34"/>
      <c r="N1819" s="35"/>
    </row>
    <row r="1820" spans="2:14" ht="15" x14ac:dyDescent="0.25">
      <c r="B1820" s="37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x14ac:dyDescent="0.2">
      <c r="B1821" s="37"/>
      <c r="C1821" s="23"/>
      <c r="D1821" s="24"/>
      <c r="E1821" s="25"/>
      <c r="F1821" s="26"/>
      <c r="G1821" s="26"/>
      <c r="H1821" s="329"/>
      <c r="I1821" s="42"/>
      <c r="J1821" s="360"/>
      <c r="K1821" s="36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ht="15" x14ac:dyDescent="0.25">
      <c r="B1823" s="37"/>
      <c r="C1823" s="23"/>
      <c r="D1823" s="24"/>
      <c r="E1823" s="25"/>
      <c r="F1823" s="26"/>
      <c r="G1823" s="26"/>
      <c r="H1823" s="329"/>
      <c r="I1823" s="41"/>
      <c r="J1823" s="358"/>
      <c r="K1823" s="27"/>
      <c r="L1823" s="33"/>
      <c r="M1823" s="34"/>
      <c r="N1823" s="35"/>
    </row>
    <row r="1824" spans="2:14" x14ac:dyDescent="0.2">
      <c r="B1824" s="37"/>
      <c r="C1824" s="52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ht="15" x14ac:dyDescent="0.25">
      <c r="B1825" s="37"/>
      <c r="C1825" s="52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9"/>
      <c r="I1826" s="42"/>
      <c r="J1826" s="360"/>
      <c r="K1826" s="36"/>
      <c r="L1826" s="330"/>
      <c r="M1826" s="34"/>
      <c r="N1826" s="35"/>
    </row>
    <row r="1827" spans="2:14" ht="15" x14ac:dyDescent="0.25">
      <c r="B1827" s="37"/>
      <c r="C1827" s="23"/>
      <c r="D1827" s="24"/>
      <c r="E1827" s="25"/>
      <c r="F1827" s="26"/>
      <c r="G1827" s="26"/>
      <c r="H1827" s="329"/>
      <c r="I1827" s="41"/>
      <c r="J1827" s="358"/>
      <c r="K1827" s="27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x14ac:dyDescent="0.2">
      <c r="B1829" s="37"/>
      <c r="C1829" s="23"/>
      <c r="D1829" s="24"/>
      <c r="E1829" s="25"/>
      <c r="F1829" s="26"/>
      <c r="G1829" s="325"/>
      <c r="H1829" s="332"/>
      <c r="I1829" s="334"/>
      <c r="J1829" s="361"/>
      <c r="K1829" s="27"/>
      <c r="L1829" s="33"/>
      <c r="M1829" s="34"/>
      <c r="N1829" s="35"/>
    </row>
    <row r="1830" spans="2:14" ht="15" x14ac:dyDescent="0.25">
      <c r="B1830" s="37"/>
      <c r="C1830" s="53"/>
      <c r="D1830" s="24"/>
      <c r="E1830" s="25"/>
      <c r="F1830" s="26"/>
      <c r="G1830" s="325"/>
      <c r="H1830" s="332"/>
      <c r="I1830" s="333"/>
      <c r="J1830" s="359"/>
      <c r="K1830" s="27"/>
      <c r="L1830" s="330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2"/>
      <c r="D1832" s="24"/>
      <c r="E1832" s="25"/>
      <c r="F1832" s="26"/>
      <c r="G1832" s="26"/>
      <c r="H1832" s="329"/>
      <c r="I1832" s="41"/>
      <c r="J1832" s="358"/>
      <c r="K1832" s="27"/>
      <c r="L1832" s="33"/>
      <c r="M1832" s="34"/>
      <c r="N1832" s="35"/>
    </row>
    <row r="1833" spans="2:14" x14ac:dyDescent="0.2">
      <c r="B1833" s="37"/>
      <c r="C1833" s="23"/>
      <c r="D1833" s="24"/>
      <c r="E1833" s="25"/>
      <c r="F1833" s="26"/>
      <c r="G1833" s="325"/>
      <c r="H1833" s="332"/>
      <c r="I1833" s="334"/>
      <c r="J1833" s="361"/>
      <c r="K1833" s="27"/>
      <c r="L1833" s="33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0"/>
      <c r="C1839" s="23"/>
      <c r="D1839" s="24"/>
      <c r="E1839" s="25"/>
      <c r="F1839" s="26"/>
      <c r="G1839" s="26"/>
      <c r="H1839" s="329"/>
      <c r="I1839" s="41"/>
      <c r="J1839" s="358"/>
      <c r="K1839" s="27"/>
      <c r="L1839" s="33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36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325"/>
      <c r="H1841" s="332"/>
      <c r="I1841" s="333"/>
      <c r="J1841" s="359"/>
      <c r="K1841" s="27"/>
      <c r="L1841" s="33"/>
      <c r="M1841" s="34"/>
      <c r="N1841" s="35"/>
    </row>
    <row r="1842" spans="2:14" x14ac:dyDescent="0.2">
      <c r="B1842" s="30"/>
      <c r="C1842" s="23"/>
      <c r="D1842" s="24"/>
      <c r="E1842" s="25"/>
      <c r="F1842" s="26"/>
      <c r="G1842" s="26"/>
      <c r="H1842" s="329"/>
      <c r="I1842" s="42"/>
      <c r="J1842" s="360"/>
      <c r="K1842" s="27"/>
      <c r="L1842" s="33"/>
      <c r="M1842" s="34"/>
      <c r="N1842" s="35"/>
    </row>
    <row r="1843" spans="2:14" x14ac:dyDescent="0.2">
      <c r="B1843" s="37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36"/>
      <c r="L1844" s="33"/>
      <c r="M1844" s="34"/>
      <c r="N1844" s="35"/>
    </row>
    <row r="1845" spans="2:14" ht="15" x14ac:dyDescent="0.25">
      <c r="B1845" s="30"/>
      <c r="C1845" s="23"/>
      <c r="D1845" s="24"/>
      <c r="E1845" s="25"/>
      <c r="F1845" s="26"/>
      <c r="G1845" s="26"/>
      <c r="H1845" s="329"/>
      <c r="I1845" s="41"/>
      <c r="J1845" s="358"/>
      <c r="K1845" s="27"/>
      <c r="L1845" s="33"/>
      <c r="M1845" s="34"/>
      <c r="N1845" s="35"/>
    </row>
    <row r="1846" spans="2:14" x14ac:dyDescent="0.2">
      <c r="B1846" s="30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325"/>
      <c r="H1847" s="332"/>
      <c r="I1847" s="333"/>
      <c r="J1847" s="359"/>
      <c r="K1847" s="27"/>
      <c r="L1847" s="33"/>
      <c r="M1847" s="34"/>
      <c r="N1847" s="35"/>
    </row>
    <row r="1848" spans="2:14" ht="15" x14ac:dyDescent="0.25">
      <c r="B1848" s="37"/>
      <c r="C1848" s="23"/>
      <c r="D1848" s="24"/>
      <c r="E1848" s="25"/>
      <c r="F1848" s="26"/>
      <c r="G1848" s="26"/>
      <c r="H1848" s="329"/>
      <c r="I1848" s="41"/>
      <c r="J1848" s="358"/>
      <c r="K1848" s="27"/>
      <c r="L1848" s="33"/>
      <c r="M1848" s="34"/>
      <c r="N1848" s="35"/>
    </row>
    <row r="1849" spans="2:14" x14ac:dyDescent="0.2">
      <c r="B1849" s="37"/>
      <c r="C1849" s="23"/>
      <c r="D1849" s="24"/>
      <c r="E1849" s="25"/>
      <c r="F1849" s="26"/>
      <c r="G1849" s="26"/>
      <c r="H1849" s="329"/>
      <c r="I1849" s="334"/>
      <c r="J1849" s="361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0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x14ac:dyDescent="0.2">
      <c r="B1852" s="37"/>
      <c r="C1852" s="23"/>
      <c r="D1852" s="24"/>
      <c r="E1852" s="25"/>
      <c r="F1852" s="26"/>
      <c r="G1852" s="26"/>
      <c r="H1852" s="329"/>
      <c r="I1852" s="42"/>
      <c r="J1852" s="360"/>
      <c r="K1852" s="27"/>
      <c r="L1852" s="33"/>
      <c r="M1852" s="34"/>
      <c r="N1852" s="35"/>
    </row>
    <row r="1853" spans="2:14" x14ac:dyDescent="0.2">
      <c r="B1853" s="30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325"/>
      <c r="H1854" s="332"/>
      <c r="I1854" s="333"/>
      <c r="J1854" s="359"/>
      <c r="K1854" s="27"/>
      <c r="L1854" s="330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0"/>
      <c r="C1857" s="23"/>
      <c r="D1857" s="24"/>
      <c r="E1857" s="25"/>
      <c r="F1857" s="26"/>
      <c r="G1857" s="26"/>
      <c r="H1857" s="329"/>
      <c r="I1857" s="41"/>
      <c r="J1857" s="358"/>
      <c r="K1857" s="27"/>
      <c r="L1857" s="33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x14ac:dyDescent="0.2">
      <c r="B1862" s="30"/>
      <c r="C1862" s="23"/>
      <c r="D1862" s="24"/>
      <c r="E1862" s="25"/>
      <c r="F1862" s="26"/>
      <c r="G1862" s="26"/>
      <c r="H1862" s="329"/>
      <c r="I1862" s="42"/>
      <c r="J1862" s="360"/>
      <c r="K1862" s="27"/>
      <c r="L1862" s="33"/>
      <c r="M1862" s="34"/>
      <c r="N1862" s="35"/>
    </row>
    <row r="1863" spans="2:14" x14ac:dyDescent="0.2">
      <c r="B1863" s="37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ht="15" x14ac:dyDescent="0.25">
      <c r="B1865" s="37"/>
      <c r="C1865" s="23"/>
      <c r="D1865" s="24"/>
      <c r="E1865" s="25"/>
      <c r="F1865" s="26"/>
      <c r="G1865" s="26"/>
      <c r="H1865" s="329"/>
      <c r="I1865" s="41"/>
      <c r="J1865" s="358"/>
      <c r="K1865" s="36"/>
      <c r="L1865" s="33"/>
      <c r="M1865" s="34"/>
      <c r="N1865" s="35"/>
    </row>
  </sheetData>
  <sortState xmlns:xlrd2="http://schemas.microsoft.com/office/spreadsheetml/2017/richdata2" ref="B7:I1048573">
    <sortCondition ref="C7:C44"/>
  </sortState>
  <mergeCells count="3">
    <mergeCell ref="D1:H1"/>
    <mergeCell ref="D2:K2"/>
    <mergeCell ref="B3:F4"/>
  </mergeCells>
  <phoneticPr fontId="19" type="noConversion"/>
  <conditionalFormatting sqref="H1838:H1861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8:H1860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8:H1859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8:E1865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8:E1865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8:E1865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8:E1865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8:E1865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8:E1865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8:E1865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8:E1865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8:H1865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8:H1865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8:H1865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8:E1865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8:H1865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8:E1865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8:H1865">
    <cfRule type="iconSet" priority="282941">
      <iconSet>
        <cfvo type="percent" val="0"/>
        <cfvo type="percent" val="23"/>
        <cfvo type="percent" val="70"/>
      </iconSet>
    </cfRule>
  </conditionalFormatting>
  <conditionalFormatting sqref="H1838:H1865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8:H1865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8:H1865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8:H1865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8:E1865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8:H1865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8:H1865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8:H1865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8:H1865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8:H1865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8:E1865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8:H1865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8:H1865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8:E1865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8:E1865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8:H1865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8:H1865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8:H1865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8:E1865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8:H1865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8:H1865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8:H1865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8:H1865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8:H1865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8:H1865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8:E1865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8:H1865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8:H1865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8:H1865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8:H1865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8:H1865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8:H1865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8:H1865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8:E1865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8:H1865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8:E1865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8:H1865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8:E1865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8:H1865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09">
      <iconSet>
        <cfvo type="percent" val="0"/>
        <cfvo type="num" val="22"/>
        <cfvo type="num" val="26"/>
      </iconSet>
    </cfRule>
  </conditionalFormatting>
  <conditionalFormatting sqref="H1838:H1865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8:H1865">
    <cfRule type="iconSet" priority="283415">
      <iconSet>
        <cfvo type="percent" val="0"/>
        <cfvo type="num" val="21"/>
        <cfvo type="num" val="25"/>
      </iconSet>
    </cfRule>
  </conditionalFormatting>
  <conditionalFormatting sqref="H1838:H1865">
    <cfRule type="iconSet" priority="283417">
      <iconSet>
        <cfvo type="percent" val="0"/>
        <cfvo type="num" val="19"/>
        <cfvo type="num" val="23"/>
      </iconSet>
    </cfRule>
  </conditionalFormatting>
  <conditionalFormatting sqref="H1838:H1865">
    <cfRule type="iconSet" priority="283419">
      <iconSet>
        <cfvo type="percent" val="0"/>
        <cfvo type="num" val="23"/>
        <cfvo type="num" val="27"/>
      </iconSet>
    </cfRule>
  </conditionalFormatting>
  <conditionalFormatting sqref="E1752:E1754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7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46:E1175 E7:E44">
    <cfRule type="cellIs" dxfId="19" priority="170" operator="greaterThan">
      <formula>7</formula>
    </cfRule>
  </conditionalFormatting>
  <conditionalFormatting sqref="E1485:E4763">
    <cfRule type="cellIs" dxfId="18" priority="137" operator="greaterThan">
      <formula>7</formula>
    </cfRule>
  </conditionalFormatting>
  <conditionalFormatting sqref="I46:I1247 G46:G48 I7:I44">
    <cfRule type="cellIs" dxfId="17" priority="41" operator="lessThan">
      <formula>E7</formula>
    </cfRule>
  </conditionalFormatting>
  <conditionalFormatting sqref="I1838:I1865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8:I1865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8:I1865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8:I1865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8:I1865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8:I1865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8:I1865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8:I1865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8:I1865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8:I1865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8:I1865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8:I1865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8:I1865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8:I1865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4:H1471 H1258:H1432 H46:H1247 H7:H44">
    <cfRule type="cellIs" dxfId="16" priority="297758" operator="greaterThan">
      <formula>$H$45</formula>
    </cfRule>
  </conditionalFormatting>
  <conditionalFormatting sqref="L7:L1247">
    <cfRule type="top10" dxfId="15" priority="29776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3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E1838:E1865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H1838:H1865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E1752:E1754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I1838:I1865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L1838:L1865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H1838:H1865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E1732:E1751</xm:sqref>
        </x14:conditionalFormatting>
        <x14:conditionalFormatting xmlns:xm="http://schemas.microsoft.com/office/excel/2006/main">
          <x14:cfRule type="iconSet" priority="29776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$H$45</xm:f>
              </x14:cfvo>
              <x14:cfIcon iconSet="NoIcons" iconId="0"/>
              <x14:cfIcon iconSet="NoIcons" iconId="0"/>
              <x14:cfIcon iconSet="3Stars" iconId="2"/>
            </x14:iconSet>
          </x14:cfRule>
          <xm:sqref>H1258:H1268 H46:H1247 H7:H44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0" t="s">
        <v>110</v>
      </c>
      <c r="E1" s="370"/>
      <c r="F1" s="370"/>
      <c r="G1" s="370"/>
      <c r="H1" s="370"/>
      <c r="I1" s="19"/>
      <c r="J1" s="16"/>
      <c r="K1"/>
    </row>
    <row r="2" spans="2:75" ht="33.75" customHeight="1" thickBot="1" x14ac:dyDescent="0.35">
      <c r="D2" s="371" t="s">
        <v>111</v>
      </c>
      <c r="E2" s="371"/>
      <c r="F2" s="371"/>
      <c r="G2" s="371"/>
      <c r="H2" s="371"/>
      <c r="I2" s="371"/>
      <c r="J2" s="371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2" t="s">
        <v>115</v>
      </c>
      <c r="E3" s="372"/>
      <c r="F3" s="372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2"/>
      <c r="E4" s="372"/>
      <c r="F4" s="372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2026-02-15T06:03:37Z</cp:lastPrinted>
  <dcterms:created xsi:type="dcterms:W3CDTF">2021-05-05T13:25:05Z</dcterms:created>
  <dcterms:modified xsi:type="dcterms:W3CDTF">2026-02-15T06:44:56Z</dcterms:modified>
</cp:coreProperties>
</file>