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693CA08-5D8C-41DE-8AF2-27F50AA9308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O47" i="1" s="1"/>
  <c r="C47" i="1"/>
  <c r="H21" i="1"/>
  <c r="M21" i="1"/>
  <c r="P46" i="1"/>
  <c r="R46" i="1" s="1"/>
  <c r="U46" i="1"/>
  <c r="G47" i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M8" i="1"/>
  <c r="M9" i="1"/>
  <c r="M10" i="1"/>
  <c r="M11" i="1"/>
  <c r="M12" i="1"/>
  <c r="M13" i="1"/>
  <c r="M14" i="1"/>
  <c r="M15" i="1"/>
  <c r="M46" i="1"/>
  <c r="M16" i="1"/>
  <c r="M17" i="1"/>
  <c r="M18" i="1"/>
  <c r="M19" i="1"/>
  <c r="M20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31" i="1"/>
  <c r="H9" i="1"/>
  <c r="H7" i="1"/>
  <c r="H19" i="1"/>
  <c r="H35" i="1"/>
  <c r="H24" i="1"/>
  <c r="H18" i="1"/>
  <c r="H36" i="1"/>
  <c r="H10" i="1"/>
  <c r="H41" i="1"/>
  <c r="H25" i="1"/>
  <c r="H11" i="1"/>
  <c r="H12" i="1"/>
  <c r="H42" i="1"/>
  <c r="H32" i="1"/>
  <c r="H26" i="1"/>
  <c r="H20" i="1"/>
  <c r="H33" i="1"/>
  <c r="H43" i="1"/>
  <c r="H27" i="1"/>
  <c r="H22" i="1"/>
  <c r="H45" i="1"/>
  <c r="H28" i="1"/>
  <c r="H29" i="1"/>
  <c r="H14" i="1"/>
  <c r="H30" i="1"/>
  <c r="H37" i="1"/>
  <c r="H34" i="1"/>
  <c r="H23" i="1"/>
  <c r="H38" i="1"/>
  <c r="H8" i="1"/>
  <c r="H13" i="1"/>
  <c r="H39" i="1"/>
  <c r="H15" i="1"/>
  <c r="H40" i="1"/>
  <c r="H46" i="1"/>
  <c r="H16" i="1"/>
  <c r="H17" i="1"/>
  <c r="H44" i="1"/>
  <c r="P3" i="6"/>
  <c r="U47" i="1"/>
  <c r="P47" i="1"/>
  <c r="R47" i="1" s="1"/>
  <c r="S48" i="1"/>
  <c r="P48" i="1"/>
  <c r="S49" i="1"/>
  <c r="P49" i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D12" i="3"/>
  <c r="H11" i="3"/>
  <c r="AP6" i="3"/>
  <c r="D13" i="3"/>
  <c r="E13" i="3"/>
  <c r="N42" i="1" l="1"/>
  <c r="N7" i="1"/>
  <c r="I21" i="1"/>
  <c r="J21" i="1" s="1"/>
  <c r="N46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34" i="1"/>
  <c r="J34" i="1" s="1"/>
  <c r="I11" i="1"/>
  <c r="J11" i="1" s="1"/>
  <c r="I36" i="1"/>
  <c r="J36" i="1" s="1"/>
  <c r="I46" i="1"/>
  <c r="J46" i="1" s="1"/>
  <c r="I27" i="1"/>
  <c r="I19" i="1"/>
  <c r="J19" i="1" s="1"/>
  <c r="I29" i="1"/>
  <c r="J29" i="1" s="1"/>
  <c r="I13" i="1"/>
  <c r="J13" i="1" s="1"/>
  <c r="I26" i="1"/>
  <c r="Q26" i="1" s="1"/>
  <c r="L26" i="1" s="1"/>
  <c r="I31" i="1"/>
  <c r="Q31" i="1" s="1"/>
  <c r="L31" i="1" s="1"/>
  <c r="I44" i="1"/>
  <c r="J44" i="1" s="1"/>
  <c r="I40" i="1"/>
  <c r="J40" i="1" s="1"/>
  <c r="I8" i="1"/>
  <c r="J8" i="1" s="1"/>
  <c r="I37" i="1"/>
  <c r="J37" i="1" s="1"/>
  <c r="I28" i="1"/>
  <c r="Q29" i="1" s="1"/>
  <c r="L29" i="1" s="1"/>
  <c r="I43" i="1"/>
  <c r="Q43" i="1" s="1"/>
  <c r="L43" i="1" s="1"/>
  <c r="I32" i="1"/>
  <c r="J32" i="1" s="1"/>
  <c r="I25" i="1"/>
  <c r="J25" i="1" s="1"/>
  <c r="I18" i="1"/>
  <c r="J18" i="1" s="1"/>
  <c r="I7" i="1"/>
  <c r="Q7" i="1" s="1"/>
  <c r="L7" i="1" s="1"/>
  <c r="I17" i="1"/>
  <c r="Q17" i="1" s="1"/>
  <c r="I15" i="1"/>
  <c r="J15" i="1" s="1"/>
  <c r="I38" i="1"/>
  <c r="Q36" i="1" s="1"/>
  <c r="L36" i="1" s="1"/>
  <c r="I30" i="1"/>
  <c r="J30" i="1" s="1"/>
  <c r="I45" i="1"/>
  <c r="J45" i="1" s="1"/>
  <c r="I33" i="1"/>
  <c r="I42" i="1"/>
  <c r="Q42" i="1" s="1"/>
  <c r="L42" i="1" s="1"/>
  <c r="I41" i="1"/>
  <c r="Q41" i="1" s="1"/>
  <c r="L41" i="1" s="1"/>
  <c r="I24" i="1"/>
  <c r="J24" i="1" s="1"/>
  <c r="I9" i="1"/>
  <c r="Q9" i="1" s="1"/>
  <c r="L9" i="1" s="1"/>
  <c r="I16" i="1"/>
  <c r="J16" i="1" s="1"/>
  <c r="I39" i="1"/>
  <c r="J39" i="1" s="1"/>
  <c r="I23" i="1"/>
  <c r="I14" i="1"/>
  <c r="J31" i="1" s="1"/>
  <c r="I22" i="1"/>
  <c r="Q22" i="1" s="1"/>
  <c r="L22" i="1" s="1"/>
  <c r="I20" i="1"/>
  <c r="J20" i="1" s="1"/>
  <c r="I12" i="1"/>
  <c r="Q12" i="1" s="1"/>
  <c r="L12" i="1" s="1"/>
  <c r="I10" i="1"/>
  <c r="Q10" i="1" s="1"/>
  <c r="L10" i="1" s="1"/>
  <c r="I35" i="1"/>
  <c r="Q35" i="1" s="1"/>
  <c r="L35" i="1" s="1"/>
  <c r="Q46" i="1"/>
  <c r="L46" i="1" s="1"/>
  <c r="Q45" i="1"/>
  <c r="L45" i="1" s="1"/>
  <c r="Q21" i="1"/>
  <c r="J42" i="1"/>
  <c r="H47" i="1"/>
  <c r="V8" i="1" s="1"/>
  <c r="Q11" i="1"/>
  <c r="L11" i="1" s="1"/>
  <c r="Q47" i="1"/>
  <c r="T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N47" i="1" l="1"/>
  <c r="Q44" i="1"/>
  <c r="L44" i="1" s="1"/>
  <c r="Q34" i="1"/>
  <c r="L34" i="1" s="1"/>
  <c r="J38" i="1"/>
  <c r="J43" i="1"/>
  <c r="Q38" i="1"/>
  <c r="L38" i="1" s="1"/>
  <c r="J22" i="1"/>
  <c r="Q16" i="1"/>
  <c r="L16" i="1" s="1"/>
  <c r="Q18" i="1"/>
  <c r="L18" i="1" s="1"/>
  <c r="Q28" i="1"/>
  <c r="L28" i="1" s="1"/>
  <c r="J28" i="1"/>
  <c r="Q40" i="1"/>
  <c r="L40" i="1" s="1"/>
  <c r="J35" i="1"/>
  <c r="Q39" i="1"/>
  <c r="L39" i="1" s="1"/>
  <c r="J7" i="1"/>
  <c r="Q13" i="1"/>
  <c r="L13" i="1" s="1"/>
  <c r="J12" i="1"/>
  <c r="Q30" i="1"/>
  <c r="L30" i="1" s="1"/>
  <c r="Q19" i="1"/>
  <c r="L19" i="1" s="1"/>
  <c r="J26" i="1"/>
  <c r="Q27" i="1"/>
  <c r="L27" i="1" s="1"/>
  <c r="V15" i="1"/>
  <c r="V36" i="1"/>
  <c r="J27" i="1"/>
  <c r="Q14" i="1"/>
  <c r="L14" i="1" s="1"/>
  <c r="J9" i="1"/>
  <c r="V22" i="1"/>
  <c r="J17" i="1"/>
  <c r="Q15" i="1"/>
  <c r="L15" i="1" s="1"/>
  <c r="V29" i="1"/>
  <c r="Q32" i="1"/>
  <c r="L32" i="1" s="1"/>
  <c r="Q8" i="1"/>
  <c r="L8" i="1" s="1"/>
  <c r="I47" i="1"/>
  <c r="L17" i="1"/>
  <c r="Q23" i="1"/>
  <c r="L23" i="1" s="1"/>
  <c r="J41" i="1"/>
  <c r="J23" i="1"/>
  <c r="Q24" i="1"/>
  <c r="L24" i="1" s="1"/>
  <c r="V46" i="1"/>
  <c r="Q37" i="1"/>
  <c r="L37" i="1" s="1"/>
  <c r="J33" i="1"/>
  <c r="J10" i="1"/>
  <c r="L21" i="1"/>
  <c r="Q25" i="1"/>
  <c r="L25" i="1" s="1"/>
  <c r="J14" i="1"/>
  <c r="Q33" i="1"/>
  <c r="L33" i="1" s="1"/>
  <c r="Q20" i="1"/>
  <c r="L20" i="1" s="1"/>
  <c r="V31" i="1"/>
  <c r="V45" i="1"/>
  <c r="V20" i="1"/>
  <c r="V38" i="1"/>
  <c r="V13" i="1"/>
  <c r="V43" i="1"/>
  <c r="V27" i="1"/>
  <c r="V11" i="1"/>
  <c r="V34" i="1"/>
  <c r="V18" i="1"/>
  <c r="V41" i="1"/>
  <c r="V25" i="1"/>
  <c r="V9" i="1"/>
  <c r="V32" i="1"/>
  <c r="V16" i="1"/>
  <c r="V39" i="1"/>
  <c r="V23" i="1"/>
  <c r="V7" i="1"/>
  <c r="V30" i="1"/>
  <c r="V14" i="1"/>
  <c r="V37" i="1"/>
  <c r="V21" i="1"/>
  <c r="V44" i="1"/>
  <c r="V28" i="1"/>
  <c r="V12" i="1"/>
  <c r="V35" i="1"/>
  <c r="V19" i="1"/>
  <c r="V42" i="1"/>
  <c r="V26" i="1"/>
  <c r="V10" i="1"/>
  <c r="V33" i="1"/>
  <c r="V17" i="1"/>
  <c r="V40" i="1"/>
  <c r="V24" i="1"/>
  <c r="V47" i="1"/>
  <c r="T48" i="1"/>
  <c r="S3" i="1"/>
  <c r="T3" i="1" s="1"/>
  <c r="S46" i="1" s="1"/>
  <c r="T46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7" i="1"/>
  <c r="T47" i="1" s="1"/>
  <c r="Q48" i="1"/>
  <c r="R48" i="1" s="1"/>
  <c r="Q49" i="1"/>
  <c r="R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<sst xmlns="http://schemas.openxmlformats.org/spreadsheetml/2006/main" count="313" uniqueCount="203">
  <si>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</si>
  <si>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</si>
  <si>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</si>
  <si>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</si>
  <si>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</si>
  <si>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</si>
  <si>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</si>
  <si>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</si>
  <si>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</si>
  <si>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</si>
  <si>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</si>
  <si>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</si>
  <si>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</si>
  <si>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</si>
  <si>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</si>
  <si>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</si>
  <si>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</si>
  <si>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</si>
  <si>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</si>
  <si>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</si>
  <si>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</si>
  <si>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</si>
  <si>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</si>
  <si>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</si>
  <si>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</si>
  <si>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</si>
  <si>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</si>
  <si>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</si>
  <si>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</si>
  <si>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</si>
  <si>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</si>
  <si>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</si>
  <si>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</si>
  <si>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</si>
  <si>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</si>
  <si>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</si>
  <si>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</si>
  <si>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</si>
  <si>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</si>
  <si>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</si>
  <si>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</si>
  <si>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</si>
  <si>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</si>
  <si>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</si>
  <si>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</si>
  <si>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</si>
  <si>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</si>
  <si>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</si>
  <si>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</si>
  <si>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</si>
  <si>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</si>
  <si>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</si>
  <si>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</si>
  <si>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</si>
  <si>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</si>
  <si>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</si>
  <si>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</si>
  <si>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</si>
  <si>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</si>
  <si>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</si>
  <si>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</si>
  <si>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</si>
  <si>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</si>
  <si>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</si>
  <si>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</si>
  <si>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</si>
  <si>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</si>
  <si>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</si>
  <si>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</si>
  <si>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</si>
  <si>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</si>
  <si>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</si>
  <si>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</si>
  <si>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</si>
  <si>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</si>
  <si>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</si>
  <si>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</si>
  <si>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</si>
  <si>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</si>
  <si>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</si>
  <si>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</si>
  <si>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</si>
  <si>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</si>
  <si>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</si>
  <si>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</si>
  <si>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</si>
  <si>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</si>
  <si>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</si>
  <si>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</si>
  <si>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</si>
  <si>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</si>
  <si>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</si>
  <si>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</si>
  <si>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</si>
  <si>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</si>
  <si>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</si>
  <si>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</si>
  <si>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</si>
  <si>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</si>
  <si>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</si>
  <si>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</si>
  <si>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</si>
  <si>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</si>
  <si>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</si>
  <si>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</si>
  <si>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</si>
  <si>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</si>
  <si>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</si>
  <si>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</si>
  <si>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</si>
  <si>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</si>
  <si>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</si>
  <si>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</si>
  <si>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</si>
  <si>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</si>
  <si>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</si>
  <si>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</si>
  <si>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</si>
  <si>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</si>
  <si>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</si>
  <si>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</si>
  <si>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</si>
  <si>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</si>
  <si>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</si>
  <si>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</si>
  <si>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</si>
  <si>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</si>
  <si>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</si>
  <si>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</si>
  <si>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</si>
  <si>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</si>
  <si>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</si>
  <si>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</si>
  <si>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</si>
  <si>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</si>
  <si>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</si>
  <si>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</si>
  <si>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</si>
  <si>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</si>
  <si>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</si>
  <si>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</si>
  <si>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</si>
  <si>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</si>
  <si>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</si>
  <si>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</si>
  <si>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</si>
  <si>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</si>
  <si>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</si>
  <si>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TUBERQUIA URREGO HAROL</t>
  </si>
  <si>
    <t>VERENZUELA MARTINEZ ALEXANDER</t>
  </si>
  <si>
    <t>ARAQUE ARROYAVE JOSE ALBEIRO</t>
  </si>
  <si>
    <t>CARTAGENA RAMIREZ FREDY ALONSO</t>
  </si>
  <si>
    <t>PARIAS MURIEL JHON FREDY</t>
  </si>
  <si>
    <t>LONDOÑO LOPERA DUVAN ANDRES</t>
  </si>
  <si>
    <t>QUIRAMA CASTAÑEDA JHON JADER</t>
  </si>
  <si>
    <t>LOPEZ PINEDA DANIEL ESTIVEN</t>
  </si>
  <si>
    <t>SANCHEZ BETANCOURT FRANSCISCO</t>
  </si>
  <si>
    <t>HERNANDEZ MACIAS GILBERTO</t>
  </si>
  <si>
    <t>JIMENEZ HERNANDEZ ESTEBAN CAMILO</t>
  </si>
  <si>
    <t>ALBERTO ARISTIZABAL RAFAEL</t>
  </si>
  <si>
    <t>MURILLO  YOIMAR ANDRES</t>
  </si>
  <si>
    <t>DAVID  HENRY GIOVANNY</t>
  </si>
  <si>
    <t>JARAMILLO JARAMILLO FRANCISCO WBEIMAR</t>
  </si>
  <si>
    <t>ESPINOZA ECHAVARRIA EMANUEL</t>
  </si>
  <si>
    <t>LAYOS JIMENEZ JOHAN CAMILO</t>
  </si>
  <si>
    <t>SALDARRIAGA PARRA LUIS ALBERTO</t>
  </si>
  <si>
    <t>TABORDA ROJAS DIEGO ALEJANDRO</t>
  </si>
  <si>
    <t>GONZALEZ IPUANA RENE</t>
  </si>
  <si>
    <t>SUAREZ ESCUDERO JONATAN</t>
  </si>
  <si>
    <t>LEON PEREZ RAUL ENRIQUE</t>
  </si>
  <si>
    <t>AGUDELO GARCIA LLORDIN ELIAS</t>
  </si>
  <si>
    <t>PALMAR PANA EDIXON JOSUE</t>
  </si>
  <si>
    <t>AGUDELO GARCIA DENIN ANGELO</t>
  </si>
  <si>
    <t>MARIN ALZATE KEVIN ANDRES</t>
  </si>
  <si>
    <t>OSORIO URREGO SANTIAGO</t>
  </si>
  <si>
    <t>MARULANDA JARAMILLO DAWER ANDRES</t>
  </si>
  <si>
    <t>FRANCO CARVAJAL GERARDO ANTONIO</t>
  </si>
  <si>
    <t>CARDONA  EDISON</t>
  </si>
  <si>
    <t>PARRA VILLA YUBER ALONSO</t>
  </si>
  <si>
    <t>MACIAS HERNANDEZ JULIAN DAVID</t>
  </si>
  <si>
    <t>JIMENEZ HURTADO CARLOS ESTIVEN</t>
  </si>
  <si>
    <t>OCAMPO OCAMPO ANTONIO JOSE</t>
  </si>
  <si>
    <t>GONZALEZ PEREZ RAFAEL JOSE</t>
  </si>
  <si>
    <t>MACEA ARBELAEZ MATEO</t>
  </si>
  <si>
    <t>YEPES TORRES JHON ALEXANDER</t>
  </si>
  <si>
    <t>VALENCIA MENDOZA JHON</t>
  </si>
  <si>
    <t xml:space="preserve">PEREZ GARCIA JUAN ESTEBAN </t>
  </si>
  <si>
    <t xml:space="preserve">1 Descuento (Despachador) </t>
  </si>
  <si>
    <t xml:space="preserve">1 Descuento (Usuario desubicado) </t>
  </si>
  <si>
    <t xml:space="preserve">5 Descuentos (Conducts y usuarios desubicados) </t>
  </si>
  <si>
    <t xml:space="preserve">2 Descuentos (conduct y usuario desubicado) </t>
  </si>
  <si>
    <t xml:space="preserve">2 Descuentos (Despachador y usuario desubicado) </t>
  </si>
  <si>
    <t xml:space="preserve">3 Descuentos (Despachador y usuarios desubicados) </t>
  </si>
  <si>
    <t xml:space="preserve">2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</si>
  <si>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 USUARIOS</t>
    </r>
  </si>
  <si>
    <t xml:space="preserve">Se descuenta 0.5 viaje de 12 27 pm ya que NO ingresa al 13. </t>
  </si>
  <si>
    <t xml:space="preserve">Se descuenta 0.5 viaje de 1 27 pm ya que NO ingresa al 13. </t>
  </si>
  <si>
    <t xml:space="preserve">Se descuenta 0.5 viaje de 9 54 am ya que NO ingresa al 13.     1 Descuento (Usuario desubicado) </t>
  </si>
  <si>
    <t xml:space="preserve">Se descuenta 0.5 viaje de 1 18 pm ya que NO ingresa al 13. </t>
  </si>
  <si>
    <t xml:space="preserve">Se descuenta 0.5 viaje de 1 36 pm ya que NO ingresa al 13. </t>
  </si>
  <si>
    <t xml:space="preserve">Se descuenta 0.5 viaje de 12 m ya que NO ingresa al 13. 2 Descuentos (Despachador) </t>
  </si>
  <si>
    <t xml:space="preserve">Se descuenta 0.5 viaje de 5 42 pm ya que NO ingresa a la minorista.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</si>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</sst>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>
                  <c:v>7</c:v>
                </c:pt>
                <c:pt idx="7">
                  <c:v>8</c:v>
                </c:pt>
                <c:pt idx="8" formatCode="General">
                  <c:v>9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 formatCode="General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18.8</c:v>
                </c:pt>
                <c:pt idx="1">
                  <c:v>16.875</c:v>
                </c:pt>
                <c:pt idx="2">
                  <c:v>17.7</c:v>
                </c:pt>
                <c:pt idx="3">
                  <c:v>18.111111111111111</c:v>
                </c:pt>
                <c:pt idx="4">
                  <c:v>19.2</c:v>
                </c:pt>
                <c:pt idx="5">
                  <c:v>14.181818181818182</c:v>
                </c:pt>
                <c:pt idx="6">
                  <c:v>19.100000000000001</c:v>
                </c:pt>
                <c:pt idx="7">
                  <c:v>18</c:v>
                </c:pt>
                <c:pt idx="8">
                  <c:v>18.545454545454547</c:v>
                </c:pt>
                <c:pt idx="9">
                  <c:v>21.5</c:v>
                </c:pt>
                <c:pt idx="10">
                  <c:v>19.100000000000001</c:v>
                </c:pt>
                <c:pt idx="11">
                  <c:v>20.3</c:v>
                </c:pt>
                <c:pt idx="12">
                  <c:v>14.75</c:v>
                </c:pt>
                <c:pt idx="13">
                  <c:v>16.2</c:v>
                </c:pt>
                <c:pt idx="14">
                  <c:v>19.777777777777779</c:v>
                </c:pt>
                <c:pt idx="15">
                  <c:v>17.777777777777779</c:v>
                </c:pt>
                <c:pt idx="16">
                  <c:v>16</c:v>
                </c:pt>
                <c:pt idx="17">
                  <c:v>20.875</c:v>
                </c:pt>
                <c:pt idx="18">
                  <c:v>14.8</c:v>
                </c:pt>
                <c:pt idx="19">
                  <c:v>15.25</c:v>
                </c:pt>
                <c:pt idx="20">
                  <c:v>24</c:v>
                </c:pt>
                <c:pt idx="21">
                  <c:v>21</c:v>
                </c:pt>
                <c:pt idx="22">
                  <c:v>21.444444444444443</c:v>
                </c:pt>
                <c:pt idx="23">
                  <c:v>16.7</c:v>
                </c:pt>
                <c:pt idx="24">
                  <c:v>24</c:v>
                </c:pt>
                <c:pt idx="25">
                  <c:v>13.444444444444445</c:v>
                </c:pt>
                <c:pt idx="26">
                  <c:v>14.111111111111111</c:v>
                </c:pt>
                <c:pt idx="27">
                  <c:v>14.25</c:v>
                </c:pt>
                <c:pt idx="28">
                  <c:v>15.555555555555555</c:v>
                </c:pt>
                <c:pt idx="29">
                  <c:v>17.142857142857142</c:v>
                </c:pt>
                <c:pt idx="30">
                  <c:v>19.888888888888889</c:v>
                </c:pt>
                <c:pt idx="31">
                  <c:v>19.444444444444443</c:v>
                </c:pt>
                <c:pt idx="32">
                  <c:v>16.666666666666668</c:v>
                </c:pt>
                <c:pt idx="33">
                  <c:v>22.2</c:v>
                </c:pt>
                <c:pt idx="34">
                  <c:v>19.444444444444443</c:v>
                </c:pt>
                <c:pt idx="35">
                  <c:v>23.714285714285715</c:v>
                </c:pt>
                <c:pt idx="36">
                  <c:v>23</c:v>
                </c:pt>
                <c:pt idx="37">
                  <c:v>17</c:v>
                </c:pt>
                <c:pt idx="38">
                  <c:v>17.777777777777779</c:v>
                </c:pt>
                <c:pt idx="39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24" dataDxfId="23" totalsRowDxfId="22">
  <sortState xmlns:xlrd2="http://schemas.microsoft.com/office/spreadsheetml/2017/richdata2" ref="B7:N46">
    <sortCondition ref="C12:C46"/>
  </sortState>
  <tableColumns count="14">
    <tableColumn id="1" xr3:uid="{00000000-0010-0000-0000-000001000000}" name="RUTA" dataDxfId="37" totalsRowDxfId="20"/>
    <tableColumn id="2" xr3:uid="{00000000-0010-0000-0000-000002000000}" name="VEH" totalsRowFunction="countNums" dataDxfId="36" totalsRowDxfId="19"/>
    <tableColumn id="3" xr3:uid="{00000000-0010-0000-0000-000003000000}" name="CONDUCTOR" totalsRowLabel="Vehs " dataDxfId="35" totalsRowDxfId="18"/>
    <tableColumn id="4" xr3:uid="{00000000-0010-0000-0000-000004000000}" name="VIAJES" totalsRowFunction="sum" dataDxfId="34" totalsRowDxfId="17"/>
    <tableColumn id="5" xr3:uid="{00000000-0010-0000-0000-000005000000}" name="VIAJES PERD." totalsRowFunction="sum" dataDxfId="33" totalsRowDxfId="16"/>
    <tableColumn id="6" xr3:uid="{00000000-0010-0000-0000-000006000000}" name="USUARIOS" totalsRowFunction="sum" dataDxfId="32" totalsRowDxfId="15" dataCellStyle="Millares"/>
    <tableColumn id="12" xr3:uid="{00000000-0010-0000-0000-00000C000000}" name="PROM X VIAJE" totalsRowFunction="custom" dataDxfId="31" totalsRowDxfId="14" dataCellStyle="Millares">
      <totalsRowFormula>+Tabla2[[#Totals],[USUARIOS]]/Tabla2[[#Totals],[VIAJES]]</totalsRowFormula>
    </tableColumn>
    <tableColumn id="7" xr3:uid="{00000000-0010-0000-0000-000007000000}" name="PROM DE USUARIOS" totalsRowFunction="sum" dataDxfId="30" totalsRowDxfId="13" dataCellStyle="Millares"/>
    <tableColumn id="13" xr3:uid="{FCD2DCC9-9A34-483A-B1DC-9E398E7F3EDE}" name="RECIBE / ENTREGA" totalsRowFunction="sum" dataDxfId="29" totalsRowDxfId="12" dataCellStyle="Millares"/>
    <tableColumn id="8" xr3:uid="{00000000-0010-0000-0000-000008000000}" name="NOVEDADES" totalsRowLabel="PROMEDIO X VIAJE 18 USUARIOS" dataDxfId="28" totalsRowDxfId="11"/>
    <tableColumn id="9" xr3:uid="{00000000-0010-0000-0000-000009000000}" name="VALOR OPERACIÓN" dataDxfId="27" totalsRowDxfId="10"/>
    <tableColumn id="10" xr3:uid="{00000000-0010-0000-0000-00000A000000}" name="CLASIFIC." dataDxfId="26" totalsRowDxfId="9"/>
    <tableColumn id="11" xr3:uid="{00000000-0010-0000-0000-00000B000000}" name="DIFER. MICRO - BUS " totalsRowFunction="sum" dataDxfId="25" totalsRowDxfId="8" dataCellStyle="Millares">
      <calculatedColumnFormula>+(SUMIFS(G:G,M:M,"MICRO",E:E,"&gt;0")*100)/COUNTIF($E$7:$E$46,"&gt;0")</calculatedColumnFormula>
    </tableColumn>
    <tableColumn id="15" xr3:uid="{E1DC6110-A775-4617-9345-B0D924018A4B}" name="FONDO (SIT)" totalsRowFunction="sum" dataDxfId="21" totalsRowDxfId="7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4" dataDxfId="63" totalsRowDxfId="62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61" totalsRowDxfId="60"/>
    <tableColumn id="2" xr3:uid="{7E9A4909-E53D-4F94-80A1-A675A394CC57}" name="VEH" totalsRowLabel="4" dataDxfId="59" totalsRowDxfId="58"/>
    <tableColumn id="3" xr3:uid="{32EB6A87-92EF-4CA2-B1E8-104D5D2326F5}" name="CONDUCTOR" totalsRowLabel="Vehs " dataDxfId="57" totalsRowDxfId="56"/>
    <tableColumn id="4" xr3:uid="{72FB169E-4910-4353-AF10-07DA297F0CD5}" name="VIAJES" totalsRowFunction="sum" dataDxfId="55" totalsRowDxfId="54"/>
    <tableColumn id="5" xr3:uid="{F323DE89-3087-4D39-B0ED-15680CB2FE01}" name="VIAJES PERD." totalsRowFunction="sum" dataDxfId="53" totalsRowDxfId="52"/>
    <tableColumn id="6" xr3:uid="{FF87B711-9A02-4FB5-B21F-73198A4385A8}" name="USUARIOS" totalsRowFunction="sum" dataDxfId="51" totalsRowDxfId="50" dataCellStyle="Millares"/>
    <tableColumn id="12" xr3:uid="{60E0DB3A-B7E4-44B6-BB26-D54278C24006}" name="PROM X VIAJE" totalsRowFunction="average" dataDxfId="49" totalsRowDxfId="48" dataCellStyle="Millares"/>
    <tableColumn id="7" xr3:uid="{12134CBA-AEEC-4025-BB5C-89B13D8F91D4}" name="PROM DE USUARIOS" totalsRowFunction="sum" dataDxfId="47" totalsRowDxfId="46" dataCellStyle="Millares"/>
    <tableColumn id="8" xr3:uid="{F35B2CED-DE3E-48D9-8E47-198F9B4F56C9}" name="NOVEDADES" dataDxfId="45" totalsRowDxfId="44"/>
    <tableColumn id="9" xr3:uid="{4BD57B08-79CF-4422-A880-91A289697DC2}" name="VALOR OPERACIÓN" dataDxfId="43" totalsRowDxfId="42" dataCellStyle="Millares"/>
    <tableColumn id="10" xr3:uid="{E8B6C5A5-759D-4901-BD5D-0ADA9540975C}" name="CLASIFIC." dataDxfId="41" totalsRowDxfId="40"/>
    <tableColumn id="11" xr3:uid="{CFA53866-4E21-473F-9C2D-8FB2962BACB5}" name="DIFER. MICRO - BUS " totalsRowFunction="sum" dataDxfId="39" totalsRowDxfId="38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topLeftCell="D1" zoomScaleNormal="100" workbookViewId="0">
      <selection activeCell="D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9.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7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6110</v>
      </c>
      <c r="R3" s="55">
        <f>+SUM(E6:E1858)/2</f>
        <v>338</v>
      </c>
      <c r="S3" s="55">
        <f>+Q3-R3</f>
        <v>5772</v>
      </c>
      <c r="T3" s="56">
        <f>+S3/R3</f>
        <v>17.076923076923077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202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177</v>
      </c>
      <c r="E7" s="150">
        <v>5</v>
      </c>
      <c r="F7" s="150">
        <v>0</v>
      </c>
      <c r="G7" s="165">
        <v>94</v>
      </c>
      <c r="H7" s="226">
        <f>+G7/E7</f>
        <v>18.8</v>
      </c>
      <c r="I7" s="227">
        <f>+(SUM($G$7:$G$1048576)/SUM($E$7:$E$1048576))*E7</f>
        <v>90.384615384615387</v>
      </c>
      <c r="J7" s="363">
        <f>+Tabla2[[#This Row],[PROM DE USUARIOS]]-Tabla2[[#This Row],[USUARIOS]]</f>
        <v>-3.6153846153846132</v>
      </c>
      <c r="K7" s="151"/>
      <c r="L7" s="163">
        <f>Q7*585</f>
        <v>49950</v>
      </c>
      <c r="M7" s="162" t="str">
        <f>+VLOOKUP(C7,Lista!B:D,3,0)</f>
        <v>MICRO</v>
      </c>
      <c r="N7" s="164">
        <f t="shared" ref="N7:N46" si="0">+(SUMIFS(G:G,M:M,"MICRO",E:E,"&gt;0")*100)/COUNTIF($E$7:$E$46,"&gt;0")</f>
        <v>8600</v>
      </c>
      <c r="O7" s="164">
        <f>Tabla2[[#This Row],[USUARIOS]]*150</f>
        <v>14100</v>
      </c>
      <c r="P7" s="50">
        <f>+(E7*1)-W7</f>
        <v>5</v>
      </c>
      <c r="Q7" s="47">
        <f>+I7-P7-X7</f>
        <v>85.384615384615387</v>
      </c>
      <c r="R7" s="49">
        <f>+G7-P7</f>
        <v>89</v>
      </c>
      <c r="S7" s="51">
        <f>+E7*$T$3</f>
        <v>85.384615384615387</v>
      </c>
      <c r="T7" s="46">
        <f t="shared" ref="T7:T45" si="1">+S7*550</f>
        <v>46961.538461538461</v>
      </c>
      <c r="U7" t="str">
        <f>+IF(K7&lt;&gt;"",K7,"")</f>
        <v/>
      </c>
      <c r="V7">
        <f>+RANK(H7,$H$6:$H$1048576,1)</f>
        <v>24</v>
      </c>
      <c r="W7"/>
      <c r="X7"/>
      <c r="Z7" t="str">
        <f>TRIM(Tabla2[[#This Row],[CONDUCTOR]])</f>
        <v>CARDONA EDISON</v>
      </c>
    </row>
    <row r="8" spans="1:32" x14ac:dyDescent="0.2">
      <c r="B8" s="136" t="s">
        <v>122</v>
      </c>
      <c r="C8" s="166">
        <v>2</v>
      </c>
      <c r="D8" s="151" t="s">
        <v>152</v>
      </c>
      <c r="E8" s="150">
        <v>8</v>
      </c>
      <c r="F8" s="150">
        <v>0.5</v>
      </c>
      <c r="G8" s="165">
        <v>135</v>
      </c>
      <c r="H8" s="226">
        <f>+G8/E8</f>
        <v>16.875</v>
      </c>
      <c r="I8" s="227">
        <f>+(SUM($G$7:$G$1048576)/SUM($E$7:$E$1048576))*E8</f>
        <v>144.61538461538461</v>
      </c>
      <c r="J8" s="363">
        <f>+Tabla2[[#This Row],[PROM DE USUARIOS]]-Tabla2[[#This Row],[USUARIOS]]</f>
        <v>9.6153846153846132</v>
      </c>
      <c r="K8" s="151" t="s">
        <v>199</v>
      </c>
      <c r="L8" s="163">
        <f>Q8*585</f>
        <v>74924.977499999994</v>
      </c>
      <c r="M8" s="162">
        <f>+VLOOKUP(C8,Lista!B:D,3,0)</f>
        <v>0</v>
      </c>
      <c r="N8" s="164">
        <f t="shared" si="0"/>
        <v>8600</v>
      </c>
      <c r="O8" s="164">
        <f>Tabla2[[#This Row],[USUARIOS]]*150</f>
        <v>20250</v>
      </c>
      <c r="P8" s="50">
        <f>+(E8*1)-W8</f>
        <v>7.5</v>
      </c>
      <c r="Q8" s="47">
        <f>+I8-P8-X8</f>
        <v>128.07688461538461</v>
      </c>
      <c r="R8" s="49">
        <f>+G8-P8</f>
        <v>127.5</v>
      </c>
      <c r="S8" s="51">
        <f>+E8*$T$3</f>
        <v>136.61538461538461</v>
      </c>
      <c r="T8" s="46">
        <f t="shared" si="1"/>
        <v>75138.461538461532</v>
      </c>
      <c r="U8" t="str">
        <f>+IF(K8&lt;&gt;"",K8,"")</f>
        <v xml:space="preserve">Se descuenta 0.5 viaje de 1 36 pm ya que NO ingresa al 13. </v>
      </c>
      <c r="V8">
        <f>+RANK(H8,$H$6:$H$1048576,1)</f>
        <v>13</v>
      </c>
      <c r="W8">
        <v>0.5</v>
      </c>
      <c r="X8">
        <v>9.0385000000000009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163</v>
      </c>
      <c r="E9" s="150">
        <v>10</v>
      </c>
      <c r="F9" s="150">
        <v>0</v>
      </c>
      <c r="G9" s="146">
        <v>177</v>
      </c>
      <c r="H9" s="226">
        <f>+G9/E9</f>
        <v>17.7</v>
      </c>
      <c r="I9" s="364">
        <f>+(SUM($G$7:$G$1048576)/SUM($E$7:$E$1048576))*E9</f>
        <v>180.76923076923077</v>
      </c>
      <c r="J9" s="363">
        <f>+Tabla2[[#This Row],[PROM DE USUARIOS]]-Tabla2[[#This Row],[USUARIOS]]</f>
        <v>3.7692307692307736</v>
      </c>
      <c r="K9" s="151"/>
      <c r="L9" s="163">
        <f>Q9*585</f>
        <v>99900</v>
      </c>
      <c r="M9" s="162" t="str">
        <f>+VLOOKUP(C9,Lista!B:D,3,0)</f>
        <v>MICRO</v>
      </c>
      <c r="N9" s="164">
        <f t="shared" si="0"/>
        <v>8600</v>
      </c>
      <c r="O9" s="164">
        <f>Tabla2[[#This Row],[USUARIOS]]*150</f>
        <v>26550</v>
      </c>
      <c r="P9" s="50">
        <f>+(E9*1)-W9</f>
        <v>10</v>
      </c>
      <c r="Q9" s="47">
        <f>+I9-P9-X9</f>
        <v>170.76923076923077</v>
      </c>
      <c r="R9" s="49">
        <f>+G9-P9</f>
        <v>167</v>
      </c>
      <c r="S9" s="51">
        <f>+E9*$T$3</f>
        <v>170.76923076923077</v>
      </c>
      <c r="T9" s="46">
        <f t="shared" si="1"/>
        <v>93923.076923076922</v>
      </c>
      <c r="U9" t="str">
        <f>+IF(K9&lt;&gt;"",K9,"")</f>
        <v/>
      </c>
      <c r="V9">
        <f>+RANK(H9,$H$6:$H$1048576,1)</f>
        <v>17</v>
      </c>
      <c r="Z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156</v>
      </c>
      <c r="E10" s="150">
        <v>9</v>
      </c>
      <c r="F10" s="150">
        <v>0</v>
      </c>
      <c r="G10" s="165">
        <v>163</v>
      </c>
      <c r="H10" s="226">
        <f>+G10/E10</f>
        <v>18.111111111111111</v>
      </c>
      <c r="I10" s="227">
        <f>+(SUM($G$7:$G$1048576)/SUM($E$7:$E$1048576))*E10</f>
        <v>162.69230769230768</v>
      </c>
      <c r="J10" s="363">
        <f>+Tabla2[[#This Row],[PROM DE USUARIOS]]-Tabla2[[#This Row],[USUARIOS]]</f>
        <v>-0.30769230769232081</v>
      </c>
      <c r="K10" s="151"/>
      <c r="L10" s="163">
        <f>Q10*585</f>
        <v>89909.999999999985</v>
      </c>
      <c r="M10" s="162" t="str">
        <f>+VLOOKUP(C10,Lista!B:D,3,0)</f>
        <v>MICRO</v>
      </c>
      <c r="N10" s="164">
        <f t="shared" si="0"/>
        <v>8600</v>
      </c>
      <c r="O10" s="164">
        <f>Tabla2[[#This Row],[USUARIOS]]*150</f>
        <v>24450</v>
      </c>
      <c r="P10" s="50">
        <f>+(E10*1)-W10</f>
        <v>9</v>
      </c>
      <c r="Q10" s="47">
        <f>+I10-P10-X10</f>
        <v>153.69230769230768</v>
      </c>
      <c r="R10" s="49">
        <f>+G10-P10</f>
        <v>154</v>
      </c>
      <c r="S10" s="51">
        <f>+E10*$T$3</f>
        <v>153.69230769230768</v>
      </c>
      <c r="T10" s="46">
        <f t="shared" si="1"/>
        <v>84530.76923076922</v>
      </c>
      <c r="U10" t="str">
        <f>+IF(K10&lt;&gt;"",K10,"")</f>
        <v/>
      </c>
      <c r="V10">
        <f>+RANK(H10,$H$6:$H$1048576,1)</f>
        <v>22</v>
      </c>
      <c r="Z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153</v>
      </c>
      <c r="E11" s="150">
        <v>10</v>
      </c>
      <c r="F11" s="150">
        <v>0</v>
      </c>
      <c r="G11" s="146">
        <v>192</v>
      </c>
      <c r="H11" s="226">
        <f>+G11/E11</f>
        <v>19.2</v>
      </c>
      <c r="I11" s="364">
        <f>+(SUM($G$7:$G$1048576)/SUM($E$7:$E$1048576))*E11</f>
        <v>180.76923076923077</v>
      </c>
      <c r="J11" s="363">
        <f>+Tabla2[[#This Row],[PROM DE USUARIOS]]-Tabla2[[#This Row],[USUARIOS]]</f>
        <v>-11.230769230769226</v>
      </c>
      <c r="K11" s="151"/>
      <c r="L11" s="163">
        <f>Q11*585</f>
        <v>99900</v>
      </c>
      <c r="M11" s="162">
        <f>+VLOOKUP(C11,Lista!B:D,3,0)</f>
        <v>0</v>
      </c>
      <c r="N11" s="164">
        <f t="shared" si="0"/>
        <v>8600</v>
      </c>
      <c r="O11" s="164">
        <f>Tabla2[[#This Row],[USUARIOS]]*150</f>
        <v>28800</v>
      </c>
      <c r="P11" s="50">
        <f>+(E11*1)-W11</f>
        <v>10</v>
      </c>
      <c r="Q11" s="47">
        <f>+I11-P11-X11</f>
        <v>170.76923076923077</v>
      </c>
      <c r="R11" s="49">
        <f>+G11-P11</f>
        <v>182</v>
      </c>
      <c r="S11" s="51">
        <f>+E11*$T$3</f>
        <v>170.76923076923077</v>
      </c>
      <c r="T11" s="46">
        <f t="shared" si="1"/>
        <v>93923.076923076922</v>
      </c>
      <c r="U11" t="str">
        <f>+IF(K11&lt;&gt;"",K11,"")</f>
        <v/>
      </c>
      <c r="V11">
        <f>+RANK(H11,$H$6:$H$1048576,1)</f>
        <v>27</v>
      </c>
      <c r="Z11" t="str">
        <f>TRIM(Tabla2[[#This Row],[CONDUCTOR]])</f>
        <v>LONDOÑO LOPERA DUVAN ANDRES</v>
      </c>
    </row>
    <row r="12" spans="1:32" x14ac:dyDescent="0.2">
      <c r="B12" s="136" t="s">
        <v>122</v>
      </c>
      <c r="C12" s="137">
        <v>6</v>
      </c>
      <c r="D12" s="151" t="s">
        <v>155</v>
      </c>
      <c r="E12" s="150">
        <v>11</v>
      </c>
      <c r="F12" s="150">
        <v>0</v>
      </c>
      <c r="G12" s="146">
        <v>156</v>
      </c>
      <c r="H12" s="226">
        <f>+G12/E12</f>
        <v>14.181818181818182</v>
      </c>
      <c r="I12" s="227">
        <f>+(SUM($G$7:$G$1048576)/SUM($E$7:$E$1048576))*E12</f>
        <v>198.84615384615384</v>
      </c>
      <c r="J12" s="363">
        <f>+Tabla2[[#This Row],[PROM DE USUARIOS]]-Tabla2[[#This Row],[USUARIOS]]</f>
        <v>42.84615384615384</v>
      </c>
      <c r="K12" s="151" t="s">
        <v>187</v>
      </c>
      <c r="L12" s="163">
        <f>Q12*585</f>
        <v>109890</v>
      </c>
      <c r="M12" s="162" t="str">
        <f>+VLOOKUP(C12,Lista!B:D,3,0)</f>
        <v>MICRO</v>
      </c>
      <c r="N12" s="164">
        <f t="shared" si="0"/>
        <v>8600</v>
      </c>
      <c r="O12" s="164">
        <f>Tabla2[[#This Row],[USUARIOS]]*150</f>
        <v>23400</v>
      </c>
      <c r="P12" s="50">
        <f>+(E12*1)-W12</f>
        <v>11</v>
      </c>
      <c r="Q12" s="47">
        <f>+I12-P12-X12</f>
        <v>187.84615384615384</v>
      </c>
      <c r="R12" s="49">
        <f>+G12-P12</f>
        <v>145</v>
      </c>
      <c r="S12" s="51">
        <f>+E12*$T$3</f>
        <v>187.84615384615384</v>
      </c>
      <c r="T12" s="46">
        <f t="shared" si="1"/>
        <v>103315.38461538461</v>
      </c>
      <c r="U12" t="str">
        <f>+IF(K12&lt;&gt;"",K12,"")</f>
        <v xml:space="preserve">1 Descuento (Despachador) </v>
      </c>
      <c r="V12">
        <f>+RANK(H12,$H$6:$H$1048576,1)</f>
        <v>3</v>
      </c>
      <c r="Z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7</v>
      </c>
      <c r="D13" s="151" t="s">
        <v>148</v>
      </c>
      <c r="E13" s="150">
        <v>10</v>
      </c>
      <c r="F13" s="150">
        <v>0</v>
      </c>
      <c r="G13" s="165">
        <v>191</v>
      </c>
      <c r="H13" s="226">
        <f>+G13/E13</f>
        <v>19.100000000000001</v>
      </c>
      <c r="I13" s="227">
        <f>+(SUM($G$7:$G$1048576)/SUM($E$7:$E$1048576))*E13</f>
        <v>180.76923076923077</v>
      </c>
      <c r="J13" s="363">
        <f>+Tabla2[[#This Row],[PROM DE USUARIOS]]-Tabla2[[#This Row],[USUARIOS]]</f>
        <v>-10.230769230769226</v>
      </c>
      <c r="K13" s="151" t="s">
        <v>187</v>
      </c>
      <c r="L13" s="163">
        <f>Q13*585</f>
        <v>99900</v>
      </c>
      <c r="M13" s="162">
        <f>+VLOOKUP(C13,Lista!B:D,3,0)</f>
        <v>0</v>
      </c>
      <c r="N13" s="164">
        <f t="shared" si="0"/>
        <v>8600</v>
      </c>
      <c r="O13" s="164">
        <f>Tabla2[[#This Row],[USUARIOS]]*150</f>
        <v>28650</v>
      </c>
      <c r="P13" s="50">
        <f>+(E13*1)-W13</f>
        <v>10</v>
      </c>
      <c r="Q13" s="47">
        <f>+I13-P13-X13</f>
        <v>170.76923076923077</v>
      </c>
      <c r="R13" s="49">
        <f>+G13-P13</f>
        <v>181</v>
      </c>
      <c r="S13" s="51">
        <f>+E13*$T$3</f>
        <v>170.76923076923077</v>
      </c>
      <c r="T13" s="46">
        <f t="shared" si="1"/>
        <v>93923.076923076922</v>
      </c>
      <c r="U13" t="str">
        <f>+IF(K13&lt;&gt;"",K13,"")</f>
        <v xml:space="preserve">1 Descuento (Despachador) </v>
      </c>
      <c r="V13">
        <f>+RANK(H13,$H$6:$H$1048576,1)</f>
        <v>25</v>
      </c>
      <c r="Z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182</v>
      </c>
      <c r="E14" s="150">
        <v>10</v>
      </c>
      <c r="F14" s="150">
        <v>0</v>
      </c>
      <c r="G14" s="146">
        <v>180</v>
      </c>
      <c r="H14" s="226">
        <f>+G14/E14</f>
        <v>18</v>
      </c>
      <c r="I14" s="364">
        <f>+(SUM($G$7:$G$1048576)/SUM($E$7:$E$1048576))*E14</f>
        <v>180.76923076923077</v>
      </c>
      <c r="J14" s="363">
        <f>+Tabla2[[#This Row],[PROM DE USUARIOS]]-Tabla2[[#This Row],[USUARIOS]]</f>
        <v>0.7692307692307736</v>
      </c>
      <c r="K14" s="151"/>
      <c r="L14" s="163">
        <f>Q14*585</f>
        <v>99900</v>
      </c>
      <c r="M14" s="162">
        <f>+VLOOKUP(C14,Lista!B:D,3,0)</f>
        <v>0</v>
      </c>
      <c r="N14" s="164">
        <f t="shared" si="0"/>
        <v>8600</v>
      </c>
      <c r="O14" s="164">
        <f>Tabla2[[#This Row],[USUARIOS]]*150</f>
        <v>27000</v>
      </c>
      <c r="P14" s="50">
        <f>+(E14*1)-W14</f>
        <v>10</v>
      </c>
      <c r="Q14" s="47">
        <f>+I14-P14-X14</f>
        <v>170.76923076923077</v>
      </c>
      <c r="R14" s="49">
        <f>+G14-P14</f>
        <v>170</v>
      </c>
      <c r="S14" s="51">
        <f>+E14*$T$3</f>
        <v>170.76923076923077</v>
      </c>
      <c r="T14" s="46">
        <f t="shared" si="1"/>
        <v>93923.076923076922</v>
      </c>
      <c r="U14" t="str">
        <f>+IF(K14&lt;&gt;"",K14,"")</f>
        <v/>
      </c>
      <c r="V14">
        <f>+RANK(H14,$H$6:$H$1048576,1)</f>
        <v>20</v>
      </c>
      <c r="Z14" t="str">
        <f>TRIM(Tabla2[[#This Row],[CONDUCTOR]])</f>
        <v>GONZALEZ PEREZ RAFAEL JOSE</v>
      </c>
    </row>
    <row r="15" spans="1:32" x14ac:dyDescent="0.2">
      <c r="B15" s="136" t="s">
        <v>121</v>
      </c>
      <c r="C15" s="137">
        <v>9</v>
      </c>
      <c r="D15" s="151" t="s">
        <v>151</v>
      </c>
      <c r="E15" s="150">
        <v>11</v>
      </c>
      <c r="F15" s="150">
        <v>0</v>
      </c>
      <c r="G15" s="146">
        <v>204</v>
      </c>
      <c r="H15" s="226">
        <f>+G15/E15</f>
        <v>18.545454545454547</v>
      </c>
      <c r="I15" s="227">
        <f>+(SUM($G$7:$G$1048576)/SUM($E$7:$E$1048576))*E15</f>
        <v>198.84615384615384</v>
      </c>
      <c r="J15" s="363">
        <f>+Tabla2[[#This Row],[PROM DE USUARIOS]]-Tabla2[[#This Row],[USUARIOS]]</f>
        <v>-5.1538461538461604</v>
      </c>
      <c r="K15" s="151"/>
      <c r="L15" s="163">
        <f>Q15*585</f>
        <v>109890</v>
      </c>
      <c r="M15" s="162" t="str">
        <f>+VLOOKUP(C15,Lista!B:D,3,0)</f>
        <v>MICRO</v>
      </c>
      <c r="N15" s="164">
        <f t="shared" si="0"/>
        <v>8600</v>
      </c>
      <c r="O15" s="164">
        <f>Tabla2[[#This Row],[USUARIOS]]*150</f>
        <v>30600</v>
      </c>
      <c r="P15" s="50">
        <f>+(E15*1)-W15</f>
        <v>11</v>
      </c>
      <c r="Q15" s="47">
        <f>+I15-P15-X15</f>
        <v>187.84615384615384</v>
      </c>
      <c r="R15" s="49">
        <f>+G15-P15</f>
        <v>193</v>
      </c>
      <c r="S15" s="51">
        <f>+E15*$T$3</f>
        <v>187.84615384615384</v>
      </c>
      <c r="T15" s="46">
        <f t="shared" si="1"/>
        <v>103315.38461538461</v>
      </c>
      <c r="U15" t="str">
        <f>+IF(K15&lt;&gt;"",K15,"")</f>
        <v/>
      </c>
      <c r="V15">
        <f>+RANK(H15,$H$6:$H$1048576,1)</f>
        <v>23</v>
      </c>
      <c r="Z15" t="str">
        <f>TRIM(Tabla2[[#This Row],[CONDUCTOR]])</f>
        <v>CARTAGENA RAMIREZ FREDY ALONSO</v>
      </c>
    </row>
    <row r="16" spans="1:32" x14ac:dyDescent="0.2">
      <c r="B16" s="136" t="s">
        <v>121</v>
      </c>
      <c r="C16" s="166">
        <v>11</v>
      </c>
      <c r="D16" s="151" t="s">
        <v>184</v>
      </c>
      <c r="E16" s="150">
        <v>4</v>
      </c>
      <c r="F16" s="150">
        <v>0</v>
      </c>
      <c r="G16" s="146">
        <v>86</v>
      </c>
      <c r="H16" s="226">
        <f>+G16/E16</f>
        <v>21.5</v>
      </c>
      <c r="I16" s="364">
        <f>+(SUM($G$7:$G$1048576)/SUM($E$7:$E$1048576))*E16</f>
        <v>72.307692307692307</v>
      </c>
      <c r="J16" s="363">
        <f>+Tabla2[[#This Row],[PROM DE USUARIOS]]-Tabla2[[#This Row],[USUARIOS]]</f>
        <v>-13.692307692307693</v>
      </c>
      <c r="K16" s="151"/>
      <c r="L16" s="163">
        <f>Q16*585</f>
        <v>39960</v>
      </c>
      <c r="M16" s="162" t="str">
        <f>+VLOOKUP(C16,Lista!B:D,3,0)</f>
        <v>MICRO</v>
      </c>
      <c r="N16" s="164">
        <f t="shared" si="0"/>
        <v>8600</v>
      </c>
      <c r="O16" s="164">
        <f>Tabla2[[#This Row],[USUARIOS]]*150</f>
        <v>12900</v>
      </c>
      <c r="P16" s="50">
        <f>+(E16*1)-W16</f>
        <v>4</v>
      </c>
      <c r="Q16" s="47">
        <f>+I16-P16-X16</f>
        <v>68.307692307692307</v>
      </c>
      <c r="R16" s="49">
        <f>+G16-P16</f>
        <v>82</v>
      </c>
      <c r="S16" s="51">
        <f>+E16*$T$3</f>
        <v>68.307692307692307</v>
      </c>
      <c r="T16" s="46">
        <f t="shared" si="1"/>
        <v>37569.230769230766</v>
      </c>
      <c r="U16" t="str">
        <f>+IF(K16&lt;&gt;"",K16,"")</f>
        <v/>
      </c>
      <c r="V16">
        <f>+RANK(H16,$H$6:$H$1048576,1)</f>
        <v>36</v>
      </c>
      <c r="Z16" t="str">
        <f>TRIM(Tabla2[[#This Row],[CONDUCTOR]])</f>
        <v>YEPES TORRES JHON ALEXANDER</v>
      </c>
    </row>
    <row r="17" spans="2:26" x14ac:dyDescent="0.2">
      <c r="B17" s="136" t="s">
        <v>122</v>
      </c>
      <c r="C17" s="166">
        <v>12</v>
      </c>
      <c r="D17" s="151" t="s">
        <v>161</v>
      </c>
      <c r="E17" s="150">
        <v>10</v>
      </c>
      <c r="F17" s="150">
        <v>0</v>
      </c>
      <c r="G17" s="146">
        <v>191</v>
      </c>
      <c r="H17" s="226">
        <f>+G17/E17</f>
        <v>19.100000000000001</v>
      </c>
      <c r="I17" s="364">
        <f>+(SUM($G$7:$G$1048576)/SUM($E$7:$E$1048576))*E17</f>
        <v>180.76923076923077</v>
      </c>
      <c r="J17" s="363">
        <f>+Tabla2[[#This Row],[PROM DE USUARIOS]]-Tabla2[[#This Row],[USUARIOS]]</f>
        <v>-10.230769230769226</v>
      </c>
      <c r="K17" s="151"/>
      <c r="L17" s="163">
        <f>Q17*585</f>
        <v>99900</v>
      </c>
      <c r="M17" s="162">
        <f>+VLOOKUP(C17,Lista!B:D,3,0)</f>
        <v>0</v>
      </c>
      <c r="N17" s="164">
        <f t="shared" si="0"/>
        <v>8600</v>
      </c>
      <c r="O17" s="164">
        <f>Tabla2[[#This Row],[USUARIOS]]*150</f>
        <v>28650</v>
      </c>
      <c r="P17" s="50">
        <f>+(E17*1)-W17</f>
        <v>10</v>
      </c>
      <c r="Q17" s="47">
        <f>+I17-P17-X17</f>
        <v>170.76923076923077</v>
      </c>
      <c r="R17" s="49">
        <f>+G17-P17</f>
        <v>181</v>
      </c>
      <c r="S17" s="51">
        <f>+E17*$T$3</f>
        <v>170.76923076923077</v>
      </c>
      <c r="T17" s="46">
        <f t="shared" si="1"/>
        <v>93923.076923076922</v>
      </c>
      <c r="U17" t="str">
        <f>+IF(K17&lt;&gt;"",K17,"")</f>
        <v/>
      </c>
      <c r="V17">
        <f>+RANK(H17,$H$6:$H$1048576,1)</f>
        <v>25</v>
      </c>
      <c r="Z17" t="str">
        <f>TRIM(Tabla2[[#This Row],[CONDUCTOR]])</f>
        <v>DAVID HENRY GIOVANNY</v>
      </c>
    </row>
    <row r="18" spans="2:26" x14ac:dyDescent="0.2">
      <c r="B18" s="136" t="s">
        <v>121</v>
      </c>
      <c r="C18" s="166">
        <v>13</v>
      </c>
      <c r="D18" s="151" t="s">
        <v>178</v>
      </c>
      <c r="E18" s="150">
        <v>10</v>
      </c>
      <c r="F18" s="150">
        <v>0</v>
      </c>
      <c r="G18" s="146">
        <v>203</v>
      </c>
      <c r="H18" s="226">
        <f>+G18/E18</f>
        <v>20.3</v>
      </c>
      <c r="I18" s="364">
        <f>+(SUM($G$7:$G$1048576)/SUM($E$7:$E$1048576))*E18</f>
        <v>180.76923076923077</v>
      </c>
      <c r="J18" s="363">
        <f>+Tabla2[[#This Row],[PROM DE USUARIOS]]-Tabla2[[#This Row],[USUARIOS]]</f>
        <v>-22.230769230769226</v>
      </c>
      <c r="K18" s="151"/>
      <c r="L18" s="163">
        <f>Q18*585</f>
        <v>99900</v>
      </c>
      <c r="M18" s="162" t="str">
        <f>+VLOOKUP(C18,Lista!B:D,3,0)</f>
        <v>MICRO</v>
      </c>
      <c r="N18" s="164">
        <f t="shared" si="0"/>
        <v>8600</v>
      </c>
      <c r="O18" s="164">
        <f>Tabla2[[#This Row],[USUARIOS]]*150</f>
        <v>30450</v>
      </c>
      <c r="P18" s="50">
        <f>+(E18*1)-W18</f>
        <v>10</v>
      </c>
      <c r="Q18" s="47">
        <f>+I18-P18-X18</f>
        <v>170.76923076923077</v>
      </c>
      <c r="R18" s="49">
        <f>+G18-P18</f>
        <v>193</v>
      </c>
      <c r="S18" s="51">
        <f>+E18*$T$3</f>
        <v>170.76923076923077</v>
      </c>
      <c r="T18" s="46">
        <f t="shared" si="1"/>
        <v>93923.076923076922</v>
      </c>
      <c r="U18" t="str">
        <f>+IF(K18&lt;&gt;"",K18,"")</f>
        <v/>
      </c>
      <c r="V18">
        <f>+RANK(H18,$H$6:$H$1048576,1)</f>
        <v>32</v>
      </c>
      <c r="Z18" t="str">
        <f>TRIM(Tabla2[[#This Row],[CONDUCTOR]])</f>
        <v>PARRA VILLA YUBER ALONSO</v>
      </c>
    </row>
    <row r="19" spans="2:26" x14ac:dyDescent="0.2">
      <c r="B19" s="136" t="s">
        <v>122</v>
      </c>
      <c r="C19" s="166">
        <v>14</v>
      </c>
      <c r="D19" s="151" t="s">
        <v>120</v>
      </c>
      <c r="E19" s="150">
        <v>4</v>
      </c>
      <c r="F19" s="150">
        <v>0</v>
      </c>
      <c r="G19" s="165">
        <v>59</v>
      </c>
      <c r="H19" s="226">
        <f>+G19/E19</f>
        <v>14.75</v>
      </c>
      <c r="I19" s="227">
        <f>+(SUM($G$7:$G$1048576)/SUM($E$7:$E$1048576))*E19</f>
        <v>72.307692307692307</v>
      </c>
      <c r="J19" s="363">
        <f>+Tabla2[[#This Row],[PROM DE USUARIOS]]-Tabla2[[#This Row],[USUARIOS]]</f>
        <v>13.307692307692307</v>
      </c>
      <c r="K19" s="151"/>
      <c r="L19" s="163">
        <f>Q19*585</f>
        <v>39960</v>
      </c>
      <c r="M19" s="162">
        <f>+VLOOKUP(C19,Lista!B:D,3,0)</f>
        <v>0</v>
      </c>
      <c r="N19" s="164">
        <f t="shared" si="0"/>
        <v>8600</v>
      </c>
      <c r="O19" s="164">
        <f>Tabla2[[#This Row],[USUARIOS]]*150</f>
        <v>8850</v>
      </c>
      <c r="P19" s="50">
        <f>+(E19*1)-W19</f>
        <v>4</v>
      </c>
      <c r="Q19" s="47">
        <f>+I19-P19-X19</f>
        <v>68.307692307692307</v>
      </c>
      <c r="R19" s="49">
        <f>+G19-P19</f>
        <v>55</v>
      </c>
      <c r="S19" s="51">
        <f>+E19*$T$3</f>
        <v>68.307692307692307</v>
      </c>
      <c r="T19" s="46">
        <f t="shared" si="1"/>
        <v>37569.230769230766</v>
      </c>
      <c r="U19" t="str">
        <f>+IF(K19&lt;&gt;"",K19,"")</f>
        <v/>
      </c>
      <c r="V19">
        <f>+RANK(H19,$H$6:$H$1048576,1)</f>
        <v>5</v>
      </c>
      <c r="Z19" t="str">
        <f>TRIM(Tabla2[[#This Row],[CONDUCTOR]])</f>
        <v>DURANGO PAEZ GILDARDO</v>
      </c>
    </row>
    <row r="20" spans="2:26" x14ac:dyDescent="0.2">
      <c r="B20" s="136" t="s">
        <v>121</v>
      </c>
      <c r="C20" s="166">
        <v>15</v>
      </c>
      <c r="D20" s="151" t="s">
        <v>157</v>
      </c>
      <c r="E20" s="150">
        <v>10</v>
      </c>
      <c r="F20" s="150">
        <v>0</v>
      </c>
      <c r="G20" s="146">
        <v>162</v>
      </c>
      <c r="H20" s="226">
        <f>+G20/E20</f>
        <v>16.2</v>
      </c>
      <c r="I20" s="364">
        <f>+(SUM($G$7:$G$1048576)/SUM($E$7:$E$1048576))*E20</f>
        <v>180.76923076923077</v>
      </c>
      <c r="J20" s="363">
        <f>+Tabla2[[#This Row],[PROM DE USUARIOS]]-Tabla2[[#This Row],[USUARIOS]]</f>
        <v>18.769230769230774</v>
      </c>
      <c r="K20" s="151"/>
      <c r="L20" s="163">
        <f>Q20*585</f>
        <v>99900</v>
      </c>
      <c r="M20" s="162">
        <f>+VLOOKUP(C20,Lista!B:D,3,0)</f>
        <v>0</v>
      </c>
      <c r="N20" s="164">
        <f t="shared" si="0"/>
        <v>8600</v>
      </c>
      <c r="O20" s="164">
        <f>Tabla2[[#This Row],[USUARIOS]]*150</f>
        <v>24300</v>
      </c>
      <c r="P20" s="50">
        <f>+(E20*1)-W20</f>
        <v>10</v>
      </c>
      <c r="Q20" s="47">
        <f>+I20-P20-X20</f>
        <v>170.76923076923077</v>
      </c>
      <c r="R20" s="49">
        <f>+G20-P20</f>
        <v>152</v>
      </c>
      <c r="S20" s="51">
        <f>+E20*$T$3</f>
        <v>170.76923076923077</v>
      </c>
      <c r="T20" s="46">
        <f t="shared" si="1"/>
        <v>93923.076923076922</v>
      </c>
      <c r="U20" t="str">
        <f>+IF(K20&lt;&gt;"",K20,"")</f>
        <v/>
      </c>
      <c r="V20">
        <f>+RANK(H20,$H$6:$H$1048576,1)</f>
        <v>10</v>
      </c>
      <c r="Z20" t="str">
        <f>TRIM(Tabla2[[#This Row],[CONDUCTOR]])</f>
        <v>HERNANDEZ MACIAS GILBERTO</v>
      </c>
    </row>
    <row r="21" spans="2:26" x14ac:dyDescent="0.2">
      <c r="B21" s="136" t="s">
        <v>121</v>
      </c>
      <c r="C21" s="166">
        <v>16</v>
      </c>
      <c r="D21" s="151" t="s">
        <v>186</v>
      </c>
      <c r="E21" s="150">
        <v>9</v>
      </c>
      <c r="F21" s="150">
        <v>0</v>
      </c>
      <c r="G21" s="165">
        <v>178</v>
      </c>
      <c r="H21" s="226">
        <f>+G21/E21</f>
        <v>19.777777777777779</v>
      </c>
      <c r="I21" s="227">
        <f>+(SUM($G$7:$G$1048576)/SUM($E$7:$E$1048576))*E21</f>
        <v>162.69230769230768</v>
      </c>
      <c r="J21" s="363">
        <f>+Tabla2[[#This Row],[PROM DE USUARIOS]]-Tabla2[[#This Row],[USUARIOS]]</f>
        <v>-15.307692307692321</v>
      </c>
      <c r="K21" s="151"/>
      <c r="L21" s="163">
        <f>Q21*585</f>
        <v>89909.999999999985</v>
      </c>
      <c r="M21" s="162" t="str">
        <f>+VLOOKUP(C21,Lista!B:D,3,0)</f>
        <v>MICRO</v>
      </c>
      <c r="N21" s="164">
        <f t="shared" si="0"/>
        <v>8600</v>
      </c>
      <c r="O21" s="164">
        <f>Tabla2[[#This Row],[USUARIOS]]*150</f>
        <v>26700</v>
      </c>
      <c r="P21" s="50">
        <f>+(E21*1)-W21</f>
        <v>9</v>
      </c>
      <c r="Q21" s="47">
        <f>+I21-P21-X21</f>
        <v>153.69230769230768</v>
      </c>
      <c r="R21" s="49">
        <f>+G21-P21</f>
        <v>169</v>
      </c>
      <c r="S21" s="51">
        <f>+E21*$T$3</f>
        <v>153.69230769230768</v>
      </c>
      <c r="T21" s="46">
        <f t="shared" si="1"/>
        <v>84530.76923076922</v>
      </c>
      <c r="U21" t="str">
        <f>+IF(K21&lt;&gt;"",K21,"")</f>
        <v/>
      </c>
      <c r="V21">
        <f>+RANK(H21,$H$6:$H$1048576,1)</f>
        <v>30</v>
      </c>
      <c r="Z21" t="str">
        <f>TRIM(Tabla2[[#This Row],[CONDUCTOR]])</f>
        <v>PEREZ GARCIA JUAN ESTEBAN</v>
      </c>
    </row>
    <row r="22" spans="2:26" s="2" customFormat="1" ht="22.5" x14ac:dyDescent="0.2">
      <c r="B22" s="136" t="s">
        <v>122</v>
      </c>
      <c r="C22" s="166">
        <v>18</v>
      </c>
      <c r="D22" s="136" t="s">
        <v>159</v>
      </c>
      <c r="E22" s="150">
        <v>9</v>
      </c>
      <c r="F22" s="150">
        <v>0.5</v>
      </c>
      <c r="G22" s="376">
        <v>160</v>
      </c>
      <c r="H22" s="377">
        <f>+G22/E22</f>
        <v>17.777777777777779</v>
      </c>
      <c r="I22" s="378">
        <f>+(SUM($G$7:$G$1048576)/SUM($E$7:$E$1048576))*E22</f>
        <v>162.69230769230768</v>
      </c>
      <c r="J22" s="379">
        <f>+Tabla2[[#This Row],[PROM DE USUARIOS]]-Tabla2[[#This Row],[USUARIOS]]</f>
        <v>2.6923076923076792</v>
      </c>
      <c r="K22" s="380" t="s">
        <v>197</v>
      </c>
      <c r="L22" s="163">
        <f>Q22*585</f>
        <v>84914.977499999994</v>
      </c>
      <c r="M22" s="162" t="str">
        <f>+VLOOKUP(C22,Lista!B:D,3,0)</f>
        <v>MICRO</v>
      </c>
      <c r="N22" s="164">
        <f t="shared" si="0"/>
        <v>8600</v>
      </c>
      <c r="O22" s="164">
        <f>Tabla2[[#This Row],[USUARIOS]]*150</f>
        <v>24000</v>
      </c>
      <c r="P22" s="50">
        <f>+(E22*1)-W22</f>
        <v>8.5</v>
      </c>
      <c r="Q22" s="47">
        <f>+I22-P22-X22</f>
        <v>145.15380769230768</v>
      </c>
      <c r="R22" s="49">
        <f>+G22-P22</f>
        <v>151.5</v>
      </c>
      <c r="S22" s="51">
        <f>+E22*$T$3</f>
        <v>153.69230769230768</v>
      </c>
      <c r="T22" s="46">
        <f t="shared" si="1"/>
        <v>84530.76923076922</v>
      </c>
      <c r="U22" s="2" t="str">
        <f>+IF(K22&lt;&gt;"",K22,"")</f>
        <v xml:space="preserve">Se descuenta 0.5 viaje de 9 54 am ya que NO ingresa al 13.     1 Descuento (Usuario desubicado) </v>
      </c>
      <c r="V22" s="2">
        <f>+RANK(H22,$H$6:$H$1048576,1)</f>
        <v>18</v>
      </c>
      <c r="W22" s="2">
        <v>0.5</v>
      </c>
      <c r="X22">
        <v>9.0385000000000009</v>
      </c>
      <c r="Z22" s="2" t="str">
        <f>TRIM(Tabla2[[#This Row],[CONDUCTOR]])</f>
        <v>ALBERTO ARISTIZABAL RAFAEL</v>
      </c>
    </row>
    <row r="23" spans="2:26" s="2" customFormat="1" ht="22.5" x14ac:dyDescent="0.2">
      <c r="B23" s="136" t="s">
        <v>121</v>
      </c>
      <c r="C23" s="166">
        <v>19</v>
      </c>
      <c r="D23" s="136" t="s">
        <v>183</v>
      </c>
      <c r="E23" s="150">
        <v>11</v>
      </c>
      <c r="F23" s="150">
        <v>0.5</v>
      </c>
      <c r="G23" s="381">
        <v>176</v>
      </c>
      <c r="H23" s="377">
        <f>+G23/E23</f>
        <v>16</v>
      </c>
      <c r="I23" s="378">
        <f>+(SUM($G$7:$G$1048576)/SUM($E$7:$E$1048576))*E23</f>
        <v>198.84615384615384</v>
      </c>
      <c r="J23" s="379">
        <f>+Tabla2[[#This Row],[PROM DE USUARIOS]]-Tabla2[[#This Row],[USUARIOS]]</f>
        <v>22.84615384615384</v>
      </c>
      <c r="K23" s="380" t="s">
        <v>200</v>
      </c>
      <c r="L23" s="163">
        <f>Q23*585</f>
        <v>104894.97749999999</v>
      </c>
      <c r="M23" s="162" t="str">
        <f>+VLOOKUP(C23,Lista!B:D,3,0)</f>
        <v>MICRO</v>
      </c>
      <c r="N23" s="164">
        <f t="shared" si="0"/>
        <v>8600</v>
      </c>
      <c r="O23" s="164">
        <f>Tabla2[[#This Row],[USUARIOS]]*150</f>
        <v>26400</v>
      </c>
      <c r="P23" s="50">
        <f>+(E23*1)-W23</f>
        <v>10.5</v>
      </c>
      <c r="Q23" s="47">
        <f>+I23-P23-X23</f>
        <v>179.30765384615384</v>
      </c>
      <c r="R23" s="49">
        <f>+G23-P23</f>
        <v>165.5</v>
      </c>
      <c r="S23" s="51">
        <f>+E23*$T$3</f>
        <v>187.84615384615384</v>
      </c>
      <c r="T23" s="46">
        <f t="shared" si="1"/>
        <v>103315.38461538461</v>
      </c>
      <c r="U23" s="2" t="str">
        <f>+IF(K23&lt;&gt;"",K23,"")</f>
        <v xml:space="preserve">Se descuenta 0.5 viaje de 12 m ya que NO ingresa al 13. 2 Descuentos (Despachador) </v>
      </c>
      <c r="V23" s="2">
        <f>+RANK(H23,$H$6:$H$1048576,1)</f>
        <v>9</v>
      </c>
      <c r="W23" s="2">
        <v>0.5</v>
      </c>
      <c r="X23">
        <v>9.0385000000000009</v>
      </c>
      <c r="Z23" s="2" t="str">
        <f>TRIM(Tabla2[[#This Row],[CONDUCTOR]])</f>
        <v>MACEA ARBELAEZ MATEO</v>
      </c>
    </row>
    <row r="24" spans="2:26" x14ac:dyDescent="0.2">
      <c r="B24" s="136" t="s">
        <v>122</v>
      </c>
      <c r="C24" s="166">
        <v>20</v>
      </c>
      <c r="D24" s="151" t="s">
        <v>160</v>
      </c>
      <c r="E24" s="150">
        <v>8</v>
      </c>
      <c r="F24" s="150">
        <v>0.5</v>
      </c>
      <c r="G24" s="165">
        <v>167</v>
      </c>
      <c r="H24" s="226">
        <f>+G24/E24</f>
        <v>20.875</v>
      </c>
      <c r="I24" s="227">
        <f>+(SUM($G$7:$G$1048576)/SUM($E$7:$E$1048576))*E24</f>
        <v>144.61538461538461</v>
      </c>
      <c r="J24" s="363">
        <f>+Tabla2[[#This Row],[PROM DE USUARIOS]]-Tabla2[[#This Row],[USUARIOS]]</f>
        <v>-22.384615384615387</v>
      </c>
      <c r="K24" s="151" t="s">
        <v>201</v>
      </c>
      <c r="L24" s="163">
        <f>Q24*585</f>
        <v>74924.977499999994</v>
      </c>
      <c r="M24" s="162" t="str">
        <f>+VLOOKUP(C24,Lista!B:D,3,0)</f>
        <v>MICRO</v>
      </c>
      <c r="N24" s="164">
        <f t="shared" si="0"/>
        <v>8600</v>
      </c>
      <c r="O24" s="164">
        <f>Tabla2[[#This Row],[USUARIOS]]*150</f>
        <v>25050</v>
      </c>
      <c r="P24" s="50">
        <f>+(E24*1)-W24</f>
        <v>7.5</v>
      </c>
      <c r="Q24" s="47">
        <f>+I24-P24-X24</f>
        <v>128.07688461538461</v>
      </c>
      <c r="R24" s="49">
        <f>+G24-P24</f>
        <v>159.5</v>
      </c>
      <c r="S24" s="51">
        <f>+E24*$T$3</f>
        <v>136.61538461538461</v>
      </c>
      <c r="T24" s="46">
        <f t="shared" si="1"/>
        <v>75138.461538461532</v>
      </c>
      <c r="U24" t="str">
        <f>+IF(K24&lt;&gt;"",K24,"")</f>
        <v xml:space="preserve">Se descuenta 0.5 viaje de 5 42 pm ya que NO ingresa a la minorista. </v>
      </c>
      <c r="V24">
        <f>+RANK(H24,$H$6:$H$1048576,1)</f>
        <v>33</v>
      </c>
      <c r="W24">
        <v>0.5</v>
      </c>
      <c r="X24">
        <v>9.0385000000000009</v>
      </c>
      <c r="Z24" t="str">
        <f>TRIM(Tabla2[[#This Row],[CONDUCTOR]])</f>
        <v>MURILLO YOIMAR ANDRES</v>
      </c>
    </row>
    <row r="25" spans="2:26" x14ac:dyDescent="0.2">
      <c r="B25" s="136" t="s">
        <v>121</v>
      </c>
      <c r="C25" s="166">
        <v>21</v>
      </c>
      <c r="D25" s="151" t="s">
        <v>179</v>
      </c>
      <c r="E25" s="150">
        <v>10</v>
      </c>
      <c r="F25" s="150">
        <v>0</v>
      </c>
      <c r="G25" s="146">
        <v>148</v>
      </c>
      <c r="H25" s="226">
        <f>+G25/E25</f>
        <v>14.8</v>
      </c>
      <c r="I25" s="364">
        <f>+(SUM($G$7:$G$1048576)/SUM($E$7:$E$1048576))*E25</f>
        <v>180.76923076923077</v>
      </c>
      <c r="J25" s="363">
        <f>+Tabla2[[#This Row],[PROM DE USUARIOS]]-Tabla2[[#This Row],[USUARIOS]]</f>
        <v>32.769230769230774</v>
      </c>
      <c r="K25" s="151"/>
      <c r="L25" s="163">
        <f>Q25*585</f>
        <v>99900</v>
      </c>
      <c r="M25" s="162" t="str">
        <f>+VLOOKUP(C25,Lista!B:D,3,0)</f>
        <v>MICRO</v>
      </c>
      <c r="N25" s="164">
        <f t="shared" si="0"/>
        <v>8600</v>
      </c>
      <c r="O25" s="164">
        <f>Tabla2[[#This Row],[USUARIOS]]*150</f>
        <v>22200</v>
      </c>
      <c r="P25" s="50">
        <f>+(E25*1)-W25</f>
        <v>10</v>
      </c>
      <c r="Q25" s="47">
        <f>+I25-P25-X25</f>
        <v>170.76923076923077</v>
      </c>
      <c r="R25" s="49">
        <f>+G25-P25</f>
        <v>138</v>
      </c>
      <c r="S25" s="51">
        <f>+E25*$T$3</f>
        <v>170.76923076923077</v>
      </c>
      <c r="T25" s="46">
        <f t="shared" si="1"/>
        <v>93923.076923076922</v>
      </c>
      <c r="U25" t="str">
        <f>+IF(K25&lt;&gt;"",K25,"")</f>
        <v/>
      </c>
      <c r="V25">
        <f>+RANK(H25,$H$6:$H$1048576,1)</f>
        <v>6</v>
      </c>
      <c r="Z25" t="str">
        <f>TRIM(Tabla2[[#This Row],[CONDUCTOR]])</f>
        <v>MACIAS HERNANDEZ JULIAN DAVID</v>
      </c>
    </row>
    <row r="26" spans="2:26" x14ac:dyDescent="0.2">
      <c r="B26" s="136" t="s">
        <v>122</v>
      </c>
      <c r="C26" s="166">
        <v>22</v>
      </c>
      <c r="D26" s="151" t="s">
        <v>154</v>
      </c>
      <c r="E26" s="150">
        <v>8</v>
      </c>
      <c r="F26" s="150">
        <v>0.5</v>
      </c>
      <c r="G26" s="146">
        <v>122</v>
      </c>
      <c r="H26" s="226">
        <f>+G26/E26</f>
        <v>15.25</v>
      </c>
      <c r="I26" s="227">
        <f>+(SUM($G$7:$G$1048576)/SUM($E$7:$E$1048576))*E26</f>
        <v>144.61538461538461</v>
      </c>
      <c r="J26" s="363">
        <f>+Tabla2[[#This Row],[PROM DE USUARIOS]]-Tabla2[[#This Row],[USUARIOS]]</f>
        <v>22.615384615384613</v>
      </c>
      <c r="K26" s="151" t="s">
        <v>196</v>
      </c>
      <c r="L26" s="163">
        <f>Q26*585</f>
        <v>74924.977499999994</v>
      </c>
      <c r="M26" s="162">
        <f>+VLOOKUP(C26,Lista!B:D,3,0)</f>
        <v>0</v>
      </c>
      <c r="N26" s="164">
        <f t="shared" si="0"/>
        <v>8600</v>
      </c>
      <c r="O26" s="164">
        <f>Tabla2[[#This Row],[USUARIOS]]*150</f>
        <v>18300</v>
      </c>
      <c r="P26" s="50">
        <f>+(E26*1)-W26</f>
        <v>7.5</v>
      </c>
      <c r="Q26" s="47">
        <f>+I26-P26-X26</f>
        <v>128.07688461538461</v>
      </c>
      <c r="R26" s="49">
        <f>+G26-P26</f>
        <v>114.5</v>
      </c>
      <c r="S26" s="51">
        <f>+E26*$T$3</f>
        <v>136.61538461538461</v>
      </c>
      <c r="T26" s="46">
        <f t="shared" si="1"/>
        <v>75138.461538461532</v>
      </c>
      <c r="U26" t="str">
        <f>+IF(K26&lt;&gt;"",K26,"")</f>
        <v xml:space="preserve">Se descuenta 0.5 viaje de 1 27 pm ya que NO ingresa al 13. </v>
      </c>
      <c r="V26">
        <f>+RANK(H26,$H$6:$H$1048576,1)</f>
        <v>7</v>
      </c>
      <c r="W26">
        <v>0.5</v>
      </c>
      <c r="X26">
        <v>9.0385000000000009</v>
      </c>
      <c r="Z26" t="str">
        <f>TRIM(Tabla2[[#This Row],[CONDUCTOR]])</f>
        <v>QUIRAMA CASTAÑEDA JHON JADER</v>
      </c>
    </row>
    <row r="27" spans="2:26" x14ac:dyDescent="0.2">
      <c r="B27" s="136" t="s">
        <v>121</v>
      </c>
      <c r="C27" s="137">
        <v>23</v>
      </c>
      <c r="D27" s="151" t="s">
        <v>165</v>
      </c>
      <c r="E27" s="150">
        <v>6.5</v>
      </c>
      <c r="F27" s="150">
        <v>0.5</v>
      </c>
      <c r="G27" s="165">
        <v>156</v>
      </c>
      <c r="H27" s="226">
        <f>+G27/E27</f>
        <v>24</v>
      </c>
      <c r="I27" s="227">
        <f>+(SUM($G$7:$G$1048576)/SUM($E$7:$E$1048576))*E27</f>
        <v>117.5</v>
      </c>
      <c r="J27" s="363">
        <f>+Tabla2[[#This Row],[PROM DE USUARIOS]]-Tabla2[[#This Row],[USUARIOS]]</f>
        <v>-38.5</v>
      </c>
      <c r="K27" s="151"/>
      <c r="L27" s="163">
        <f>Q27*585</f>
        <v>64935</v>
      </c>
      <c r="M27" s="162" t="str">
        <f>+VLOOKUP(C27,Lista!B:D,3,0)</f>
        <v xml:space="preserve">MICRO </v>
      </c>
      <c r="N27" s="164">
        <f t="shared" si="0"/>
        <v>8600</v>
      </c>
      <c r="O27" s="164">
        <f>Tabla2[[#This Row],[USUARIOS]]*150</f>
        <v>23400</v>
      </c>
      <c r="P27" s="50">
        <f>+(E27*1)-W27</f>
        <v>6.5</v>
      </c>
      <c r="Q27" s="47">
        <f>+I27-P27-X27</f>
        <v>111</v>
      </c>
      <c r="R27" s="49">
        <f>+G27-P27</f>
        <v>149.5</v>
      </c>
      <c r="S27" s="51">
        <f>+E27*$T$3</f>
        <v>111</v>
      </c>
      <c r="T27" s="46">
        <f t="shared" si="1"/>
        <v>61050</v>
      </c>
      <c r="U27" t="str">
        <f>+IF(K27&lt;&gt;"",K27,"")</f>
        <v/>
      </c>
      <c r="V27">
        <f>+RANK(H27,$H$6:$H$1048576,1)</f>
        <v>40</v>
      </c>
      <c r="Z27" t="str">
        <f>TRIM(Tabla2[[#This Row],[CONDUCTOR]])</f>
        <v>SALDARRIAGA PARRA LUIS ALBERTO</v>
      </c>
    </row>
    <row r="28" spans="2:26" x14ac:dyDescent="0.2">
      <c r="B28" s="136" t="s">
        <v>122</v>
      </c>
      <c r="C28" s="166">
        <v>24</v>
      </c>
      <c r="D28" s="151" t="s">
        <v>158</v>
      </c>
      <c r="E28" s="150">
        <v>5</v>
      </c>
      <c r="F28" s="150">
        <v>0</v>
      </c>
      <c r="G28" s="146">
        <v>105</v>
      </c>
      <c r="H28" s="226">
        <f>+G28/E28</f>
        <v>21</v>
      </c>
      <c r="I28" s="364">
        <f>+(SUM($G$7:$G$1048576)/SUM($E$7:$E$1048576))*E28</f>
        <v>90.384615384615387</v>
      </c>
      <c r="J28" s="363">
        <f>+Tabla2[[#This Row],[PROM DE USUARIOS]]-Tabla2[[#This Row],[USUARIOS]]</f>
        <v>-14.615384615384613</v>
      </c>
      <c r="K28" s="151" t="s">
        <v>189</v>
      </c>
      <c r="L28" s="163">
        <f>Q28*585</f>
        <v>49950</v>
      </c>
      <c r="M28" s="162" t="str">
        <f>+VLOOKUP(C28,Lista!B:D,3,0)</f>
        <v>MICRO</v>
      </c>
      <c r="N28" s="164">
        <f t="shared" si="0"/>
        <v>8600</v>
      </c>
      <c r="O28" s="164">
        <f>Tabla2[[#This Row],[USUARIOS]]*150</f>
        <v>15750</v>
      </c>
      <c r="P28" s="50">
        <f>+(E28*1)-W28</f>
        <v>5</v>
      </c>
      <c r="Q28" s="47">
        <f>+I28-P28-X28</f>
        <v>85.384615384615387</v>
      </c>
      <c r="R28" s="49">
        <f>+G28-P28</f>
        <v>100</v>
      </c>
      <c r="S28" s="51">
        <f>+E28*$T$3</f>
        <v>85.384615384615387</v>
      </c>
      <c r="T28" s="46">
        <f t="shared" si="1"/>
        <v>46961.538461538461</v>
      </c>
      <c r="U28" t="str">
        <f>+IF(K28&lt;&gt;"",K28,"")</f>
        <v xml:space="preserve">5 Descuentos (Conducts y usuarios desubicados) </v>
      </c>
      <c r="V28">
        <f>+RANK(H28,$H$6:$H$1048576,1)</f>
        <v>34</v>
      </c>
      <c r="Z28" t="str">
        <f>TRIM(Tabla2[[#This Row],[CONDUCTOR]])</f>
        <v>JIMENEZ HERNANDEZ ESTEBAN CAMILO</v>
      </c>
    </row>
    <row r="29" spans="2:26" x14ac:dyDescent="0.2">
      <c r="B29" s="136" t="s">
        <v>121</v>
      </c>
      <c r="C29" s="166">
        <v>25</v>
      </c>
      <c r="D29" s="151" t="s">
        <v>174</v>
      </c>
      <c r="E29" s="150">
        <v>9</v>
      </c>
      <c r="F29" s="150">
        <v>0.5</v>
      </c>
      <c r="G29" s="146">
        <v>193</v>
      </c>
      <c r="H29" s="226">
        <f>+G29/E29</f>
        <v>21.444444444444443</v>
      </c>
      <c r="I29" s="364">
        <f>+(SUM($G$7:$G$1048576)/SUM($E$7:$E$1048576))*E29</f>
        <v>162.69230769230768</v>
      </c>
      <c r="J29" s="363">
        <f>+Tabla2[[#This Row],[PROM DE USUARIOS]]-Tabla2[[#This Row],[USUARIOS]]</f>
        <v>-30.307692307692321</v>
      </c>
      <c r="K29" s="151" t="s">
        <v>198</v>
      </c>
      <c r="L29" s="366">
        <f>Q29*585</f>
        <v>84914.977499999994</v>
      </c>
      <c r="M29" s="367">
        <f>+VLOOKUP(C29,Lista!B:D,3,0)</f>
        <v>0</v>
      </c>
      <c r="N29" s="164">
        <f t="shared" si="0"/>
        <v>8600</v>
      </c>
      <c r="O29" s="164">
        <f>Tabla2[[#This Row],[USUARIOS]]*150</f>
        <v>28950</v>
      </c>
      <c r="P29" s="50">
        <f>+(E29*1)-W29</f>
        <v>8.5</v>
      </c>
      <c r="Q29" s="47">
        <f>+I29-P29-X29</f>
        <v>145.15380769230768</v>
      </c>
      <c r="R29" s="49">
        <f>+G29-P29</f>
        <v>184.5</v>
      </c>
      <c r="S29" s="51">
        <f>+E29*$T$3</f>
        <v>153.69230769230768</v>
      </c>
      <c r="T29" s="46">
        <f t="shared" si="1"/>
        <v>84530.76923076922</v>
      </c>
      <c r="U29" t="str">
        <f>+IF(K29&lt;&gt;"",K29,"")</f>
        <v xml:space="preserve">Se descuenta 0.5 viaje de 1 18 pm ya que NO ingresa al 13. </v>
      </c>
      <c r="V29">
        <f>+RANK(H29,$H$6:$H$1048576,1)</f>
        <v>35</v>
      </c>
      <c r="W29">
        <v>0.5</v>
      </c>
      <c r="X29">
        <v>9.0385000000000009</v>
      </c>
      <c r="Z29" t="str">
        <f>TRIM(Tabla2[[#This Row],[CONDUCTOR]])</f>
        <v>OSORIO URREGO SANTIAGO</v>
      </c>
    </row>
    <row r="30" spans="2:26" s="2" customFormat="1" x14ac:dyDescent="0.2">
      <c r="B30" s="136" t="s">
        <v>122</v>
      </c>
      <c r="C30" s="166">
        <v>26</v>
      </c>
      <c r="D30" s="151" t="s">
        <v>168</v>
      </c>
      <c r="E30" s="150">
        <v>10</v>
      </c>
      <c r="F30" s="150">
        <v>0</v>
      </c>
      <c r="G30" s="165">
        <v>167</v>
      </c>
      <c r="H30" s="226">
        <f>+G30/E30</f>
        <v>16.7</v>
      </c>
      <c r="I30" s="227">
        <f>+(SUM($G$7:$G$1048576)/SUM($E$7:$E$1048576))*E30</f>
        <v>180.76923076923077</v>
      </c>
      <c r="J30" s="363">
        <f>+Tabla2[[#This Row],[PROM DE USUARIOS]]-Tabla2[[#This Row],[USUARIOS]]</f>
        <v>13.769230769230774</v>
      </c>
      <c r="K30" s="151" t="s">
        <v>129</v>
      </c>
      <c r="L30" s="163">
        <f>Q30*585</f>
        <v>99900</v>
      </c>
      <c r="M30" s="367" t="str">
        <f>+VLOOKUP(C30,Lista!B:D,3,0)</f>
        <v>MICRO</v>
      </c>
      <c r="N30" s="164">
        <f t="shared" si="0"/>
        <v>8600</v>
      </c>
      <c r="O30" s="164">
        <f>Tabla2[[#This Row],[USUARIOS]]*150</f>
        <v>25050</v>
      </c>
      <c r="P30" s="50">
        <f>+(E30*1)-W30</f>
        <v>10</v>
      </c>
      <c r="Q30" s="47">
        <f>+I30-P30-X30</f>
        <v>170.76923076923077</v>
      </c>
      <c r="R30" s="49">
        <f>+G30-P30</f>
        <v>157</v>
      </c>
      <c r="S30" s="51">
        <f>+E30*$T$3</f>
        <v>170.76923076923077</v>
      </c>
      <c r="T30" s="46">
        <f t="shared" si="1"/>
        <v>93923.076923076922</v>
      </c>
      <c r="U30" t="str">
        <f>+IF(K30&lt;&gt;"",K30,"")</f>
        <v xml:space="preserve">1 Descuento (Conduct) </v>
      </c>
      <c r="V30">
        <f>+RANK(H30,$H$6:$H$1048576,1)</f>
        <v>12</v>
      </c>
      <c r="Z30" t="str">
        <f>TRIM(Tabla2[[#This Row],[CONDUCTOR]])</f>
        <v>SUAREZ ESCUDERO JONATAN</v>
      </c>
    </row>
    <row r="31" spans="2:26" x14ac:dyDescent="0.2">
      <c r="B31" s="136" t="s">
        <v>121</v>
      </c>
      <c r="C31" s="166">
        <v>27</v>
      </c>
      <c r="D31" s="151" t="s">
        <v>149</v>
      </c>
      <c r="E31" s="150">
        <v>4</v>
      </c>
      <c r="F31" s="150">
        <v>0</v>
      </c>
      <c r="G31" s="146">
        <v>96</v>
      </c>
      <c r="H31" s="226">
        <f>+G31/E31</f>
        <v>24</v>
      </c>
      <c r="I31" s="364">
        <f>+(SUM($G$7:$G$1048576)/SUM($E$7:$E$1048576))*E31</f>
        <v>72.307692307692307</v>
      </c>
      <c r="J31" s="363">
        <f>+Tabla2[[#This Row],[PROM DE USUARIOS]]-Tabla2[[#This Row],[USUARIOS]]</f>
        <v>-23.692307692307693</v>
      </c>
      <c r="K31" s="151"/>
      <c r="L31" s="163">
        <f>Q31*585</f>
        <v>39960</v>
      </c>
      <c r="M31" s="367">
        <f>+VLOOKUP(C31,Lista!B:D,3,0)</f>
        <v>0</v>
      </c>
      <c r="N31" s="164">
        <f t="shared" si="0"/>
        <v>8600</v>
      </c>
      <c r="O31" s="164">
        <f>Tabla2[[#This Row],[USUARIOS]]*150</f>
        <v>14400</v>
      </c>
      <c r="P31" s="50">
        <f>+(E31*1)-W31</f>
        <v>4</v>
      </c>
      <c r="Q31" s="47">
        <f>+I31-P31-X31</f>
        <v>68.307692307692307</v>
      </c>
      <c r="R31" s="49">
        <f>+G31-P31</f>
        <v>92</v>
      </c>
      <c r="S31" s="51">
        <f>+E31*$T$3</f>
        <v>68.307692307692307</v>
      </c>
      <c r="T31" s="46">
        <f t="shared" si="1"/>
        <v>37569.230769230766</v>
      </c>
      <c r="U31" t="str">
        <f>+IF(K31&lt;&gt;"",K31,"")</f>
        <v/>
      </c>
      <c r="V31">
        <f>+RANK(H31,$H$6:$H$1048576,1)</f>
        <v>40</v>
      </c>
      <c r="Z31" t="str">
        <f>TRIM(Tabla2[[#This Row],[CONDUCTOR]])</f>
        <v>VERENZUELA MARTINEZ ALEXANDER</v>
      </c>
    </row>
    <row r="32" spans="2:26" x14ac:dyDescent="0.2">
      <c r="B32" s="136" t="s">
        <v>122</v>
      </c>
      <c r="C32" s="166">
        <v>28</v>
      </c>
      <c r="D32" s="151" t="s">
        <v>180</v>
      </c>
      <c r="E32" s="150">
        <v>9</v>
      </c>
      <c r="F32" s="150">
        <v>0</v>
      </c>
      <c r="G32" s="146">
        <v>121</v>
      </c>
      <c r="H32" s="226">
        <f>+G32/E32</f>
        <v>13.444444444444445</v>
      </c>
      <c r="I32" s="364">
        <f>+(SUM($G$7:$G$1048576)/SUM($E$7:$E$1048576))*E32</f>
        <v>162.69230769230768</v>
      </c>
      <c r="J32" s="363">
        <f>+Tabla2[[#This Row],[PROM DE USUARIOS]]-Tabla2[[#This Row],[USUARIOS]]</f>
        <v>41.692307692307679</v>
      </c>
      <c r="K32" s="151"/>
      <c r="L32" s="163">
        <f>Q32*585</f>
        <v>89909.999999999985</v>
      </c>
      <c r="M32" s="367" t="str">
        <f>+VLOOKUP(C32,Lista!B:D,3,0)</f>
        <v>MICRO</v>
      </c>
      <c r="N32" s="164">
        <f t="shared" si="0"/>
        <v>8600</v>
      </c>
      <c r="O32" s="164">
        <f>Tabla2[[#This Row],[USUARIOS]]*150</f>
        <v>18150</v>
      </c>
      <c r="P32" s="50">
        <f>+(E32*1)-W32</f>
        <v>9</v>
      </c>
      <c r="Q32" s="47">
        <f>+I32-P32-X32</f>
        <v>153.69230769230768</v>
      </c>
      <c r="R32" s="49">
        <f>+G32-P32</f>
        <v>112</v>
      </c>
      <c r="S32" s="51">
        <f>+E32*$T$3</f>
        <v>153.69230769230768</v>
      </c>
      <c r="T32" s="46">
        <f t="shared" si="1"/>
        <v>84530.76923076922</v>
      </c>
      <c r="U32" t="str">
        <f>+IF(K32&lt;&gt;"",K32,"")</f>
        <v/>
      </c>
      <c r="V32">
        <f>+RANK(H32,$H$6:$H$1048576,1)</f>
        <v>1</v>
      </c>
      <c r="Z32" t="str">
        <f>TRIM(Tabla2[[#This Row],[CONDUCTOR]])</f>
        <v>JIMENEZ HURTADO CARLOS ESTIVEN</v>
      </c>
    </row>
    <row r="33" spans="2:26" x14ac:dyDescent="0.2">
      <c r="B33" s="136" t="s">
        <v>121</v>
      </c>
      <c r="C33" s="166">
        <v>29</v>
      </c>
      <c r="D33" s="151" t="s">
        <v>169</v>
      </c>
      <c r="E33" s="150">
        <v>9</v>
      </c>
      <c r="F33" s="150">
        <v>0</v>
      </c>
      <c r="G33" s="165">
        <v>127</v>
      </c>
      <c r="H33" s="226">
        <f>+G33/E33</f>
        <v>14.111111111111111</v>
      </c>
      <c r="I33" s="227">
        <f>+(SUM($G$7:$G$1048576)/SUM($E$7:$E$1048576))*E33</f>
        <v>162.69230769230768</v>
      </c>
      <c r="J33" s="363">
        <f>+Tabla2[[#This Row],[PROM DE USUARIOS]]-Tabla2[[#This Row],[USUARIOS]]</f>
        <v>35.692307692307679</v>
      </c>
      <c r="K33" s="151" t="s">
        <v>190</v>
      </c>
      <c r="L33" s="163">
        <f>Q33*585</f>
        <v>89909.999999999985</v>
      </c>
      <c r="M33" s="367" t="str">
        <f>+VLOOKUP(C33,Lista!B:D,3,0)</f>
        <v>MICRO</v>
      </c>
      <c r="N33" s="164">
        <f t="shared" si="0"/>
        <v>8600</v>
      </c>
      <c r="O33" s="164">
        <f>Tabla2[[#This Row],[USUARIOS]]*150</f>
        <v>19050</v>
      </c>
      <c r="P33" s="50">
        <f>+(E33*1)-W33</f>
        <v>9</v>
      </c>
      <c r="Q33" s="47">
        <f>+I33-P33-X33</f>
        <v>153.69230769230768</v>
      </c>
      <c r="R33" s="49">
        <f>+G33-P33</f>
        <v>118</v>
      </c>
      <c r="S33" s="51">
        <f>+E33*$T$3</f>
        <v>153.69230769230768</v>
      </c>
      <c r="T33" s="46">
        <f t="shared" si="1"/>
        <v>84530.76923076922</v>
      </c>
      <c r="U33" t="str">
        <f>+IF(K33&lt;&gt;"",K33,"")</f>
        <v xml:space="preserve">2 Descuentos (conduct y usuario desubicado) </v>
      </c>
      <c r="V33">
        <f>+RANK(H33,$H$6:$H$1048576,1)</f>
        <v>2</v>
      </c>
      <c r="Z33" t="str">
        <f>TRIM(Tabla2[[#This Row],[CONDUCTOR]])</f>
        <v>LEON PEREZ RAUL ENRIQUE</v>
      </c>
    </row>
    <row r="34" spans="2:26" x14ac:dyDescent="0.2">
      <c r="B34" s="136" t="s">
        <v>122</v>
      </c>
      <c r="C34" s="166">
        <v>30</v>
      </c>
      <c r="D34" s="151" t="s">
        <v>170</v>
      </c>
      <c r="E34" s="150">
        <v>8</v>
      </c>
      <c r="F34" s="150">
        <v>0</v>
      </c>
      <c r="G34" s="146">
        <v>114</v>
      </c>
      <c r="H34" s="226">
        <f>+G34/E34</f>
        <v>14.25</v>
      </c>
      <c r="I34" s="364">
        <f>+(SUM($G$7:$G$1048576)/SUM($E$7:$E$1048576))*E34</f>
        <v>144.61538461538461</v>
      </c>
      <c r="J34" s="363">
        <f>+Tabla2[[#This Row],[PROM DE USUARIOS]]-Tabla2[[#This Row],[USUARIOS]]</f>
        <v>30.615384615384613</v>
      </c>
      <c r="K34" s="151"/>
      <c r="L34" s="163">
        <f>Q34*585</f>
        <v>79920</v>
      </c>
      <c r="M34" s="367">
        <f>+VLOOKUP(C34,Lista!B:D,3,0)</f>
        <v>0</v>
      </c>
      <c r="N34" s="164">
        <f t="shared" si="0"/>
        <v>8600</v>
      </c>
      <c r="O34" s="164">
        <f>Tabla2[[#This Row],[USUARIOS]]*150</f>
        <v>17100</v>
      </c>
      <c r="P34" s="50">
        <f>+(E34*1)-W34</f>
        <v>8</v>
      </c>
      <c r="Q34" s="47">
        <f>+I34-P34-X34</f>
        <v>136.61538461538461</v>
      </c>
      <c r="R34" s="49">
        <f>+G34-P34</f>
        <v>106</v>
      </c>
      <c r="S34" s="51">
        <f>+E34*$T$3</f>
        <v>136.61538461538461</v>
      </c>
      <c r="T34" s="46">
        <f t="shared" si="1"/>
        <v>75138.461538461532</v>
      </c>
      <c r="U34" t="str">
        <f>+IF(K34&lt;&gt;"",K34,"")</f>
        <v/>
      </c>
      <c r="V34">
        <f>+RANK(H34,$H$6:$H$1048576,1)</f>
        <v>4</v>
      </c>
      <c r="Z34" t="str">
        <f>TRIM(Tabla2[[#This Row],[CONDUCTOR]])</f>
        <v>AGUDELO GARCIA LLORDIN ELIAS</v>
      </c>
    </row>
    <row r="35" spans="2:26" x14ac:dyDescent="0.2">
      <c r="B35" s="136" t="s">
        <v>121</v>
      </c>
      <c r="C35" s="166">
        <v>31</v>
      </c>
      <c r="D35" s="151" t="s">
        <v>176</v>
      </c>
      <c r="E35" s="150">
        <v>9</v>
      </c>
      <c r="F35" s="150">
        <v>0</v>
      </c>
      <c r="G35" s="165">
        <v>140</v>
      </c>
      <c r="H35" s="226">
        <f>+G35/E35</f>
        <v>15.555555555555555</v>
      </c>
      <c r="I35" s="227">
        <f>+(SUM($G$7:$G$1048576)/SUM($E$7:$E$1048576))*E35</f>
        <v>162.69230769230768</v>
      </c>
      <c r="J35" s="363">
        <f>+Tabla2[[#This Row],[PROM DE USUARIOS]]-Tabla2[[#This Row],[USUARIOS]]</f>
        <v>22.692307692307679</v>
      </c>
      <c r="K35" s="151"/>
      <c r="L35" s="163">
        <f>Q35*585</f>
        <v>89909.999999999985</v>
      </c>
      <c r="M35" s="367" t="str">
        <f>+VLOOKUP(C35,Lista!B:D,3,0)</f>
        <v>MICRO</v>
      </c>
      <c r="N35" s="164">
        <f t="shared" si="0"/>
        <v>8600</v>
      </c>
      <c r="O35" s="164">
        <f>Tabla2[[#This Row],[USUARIOS]]*150</f>
        <v>21000</v>
      </c>
      <c r="P35" s="50">
        <f>+(E35*1)-W35</f>
        <v>9</v>
      </c>
      <c r="Q35" s="47">
        <f>+I35-P35-X35</f>
        <v>153.69230769230768</v>
      </c>
      <c r="R35" s="49">
        <f>+G35-P35</f>
        <v>131</v>
      </c>
      <c r="S35" s="51">
        <f>+E35*$T$3</f>
        <v>153.69230769230768</v>
      </c>
      <c r="T35" s="46">
        <f t="shared" si="1"/>
        <v>84530.76923076922</v>
      </c>
      <c r="U35" t="str">
        <f>+IF(K35&lt;&gt;"",K35,"")</f>
        <v/>
      </c>
      <c r="V35">
        <f>+RANK(H35,$H$6:$H$1048576,1)</f>
        <v>8</v>
      </c>
      <c r="Z35" t="str">
        <f>TRIM(Tabla2[[#This Row],[CONDUCTOR]])</f>
        <v>FRANCO CARVAJAL GERARDO ANTONIO</v>
      </c>
    </row>
    <row r="36" spans="2:26" x14ac:dyDescent="0.2">
      <c r="B36" s="136" t="s">
        <v>122</v>
      </c>
      <c r="C36" s="166">
        <v>32</v>
      </c>
      <c r="D36" s="151" t="s">
        <v>164</v>
      </c>
      <c r="E36" s="150">
        <v>7</v>
      </c>
      <c r="F36" s="150">
        <v>0</v>
      </c>
      <c r="G36" s="146">
        <v>120</v>
      </c>
      <c r="H36" s="226">
        <f>+G36/E36</f>
        <v>17.142857142857142</v>
      </c>
      <c r="I36" s="364">
        <f>+(SUM($G$7:$G$1048576)/SUM($E$7:$E$1048576))*E36</f>
        <v>126.53846153846153</v>
      </c>
      <c r="J36" s="363">
        <f>+Tabla2[[#This Row],[PROM DE USUARIOS]]-Tabla2[[#This Row],[USUARIOS]]</f>
        <v>6.538461538461533</v>
      </c>
      <c r="K36" s="151" t="s">
        <v>188</v>
      </c>
      <c r="L36" s="163">
        <f>Q36*585</f>
        <v>69930</v>
      </c>
      <c r="M36" s="367" t="str">
        <f>+VLOOKUP(C36,Lista!B:D,3,0)</f>
        <v>MICRO</v>
      </c>
      <c r="N36" s="164">
        <f t="shared" si="0"/>
        <v>8600</v>
      </c>
      <c r="O36" s="164">
        <f>Tabla2[[#This Row],[USUARIOS]]*150</f>
        <v>18000</v>
      </c>
      <c r="P36" s="50">
        <f>+(E36*1)-W36</f>
        <v>7</v>
      </c>
      <c r="Q36" s="47">
        <f>+I36-P36-X36</f>
        <v>119.53846153846153</v>
      </c>
      <c r="R36" s="49">
        <f>+G36-P36</f>
        <v>113</v>
      </c>
      <c r="S36" s="51">
        <f>+E36*$T$3</f>
        <v>119.53846153846153</v>
      </c>
      <c r="T36" s="46">
        <f t="shared" si="1"/>
        <v>65746.153846153844</v>
      </c>
      <c r="U36" t="str">
        <f>+IF(K36&lt;&gt;"",K36,"")</f>
        <v xml:space="preserve">1 Descuento (Usuario desubicado) </v>
      </c>
      <c r="V36">
        <f>+RANK(H36,$H$6:$H$1048576,1)</f>
        <v>16</v>
      </c>
      <c r="Z36" t="str">
        <f>TRIM(Tabla2[[#This Row],[CONDUCTOR]])</f>
        <v>LAYOS JIMENEZ JOHAN CAMILO</v>
      </c>
    </row>
    <row r="37" spans="2:26" x14ac:dyDescent="0.2">
      <c r="B37" s="136" t="s">
        <v>121</v>
      </c>
      <c r="C37" s="166">
        <v>33</v>
      </c>
      <c r="D37" s="151" t="s">
        <v>175</v>
      </c>
      <c r="E37" s="150">
        <v>9</v>
      </c>
      <c r="F37" s="150">
        <v>0</v>
      </c>
      <c r="G37" s="165">
        <v>179</v>
      </c>
      <c r="H37" s="226">
        <f>+G37/E37</f>
        <v>19.888888888888889</v>
      </c>
      <c r="I37" s="227">
        <f>+(SUM($G$7:$G$1048576)/SUM($E$7:$E$1048576))*E37</f>
        <v>162.69230769230768</v>
      </c>
      <c r="J37" s="363">
        <f>+Tabla2[[#This Row],[PROM DE USUARIOS]]-Tabla2[[#This Row],[USUARIOS]]</f>
        <v>-16.307692307692321</v>
      </c>
      <c r="K37" s="151"/>
      <c r="L37" s="163">
        <f>Q37*585</f>
        <v>89909.999999999985</v>
      </c>
      <c r="M37" s="367" t="str">
        <f>+VLOOKUP(C37,Lista!B:D,3,0)</f>
        <v>MICRO</v>
      </c>
      <c r="N37" s="164">
        <f t="shared" si="0"/>
        <v>8600</v>
      </c>
      <c r="O37" s="164">
        <f>Tabla2[[#This Row],[USUARIOS]]*150</f>
        <v>26850</v>
      </c>
      <c r="P37" s="50">
        <f>+(E37*1)-W37</f>
        <v>9</v>
      </c>
      <c r="Q37" s="47">
        <f>+I37-P37-X37</f>
        <v>153.69230769230768</v>
      </c>
      <c r="R37" s="49">
        <f>+G37-P37</f>
        <v>170</v>
      </c>
      <c r="S37" s="51">
        <f>+E37*$T$3</f>
        <v>153.69230769230768</v>
      </c>
      <c r="T37" s="46">
        <f t="shared" si="1"/>
        <v>84530.76923076922</v>
      </c>
      <c r="U37" t="str">
        <f>+IF(K37&lt;&gt;"",K37,"")</f>
        <v/>
      </c>
      <c r="V37">
        <f>+RANK(H37,$H$6:$H$1048576,1)</f>
        <v>31</v>
      </c>
      <c r="Z37" t="str">
        <f>TRIM(Tabla2[[#This Row],[CONDUCTOR]])</f>
        <v>MARULANDA JARAMILLO DAWER ANDRES</v>
      </c>
    </row>
    <row r="38" spans="2:26" x14ac:dyDescent="0.2">
      <c r="B38" s="136" t="s">
        <v>122</v>
      </c>
      <c r="C38" s="166">
        <v>35</v>
      </c>
      <c r="D38" s="151" t="s">
        <v>150</v>
      </c>
      <c r="E38" s="150">
        <v>9</v>
      </c>
      <c r="F38" s="150">
        <v>0</v>
      </c>
      <c r="G38" s="146">
        <v>175</v>
      </c>
      <c r="H38" s="226">
        <f>+G38/E38</f>
        <v>19.444444444444443</v>
      </c>
      <c r="I38" s="364">
        <f>+(SUM($G$7:$G$1048576)/SUM($E$7:$E$1048576))*E38</f>
        <v>162.69230769230768</v>
      </c>
      <c r="J38" s="363">
        <f>+Tabla2[[#This Row],[PROM DE USUARIOS]]-Tabla2[[#This Row],[USUARIOS]]</f>
        <v>-12.307692307692321</v>
      </c>
      <c r="K38" s="151"/>
      <c r="L38" s="163">
        <f>Q38*585</f>
        <v>89909.999999999985</v>
      </c>
      <c r="M38" s="367">
        <f>+VLOOKUP(C38,Lista!B:D,3,0)</f>
        <v>0</v>
      </c>
      <c r="N38" s="164">
        <f t="shared" si="0"/>
        <v>8600</v>
      </c>
      <c r="O38" s="164">
        <f>Tabla2[[#This Row],[USUARIOS]]*150</f>
        <v>26250</v>
      </c>
      <c r="P38" s="50">
        <f>+(E38*1)-W38</f>
        <v>9</v>
      </c>
      <c r="Q38" s="47">
        <f>+I38-P38-X38</f>
        <v>153.69230769230768</v>
      </c>
      <c r="R38" s="49">
        <f>+G38-P38</f>
        <v>166</v>
      </c>
      <c r="S38" s="51">
        <f>+E38*$T$3</f>
        <v>153.69230769230768</v>
      </c>
      <c r="T38" s="46">
        <f t="shared" si="1"/>
        <v>84530.76923076922</v>
      </c>
      <c r="U38" t="str">
        <f>+IF(K38&lt;&gt;"",K38,"")</f>
        <v/>
      </c>
      <c r="V38">
        <f>+RANK(H38,$H$6:$H$1048576,1)</f>
        <v>28</v>
      </c>
      <c r="Z38" t="str">
        <f>TRIM(Tabla2[[#This Row],[CONDUCTOR]])</f>
        <v>ARAQUE ARROYAVE JOSE ALBEIRO</v>
      </c>
    </row>
    <row r="39" spans="2:26" x14ac:dyDescent="0.2">
      <c r="B39" s="136" t="s">
        <v>121</v>
      </c>
      <c r="C39" s="166">
        <v>36</v>
      </c>
      <c r="D39" s="151" t="s">
        <v>162</v>
      </c>
      <c r="E39" s="150">
        <v>9</v>
      </c>
      <c r="F39" s="150">
        <v>0</v>
      </c>
      <c r="G39" s="146">
        <v>150</v>
      </c>
      <c r="H39" s="226">
        <f>+G39/E39</f>
        <v>16.666666666666668</v>
      </c>
      <c r="I39" s="364">
        <f>+(SUM($G$7:$G$1048576)/SUM($E$7:$E$1048576))*E39</f>
        <v>162.69230769230768</v>
      </c>
      <c r="J39" s="363">
        <f>+Tabla2[[#This Row],[PROM DE USUARIOS]]-Tabla2[[#This Row],[USUARIOS]]</f>
        <v>12.692307692307679</v>
      </c>
      <c r="K39" s="151"/>
      <c r="L39" s="163">
        <f>Q39*585</f>
        <v>89909.999999999985</v>
      </c>
      <c r="M39" s="367" t="str">
        <f>+VLOOKUP(C39,Lista!B:D,3,0)</f>
        <v>MICRO</v>
      </c>
      <c r="N39" s="164">
        <f t="shared" si="0"/>
        <v>8600</v>
      </c>
      <c r="O39" s="164">
        <f>Tabla2[[#This Row],[USUARIOS]]*150</f>
        <v>22500</v>
      </c>
      <c r="P39" s="50">
        <f>+(E39*1)-W39</f>
        <v>9</v>
      </c>
      <c r="Q39" s="47">
        <f>+I39-P39-X39</f>
        <v>153.69230769230768</v>
      </c>
      <c r="R39" s="49">
        <f>+G39-P39</f>
        <v>141</v>
      </c>
      <c r="S39" s="51">
        <f>+E39*$T$3</f>
        <v>153.69230769230768</v>
      </c>
      <c r="T39" s="46">
        <f t="shared" si="1"/>
        <v>84530.76923076922</v>
      </c>
      <c r="U39" t="str">
        <f>+IF(K39&lt;&gt;"",K39,"")</f>
        <v/>
      </c>
      <c r="V39">
        <f>+RANK(H39,$H$6:$H$1048576,1)</f>
        <v>11</v>
      </c>
      <c r="Z39" t="str">
        <f>TRIM(Tabla2[[#This Row],[CONDUCTOR]])</f>
        <v>JARAMILLO JARAMILLO FRANCISCO WBEIMAR</v>
      </c>
    </row>
    <row r="40" spans="2:26" x14ac:dyDescent="0.2">
      <c r="B40" s="136" t="s">
        <v>122</v>
      </c>
      <c r="C40" s="166">
        <v>37</v>
      </c>
      <c r="D40" s="151" t="s">
        <v>166</v>
      </c>
      <c r="E40" s="150">
        <v>10</v>
      </c>
      <c r="F40" s="150">
        <v>0</v>
      </c>
      <c r="G40" s="165">
        <v>222</v>
      </c>
      <c r="H40" s="226">
        <f>+G40/E40</f>
        <v>22.2</v>
      </c>
      <c r="I40" s="227">
        <f>+(SUM($G$7:$G$1048576)/SUM($E$7:$E$1048576))*E40</f>
        <v>180.76923076923077</v>
      </c>
      <c r="J40" s="363">
        <f>+Tabla2[[#This Row],[PROM DE USUARIOS]]-Tabla2[[#This Row],[USUARIOS]]</f>
        <v>-41.230769230769226</v>
      </c>
      <c r="K40" s="151"/>
      <c r="L40" s="163">
        <f>Q40*585</f>
        <v>99900</v>
      </c>
      <c r="M40" s="367">
        <f>+VLOOKUP(C40,Lista!B:D,3,0)</f>
        <v>0</v>
      </c>
      <c r="N40" s="164">
        <f t="shared" si="0"/>
        <v>8600</v>
      </c>
      <c r="O40" s="164">
        <f>Tabla2[[#This Row],[USUARIOS]]*150</f>
        <v>33300</v>
      </c>
      <c r="P40" s="50">
        <f>+(E40*1)-W40</f>
        <v>10</v>
      </c>
      <c r="Q40" s="47">
        <f>+I40-P40-X40</f>
        <v>170.76923076923077</v>
      </c>
      <c r="R40" s="49">
        <f>+G40-P40</f>
        <v>212</v>
      </c>
      <c r="S40" s="51">
        <f>+E40*$T$3</f>
        <v>170.76923076923077</v>
      </c>
      <c r="T40" s="46">
        <f t="shared" si="1"/>
        <v>93923.076923076922</v>
      </c>
      <c r="U40" t="str">
        <f>+IF(K40&lt;&gt;"",K40,"")</f>
        <v/>
      </c>
      <c r="V40">
        <f>+RANK(H40,$H$6:$H$1048576,1)</f>
        <v>37</v>
      </c>
      <c r="Z40" t="str">
        <f>TRIM(Tabla2[[#This Row],[CONDUCTOR]])</f>
        <v>TABORDA ROJAS DIEGO ALEJANDRO</v>
      </c>
    </row>
    <row r="41" spans="2:26" x14ac:dyDescent="0.2">
      <c r="B41" s="136" t="s">
        <v>121</v>
      </c>
      <c r="C41" s="166">
        <v>38</v>
      </c>
      <c r="D41" s="151" t="s">
        <v>167</v>
      </c>
      <c r="E41" s="150">
        <v>9</v>
      </c>
      <c r="F41" s="150">
        <v>0</v>
      </c>
      <c r="G41" s="165">
        <v>175</v>
      </c>
      <c r="H41" s="226">
        <f>+G41/E41</f>
        <v>19.444444444444443</v>
      </c>
      <c r="I41" s="227">
        <f>+(SUM($G$7:$G$1048576)/SUM($E$7:$E$1048576))*E41</f>
        <v>162.69230769230768</v>
      </c>
      <c r="J41" s="363">
        <f>+Tabla2[[#This Row],[PROM DE USUARIOS]]-Tabla2[[#This Row],[USUARIOS]]</f>
        <v>-12.307692307692321</v>
      </c>
      <c r="K41" s="151" t="s">
        <v>191</v>
      </c>
      <c r="L41" s="163">
        <f>Q41*585</f>
        <v>89909.999999999985</v>
      </c>
      <c r="M41" s="367" t="str">
        <f>+VLOOKUP(C41,Lista!B:D,3,0)</f>
        <v>MICRO</v>
      </c>
      <c r="N41" s="164">
        <f t="shared" si="0"/>
        <v>8600</v>
      </c>
      <c r="O41" s="164">
        <f>Tabla2[[#This Row],[USUARIOS]]*150</f>
        <v>26250</v>
      </c>
      <c r="P41" s="50">
        <f>+(E41*1)-W41</f>
        <v>9</v>
      </c>
      <c r="Q41" s="47">
        <f>+I41-P41-X41</f>
        <v>153.69230769230768</v>
      </c>
      <c r="R41" s="49">
        <f>+G41-P41</f>
        <v>166</v>
      </c>
      <c r="S41" s="51">
        <f>+E41*$T$3</f>
        <v>153.69230769230768</v>
      </c>
      <c r="T41" s="46">
        <f t="shared" si="1"/>
        <v>84530.76923076922</v>
      </c>
      <c r="U41" t="str">
        <f>+IF(K41&lt;&gt;"",K41,"")</f>
        <v xml:space="preserve">2 Descuentos (Despachador y usuario desubicado) </v>
      </c>
      <c r="V41">
        <f>+RANK(H41,$H$6:$H$1048576,1)</f>
        <v>28</v>
      </c>
      <c r="Z41" t="str">
        <f>TRIM(Tabla2[[#This Row],[CONDUCTOR]])</f>
        <v>GONZALEZ IPUANA RENE</v>
      </c>
    </row>
    <row r="42" spans="2:26" x14ac:dyDescent="0.2">
      <c r="B42" s="136" t="s">
        <v>122</v>
      </c>
      <c r="C42" s="137">
        <v>39</v>
      </c>
      <c r="D42" s="151" t="s">
        <v>171</v>
      </c>
      <c r="E42" s="150">
        <v>3.5</v>
      </c>
      <c r="F42" s="150">
        <v>0.5</v>
      </c>
      <c r="G42" s="146">
        <v>83</v>
      </c>
      <c r="H42" s="226">
        <f>+G42/E42</f>
        <v>23.714285714285715</v>
      </c>
      <c r="I42" s="227">
        <f>+(SUM($G$7:$G$1048576)/SUM($E$7:$E$1048576))*E42</f>
        <v>63.269230769230766</v>
      </c>
      <c r="J42" s="363">
        <f>+Tabla2[[#This Row],[PROM DE USUARIOS]]-Tabla2[[#This Row],[USUARIOS]]</f>
        <v>-19.730769230769234</v>
      </c>
      <c r="K42" s="151" t="s">
        <v>192</v>
      </c>
      <c r="L42" s="163">
        <f>Q42*585</f>
        <v>34965</v>
      </c>
      <c r="M42" s="367" t="str">
        <f>+VLOOKUP(C42,Lista!B:D,3,0)</f>
        <v>MICRO</v>
      </c>
      <c r="N42" s="164">
        <f t="shared" si="0"/>
        <v>8600</v>
      </c>
      <c r="O42" s="164">
        <f>Tabla2[[#This Row],[USUARIOS]]*150</f>
        <v>12450</v>
      </c>
      <c r="P42" s="50">
        <f>+(E42*1)-W42</f>
        <v>3.5</v>
      </c>
      <c r="Q42" s="47">
        <f>+I42-P42-X42</f>
        <v>59.769230769230766</v>
      </c>
      <c r="R42" s="49">
        <f>+G42-P42</f>
        <v>79.5</v>
      </c>
      <c r="S42" s="51">
        <f>+E42*$T$3</f>
        <v>59.769230769230766</v>
      </c>
      <c r="T42" s="46">
        <f t="shared" si="1"/>
        <v>32873.076923076922</v>
      </c>
      <c r="U42" t="str">
        <f>+IF(K42&lt;&gt;"",K42,"")</f>
        <v xml:space="preserve">3 Descuentos (Despachador y usuarios desubicados) </v>
      </c>
      <c r="V42">
        <f>+RANK(H42,$H$6:$H$1048576,1)</f>
        <v>39</v>
      </c>
      <c r="Z42" t="str">
        <f>TRIM(Tabla2[[#This Row],[CONDUCTOR]])</f>
        <v>PALMAR PANA EDIXON JOSUE</v>
      </c>
    </row>
    <row r="43" spans="2:26" x14ac:dyDescent="0.2">
      <c r="B43" s="136" t="s">
        <v>121</v>
      </c>
      <c r="C43" s="166">
        <v>40</v>
      </c>
      <c r="D43" s="151" t="s">
        <v>181</v>
      </c>
      <c r="E43" s="150">
        <v>7</v>
      </c>
      <c r="F43" s="150">
        <v>0</v>
      </c>
      <c r="G43" s="165">
        <v>161</v>
      </c>
      <c r="H43" s="226">
        <f>+G43/E43</f>
        <v>23</v>
      </c>
      <c r="I43" s="227">
        <f>+(SUM($G$7:$G$1048576)/SUM($E$7:$E$1048576))*E43</f>
        <v>126.53846153846153</v>
      </c>
      <c r="J43" s="363">
        <f>+Tabla2[[#This Row],[PROM DE USUARIOS]]-Tabla2[[#This Row],[USUARIOS]]</f>
        <v>-34.461538461538467</v>
      </c>
      <c r="K43" s="151"/>
      <c r="L43" s="163">
        <f>Q43*585</f>
        <v>69930</v>
      </c>
      <c r="M43" s="367" t="str">
        <f>+VLOOKUP(C43,Lista!B:D,3,0)</f>
        <v>MICRO</v>
      </c>
      <c r="N43" s="164">
        <f t="shared" si="0"/>
        <v>8600</v>
      </c>
      <c r="O43" s="164">
        <f>Tabla2[[#This Row],[USUARIOS]]*150</f>
        <v>24150</v>
      </c>
      <c r="P43" s="50">
        <f>+(E43*1)-W43</f>
        <v>7</v>
      </c>
      <c r="Q43" s="47">
        <f>+I43-P43-X43</f>
        <v>119.53846153846153</v>
      </c>
      <c r="R43" s="49">
        <f>+G43-P43</f>
        <v>154</v>
      </c>
      <c r="S43" s="51">
        <f>+E43*$T$3</f>
        <v>119.53846153846153</v>
      </c>
      <c r="T43" s="46">
        <f t="shared" si="1"/>
        <v>65746.153846153844</v>
      </c>
      <c r="U43" t="str">
        <f>+IF(K43&lt;&gt;"",K43,"")</f>
        <v/>
      </c>
      <c r="V43">
        <f>+RANK(H43,$H$6:$H$1048576,1)</f>
        <v>38</v>
      </c>
      <c r="Z43" t="str">
        <f>TRIM(Tabla2[[#This Row],[CONDUCTOR]])</f>
        <v>OCAMPO OCAMPO ANTONIO JOSE</v>
      </c>
    </row>
    <row r="44" spans="2:26" x14ac:dyDescent="0.2">
      <c r="B44" s="136" t="s">
        <v>122</v>
      </c>
      <c r="C44" s="166">
        <v>41</v>
      </c>
      <c r="D44" s="151" t="s">
        <v>185</v>
      </c>
      <c r="E44" s="150">
        <v>9</v>
      </c>
      <c r="F44" s="150">
        <v>0.5</v>
      </c>
      <c r="G44" s="146">
        <v>153</v>
      </c>
      <c r="H44" s="226">
        <f>+G44/E44</f>
        <v>17</v>
      </c>
      <c r="I44" s="364">
        <f>+(SUM($G$7:$G$1048576)/SUM($E$7:$E$1048576))*E44</f>
        <v>162.69230769230768</v>
      </c>
      <c r="J44" s="363">
        <f>+Tabla2[[#This Row],[PROM DE USUARIOS]]-Tabla2[[#This Row],[USUARIOS]]</f>
        <v>9.6923076923076792</v>
      </c>
      <c r="K44" s="151" t="s">
        <v>195</v>
      </c>
      <c r="L44" s="163">
        <f>Q44*585</f>
        <v>84914.977499999994</v>
      </c>
      <c r="M44" s="367">
        <f>+VLOOKUP(C44,Lista!B:D,3,0)</f>
        <v>0</v>
      </c>
      <c r="N44" s="164">
        <f t="shared" si="0"/>
        <v>8600</v>
      </c>
      <c r="O44" s="164">
        <f>Tabla2[[#This Row],[USUARIOS]]*150</f>
        <v>22950</v>
      </c>
      <c r="P44" s="50">
        <f>+(E44*1)-W44</f>
        <v>8.5</v>
      </c>
      <c r="Q44" s="47">
        <f>+I44-P44-X44</f>
        <v>145.15380769230768</v>
      </c>
      <c r="R44" s="49">
        <f>+G44-P44</f>
        <v>144.5</v>
      </c>
      <c r="S44" s="51">
        <f>+E44*$T$3</f>
        <v>153.69230769230768</v>
      </c>
      <c r="T44" s="46">
        <f t="shared" si="1"/>
        <v>84530.76923076922</v>
      </c>
      <c r="U44" t="str">
        <f>+IF(K44&lt;&gt;"",K44,"")</f>
        <v xml:space="preserve">Se descuenta 0.5 viaje de 12 27 pm ya que NO ingresa al 13. </v>
      </c>
      <c r="V44">
        <f>+RANK(H44,$H$6:$H$1048576,1)</f>
        <v>15</v>
      </c>
      <c r="W44">
        <v>0.5</v>
      </c>
      <c r="X44">
        <v>9.0385000000000009</v>
      </c>
      <c r="Z44" t="str">
        <f>TRIM(Tabla2[[#This Row],[CONDUCTOR]])</f>
        <v>VALENCIA MENDOZA JHON</v>
      </c>
    </row>
    <row r="45" spans="2:26" x14ac:dyDescent="0.2">
      <c r="B45" s="136" t="s">
        <v>121</v>
      </c>
      <c r="C45" s="166">
        <v>42</v>
      </c>
      <c r="D45" s="151" t="s">
        <v>172</v>
      </c>
      <c r="E45" s="150">
        <v>9</v>
      </c>
      <c r="F45" s="150"/>
      <c r="G45" s="165">
        <v>160</v>
      </c>
      <c r="H45" s="226">
        <f>+G45/E45</f>
        <v>17.777777777777779</v>
      </c>
      <c r="I45" s="227">
        <f>+(SUM($G$7:$G$1048576)/SUM($E$7:$E$1048576))*E45</f>
        <v>162.69230769230768</v>
      </c>
      <c r="J45" s="363">
        <f>+Tabla2[[#This Row],[PROM DE USUARIOS]]-Tabla2[[#This Row],[USUARIOS]]</f>
        <v>2.6923076923076792</v>
      </c>
      <c r="K45" s="151" t="s">
        <v>193</v>
      </c>
      <c r="L45" s="163">
        <f>Q45*585</f>
        <v>89909.999999999985</v>
      </c>
      <c r="M45" s="367">
        <f>+VLOOKUP(C45,Lista!B:D,3,0)</f>
        <v>0</v>
      </c>
      <c r="N45" s="164">
        <f t="shared" si="0"/>
        <v>8600</v>
      </c>
      <c r="O45" s="164">
        <f>Tabla2[[#This Row],[USUARIOS]]*150</f>
        <v>24000</v>
      </c>
      <c r="P45" s="50">
        <f>+(E45*1)-W45</f>
        <v>9</v>
      </c>
      <c r="Q45" s="47">
        <f>+I45-P45-X45</f>
        <v>153.69230769230768</v>
      </c>
      <c r="R45" s="49">
        <f>+G45-P45</f>
        <v>151</v>
      </c>
      <c r="S45" s="51">
        <f>+E45*$T$3</f>
        <v>153.69230769230768</v>
      </c>
      <c r="T45" s="46">
        <f t="shared" si="1"/>
        <v>84530.76923076922</v>
      </c>
      <c r="U45" t="str">
        <f>+IF(K45&lt;&gt;"",K45,"")</f>
        <v xml:space="preserve">2 Descuentos (Conducts) </v>
      </c>
      <c r="V45">
        <f>+RANK(H45,$H$6:$H$1048576,1)</f>
        <v>18</v>
      </c>
      <c r="Z45" t="str">
        <f>TRIM(Tabla2[[#This Row],[CONDUCTOR]])</f>
        <v>AGUDELO GARCIA DENIN ANGELO</v>
      </c>
    </row>
    <row r="46" spans="2:26" x14ac:dyDescent="0.2">
      <c r="B46" s="136" t="s">
        <v>122</v>
      </c>
      <c r="C46" s="166">
        <v>44</v>
      </c>
      <c r="D46" s="151" t="s">
        <v>173</v>
      </c>
      <c r="E46" s="150">
        <v>10</v>
      </c>
      <c r="F46" s="150">
        <v>0</v>
      </c>
      <c r="G46" s="146">
        <v>169</v>
      </c>
      <c r="H46" s="226">
        <f>+G46/E46</f>
        <v>16.899999999999999</v>
      </c>
      <c r="I46" s="364">
        <f>+(SUM($G$7:$G$1048576)/SUM($E$7:$E$1048576))*E46</f>
        <v>180.76923076923077</v>
      </c>
      <c r="J46" s="363">
        <f>+Tabla2[[#This Row],[PROM DE USUARIOS]]-Tabla2[[#This Row],[USUARIOS]]</f>
        <v>11.769230769230774</v>
      </c>
      <c r="K46" s="151"/>
      <c r="L46" s="163">
        <f>Q46*585</f>
        <v>99900</v>
      </c>
      <c r="M46" s="367">
        <f>+VLOOKUP(C46,Lista!B:D,3,0)</f>
        <v>0</v>
      </c>
      <c r="N46" s="164">
        <f t="shared" si="0"/>
        <v>8600</v>
      </c>
      <c r="O46" s="164">
        <f>Tabla2[[#This Row],[USUARIOS]]*150</f>
        <v>25350</v>
      </c>
      <c r="P46" s="50">
        <f>+(E46*1)-W46</f>
        <v>10</v>
      </c>
      <c r="Q46" s="47">
        <f>+I46-P46-X46</f>
        <v>170.76923076923077</v>
      </c>
      <c r="R46" s="49">
        <f>+G46-P46</f>
        <v>159</v>
      </c>
      <c r="S46" s="51">
        <f>+E46*$T$3</f>
        <v>170.76923076923077</v>
      </c>
      <c r="T46" s="46">
        <f t="shared" ref="T46" si="2">+S46*550</f>
        <v>93923.076923076922</v>
      </c>
      <c r="U46" t="str">
        <f>+IF(K46&lt;&gt;"",K46,"")</f>
        <v/>
      </c>
      <c r="V46">
        <f>+RANK(H46,$H$6:$H$1048576,1)</f>
        <v>14</v>
      </c>
      <c r="Z46" t="str">
        <f>TRIM(Tabla2[[#This Row],[CONDUCTOR]])</f>
        <v>MARIN ALZATE KEVIN ANDRES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338</v>
      </c>
      <c r="F47" s="234">
        <f>SUBTOTAL(109,Tabla2[VIAJES PERD.])</f>
        <v>4.5</v>
      </c>
      <c r="G47" s="240">
        <f>SUBTOTAL(109,Tabla2[USUARIOS])</f>
        <v>6110</v>
      </c>
      <c r="H47" s="375">
        <f>+Tabla2[[#Totals],[USUARIOS]]/Tabla2[[#Totals],[VIAJES]]</f>
        <v>18.076923076923077</v>
      </c>
      <c r="I47" s="240">
        <f>SUBTOTAL(109,Tabla2[PROM DE USUARIOS])</f>
        <v>6110</v>
      </c>
      <c r="J47" s="374">
        <f>SUBTOTAL(109,Tabla2[RECIBE / ENTREGA])</f>
        <v>-1.6342482922482304E-13</v>
      </c>
      <c r="K47" s="235" t="s">
        <v>194</v>
      </c>
      <c r="L47" s="236"/>
      <c r="M47" s="237"/>
      <c r="N47" s="238">
        <f>SUBTOTAL(109,Tabla2[DIFER. MICRO - BUS ])</f>
        <v>344000</v>
      </c>
      <c r="O47" s="238">
        <f>SUBTOTAL(109,Tabla2[FONDO (SIT)])</f>
        <v>916500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ref="T47" si="3">+S47*550</f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s="134"/>
      <c r="P48" s="11" t="e">
        <f>+#REF!-#REF!</f>
        <v>#REF!</v>
      </c>
      <c r="Q48" t="e">
        <f>+#REF!*$T$3</f>
        <v>#REF!</v>
      </c>
      <c r="R48" t="e">
        <f t="shared" ref="R48" si="4">+Q48*550</f>
        <v>#REF!</v>
      </c>
      <c r="S48" t="e">
        <f>+IF(#REF!&lt;&gt;"",#REF!,"")</f>
        <v>#REF!</v>
      </c>
      <c r="T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s="134"/>
      <c r="P49" s="11" t="e">
        <f>+#REF!-#REF!</f>
        <v>#REF!</v>
      </c>
      <c r="Q49" t="e">
        <f>+#REF!*$T$3</f>
        <v>#REF!</v>
      </c>
      <c r="R49" t="e">
        <f t="shared" ref="R49" si="5">+Q49*550</f>
        <v>#REF!</v>
      </c>
      <c r="S49" t="e">
        <f>+IF(#REF!&lt;&gt;"",#REF!,"")</f>
        <v>#REF!</v>
      </c>
      <c r="T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 t="shared" ref="R50:R55" si="6">+E110*$T$3</f>
        <v>0</v>
      </c>
      <c r="S50">
        <f t="shared" ref="S50:S55" si="7">+R50*550</f>
        <v>0</v>
      </c>
      <c r="T50" t="str">
        <f t="shared" ref="T50:T55" si="8">+IF(K110&lt;&gt;"",K110,"")</f>
        <v/>
      </c>
      <c r="U50" t="e">
        <f t="shared" ref="U50:U55" si="9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 t="shared" si="6"/>
        <v>0</v>
      </c>
      <c r="S51">
        <f t="shared" si="7"/>
        <v>0</v>
      </c>
      <c r="T51" t="str">
        <f t="shared" si="8"/>
        <v/>
      </c>
      <c r="U51" t="e">
        <f t="shared" si="9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 t="shared" si="6"/>
        <v>0</v>
      </c>
      <c r="S52">
        <f t="shared" si="7"/>
        <v>0</v>
      </c>
      <c r="T52" t="str">
        <f t="shared" si="8"/>
        <v/>
      </c>
      <c r="U52" t="e">
        <f t="shared" si="9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 t="shared" si="6"/>
        <v>0</v>
      </c>
      <c r="S53">
        <f t="shared" si="7"/>
        <v>0</v>
      </c>
      <c r="T53" t="str">
        <f t="shared" si="8"/>
        <v/>
      </c>
      <c r="U53" t="e">
        <f t="shared" si="9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 t="shared" si="6"/>
        <v>0</v>
      </c>
      <c r="S54">
        <f t="shared" si="7"/>
        <v>0</v>
      </c>
      <c r="T54" t="str">
        <f t="shared" si="8"/>
        <v/>
      </c>
      <c r="U54" t="e">
        <f t="shared" si="9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 t="shared" si="6"/>
        <v>0</v>
      </c>
      <c r="S55">
        <f t="shared" si="7"/>
        <v>0</v>
      </c>
      <c r="T55" t="str">
        <f t="shared" si="8"/>
        <v/>
      </c>
      <c r="U55" t="e">
        <f t="shared" si="9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0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0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0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0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0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" priority="175" operator="containsText" text="M">
      <formula>NOT(ISERROR(SEARCH("M",M7)))</formula>
    </cfRule>
  </conditionalFormatting>
  <conditionalFormatting sqref="V6">
    <cfRule type="cellIs" dxfId="5" priority="172" operator="between">
      <formula>1</formula>
      <formula>4</formula>
    </cfRule>
  </conditionalFormatting>
  <conditionalFormatting sqref="E48:E1177 E7:E46">
    <cfRule type="cellIs" dxfId="4" priority="170" operator="greaterThan">
      <formula>7</formula>
    </cfRule>
  </conditionalFormatting>
  <conditionalFormatting sqref="E1487:E4765">
    <cfRule type="cellIs" dxfId="3" priority="137" operator="greaterThan">
      <formula>7</formula>
    </cfRule>
  </conditionalFormatting>
  <conditionalFormatting sqref="I48:I1249 G48:G50 I7:I46">
    <cfRule type="cellIs" dxfId="2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49">
    <cfRule type="top10" dxfId="1" priority="297745" rank="1"/>
  </conditionalFormatting>
  <conditionalFormatting sqref="H1436:H1473 H1260:H1434 H48:H1249 H7:H46">
    <cfRule type="cellIs" dxfId="0" priority="297748" operator="greaterThan">
      <formula>$H$47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9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2026-01-10T06:09:43Z</cp:lastPrinted>
  <dcterms:created xsi:type="dcterms:W3CDTF">2021-05-05T13:25:05Z</dcterms:created>
  <dcterms:modified xsi:type="dcterms:W3CDTF">2026-01-10T06:11:56Z</dcterms:modified>
</cp:coreProperties>
</file>