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C66C9414-16FF-4868-B1D5-2C8BAA9F913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H8" i="1"/>
  <c r="M8" i="1"/>
  <c r="O8" i="1"/>
  <c r="Q8" i="1"/>
  <c r="T8" i="1"/>
  <c r="H9" i="1"/>
  <c r="M9" i="1"/>
  <c r="O9" i="1"/>
  <c r="Q9" i="1" s="1"/>
  <c r="T9" i="1"/>
  <c r="H10" i="1"/>
  <c r="M10" i="1"/>
  <c r="O10" i="1"/>
  <c r="Q10" i="1"/>
  <c r="T10" i="1"/>
  <c r="H11" i="1"/>
  <c r="M11" i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O15" i="1"/>
  <c r="Q15" i="1"/>
  <c r="T15" i="1"/>
  <c r="H16" i="1"/>
  <c r="M16" i="1"/>
  <c r="O16" i="1"/>
  <c r="Q16" i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O19" i="1"/>
  <c r="Q19" i="1"/>
  <c r="T19" i="1"/>
  <c r="H20" i="1"/>
  <c r="M20" i="1"/>
  <c r="O20" i="1"/>
  <c r="Q20" i="1" s="1"/>
  <c r="T20" i="1"/>
  <c r="H21" i="1"/>
  <c r="M21" i="1"/>
  <c r="O21" i="1"/>
  <c r="T21" i="1"/>
  <c r="H22" i="1"/>
  <c r="M22" i="1"/>
  <c r="O22" i="1"/>
  <c r="Q22" i="1" s="1"/>
  <c r="T22" i="1"/>
  <c r="H23" i="1"/>
  <c r="M23" i="1"/>
  <c r="O23" i="1"/>
  <c r="Q23" i="1"/>
  <c r="T23" i="1"/>
  <c r="H24" i="1"/>
  <c r="M24" i="1"/>
  <c r="O24" i="1"/>
  <c r="Q24" i="1"/>
  <c r="T24" i="1"/>
  <c r="H25" i="1"/>
  <c r="M25" i="1"/>
  <c r="O25" i="1"/>
  <c r="T25" i="1"/>
  <c r="H26" i="1"/>
  <c r="M26" i="1"/>
  <c r="O26" i="1"/>
  <c r="Q26" i="1" s="1"/>
  <c r="T26" i="1"/>
  <c r="H27" i="1"/>
  <c r="M27" i="1"/>
  <c r="O27" i="1"/>
  <c r="Q27" i="1"/>
  <c r="T27" i="1"/>
  <c r="H28" i="1"/>
  <c r="M28" i="1"/>
  <c r="O28" i="1"/>
  <c r="Q28" i="1"/>
  <c r="T28" i="1"/>
  <c r="H29" i="1"/>
  <c r="M29" i="1"/>
  <c r="O29" i="1"/>
  <c r="T29" i="1"/>
  <c r="H30" i="1"/>
  <c r="M30" i="1"/>
  <c r="O30" i="1"/>
  <c r="Q30" i="1" s="1"/>
  <c r="T30" i="1"/>
  <c r="H31" i="1"/>
  <c r="M31" i="1"/>
  <c r="O31" i="1"/>
  <c r="Q31" i="1"/>
  <c r="T31" i="1"/>
  <c r="H32" i="1"/>
  <c r="M32" i="1"/>
  <c r="O32" i="1"/>
  <c r="Q32" i="1"/>
  <c r="T32" i="1"/>
  <c r="H33" i="1"/>
  <c r="M33" i="1"/>
  <c r="O33" i="1"/>
  <c r="T33" i="1"/>
  <c r="H34" i="1"/>
  <c r="M34" i="1"/>
  <c r="O34" i="1"/>
  <c r="Q34" i="1" s="1"/>
  <c r="T34" i="1"/>
  <c r="H35" i="1"/>
  <c r="M35" i="1"/>
  <c r="O35" i="1"/>
  <c r="Q35" i="1"/>
  <c r="T35" i="1"/>
  <c r="H36" i="1"/>
  <c r="M36" i="1"/>
  <c r="O36" i="1"/>
  <c r="Q36" i="1"/>
  <c r="T36" i="1"/>
  <c r="H37" i="1"/>
  <c r="M37" i="1"/>
  <c r="O37" i="1"/>
  <c r="T37" i="1"/>
  <c r="H38" i="1"/>
  <c r="M38" i="1"/>
  <c r="O38" i="1"/>
  <c r="Q38" i="1" s="1"/>
  <c r="T38" i="1"/>
  <c r="H39" i="1"/>
  <c r="M39" i="1"/>
  <c r="O39" i="1"/>
  <c r="Q39" i="1"/>
  <c r="T39" i="1"/>
  <c r="H40" i="1"/>
  <c r="M40" i="1"/>
  <c r="O40" i="1"/>
  <c r="Q40" i="1"/>
  <c r="T40" i="1"/>
  <c r="H41" i="1"/>
  <c r="M41" i="1"/>
  <c r="O41" i="1"/>
  <c r="T41" i="1"/>
  <c r="H42" i="1"/>
  <c r="M42" i="1"/>
  <c r="O42" i="1"/>
  <c r="Q42" i="1" s="1"/>
  <c r="T42" i="1"/>
  <c r="H43" i="1"/>
  <c r="M43" i="1"/>
  <c r="O43" i="1"/>
  <c r="Q43" i="1"/>
  <c r="T43" i="1"/>
  <c r="H44" i="1"/>
  <c r="M44" i="1"/>
  <c r="O44" i="1"/>
  <c r="Q44" i="1"/>
  <c r="T44" i="1"/>
  <c r="H45" i="1"/>
  <c r="M45" i="1"/>
  <c r="O45" i="1"/>
  <c r="T45" i="1"/>
  <c r="H46" i="1"/>
  <c r="M46" i="1"/>
  <c r="O46" i="1"/>
  <c r="Q46" i="1" s="1"/>
  <c r="T46" i="1"/>
  <c r="H47" i="1"/>
  <c r="M47" i="1"/>
  <c r="O47" i="1"/>
  <c r="Q47" i="1"/>
  <c r="T47" i="1"/>
  <c r="C48" i="1"/>
  <c r="Q45" i="1" l="1"/>
  <c r="Q41" i="1"/>
  <c r="Q37" i="1"/>
  <c r="Q33" i="1"/>
  <c r="Q29" i="1"/>
  <c r="Q25" i="1"/>
  <c r="Q21" i="1"/>
  <c r="G48" i="1" l="1"/>
  <c r="F48" i="1"/>
  <c r="E48" i="1"/>
  <c r="G11" i="6"/>
  <c r="P3" i="6" s="1"/>
  <c r="F11" i="6"/>
  <c r="E11" i="6"/>
  <c r="T7" i="1"/>
  <c r="O7" i="1"/>
  <c r="Q7" i="1" s="1"/>
  <c r="M7" i="1"/>
  <c r="H7" i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H11" i="3"/>
  <c r="AP6" i="3"/>
  <c r="E13" i="3"/>
  <c r="D13" i="3"/>
  <c r="D12" i="3"/>
  <c r="I11" i="1" l="1"/>
  <c r="I13" i="1"/>
  <c r="I14" i="1"/>
  <c r="I16" i="1"/>
  <c r="I17" i="1"/>
  <c r="I18" i="1"/>
  <c r="I20" i="1"/>
  <c r="I47" i="1"/>
  <c r="I40" i="1"/>
  <c r="I8" i="1"/>
  <c r="I9" i="1"/>
  <c r="I10" i="1"/>
  <c r="I12" i="1"/>
  <c r="I21" i="1"/>
  <c r="I22" i="1"/>
  <c r="I27" i="1"/>
  <c r="I28" i="1"/>
  <c r="I29" i="1"/>
  <c r="I30" i="1"/>
  <c r="I35" i="1"/>
  <c r="I36" i="1"/>
  <c r="I37" i="1"/>
  <c r="I38" i="1"/>
  <c r="I43" i="1"/>
  <c r="I44" i="1"/>
  <c r="I45" i="1"/>
  <c r="I46" i="1"/>
  <c r="I15" i="1"/>
  <c r="I19" i="1"/>
  <c r="I23" i="1"/>
  <c r="I24" i="1"/>
  <c r="I25" i="1"/>
  <c r="I26" i="1"/>
  <c r="I31" i="1"/>
  <c r="I32" i="1"/>
  <c r="I33" i="1"/>
  <c r="I34" i="1"/>
  <c r="I39" i="1"/>
  <c r="I41" i="1"/>
  <c r="I42" i="1"/>
  <c r="I7" i="1"/>
  <c r="P7" i="1" s="1"/>
  <c r="L7" i="1" s="1"/>
  <c r="H48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43" i="1" l="1"/>
  <c r="U20" i="1"/>
  <c r="U23" i="1"/>
  <c r="U11" i="1"/>
  <c r="U37" i="1"/>
  <c r="U21" i="1"/>
  <c r="U25" i="1"/>
  <c r="U45" i="1"/>
  <c r="U29" i="1"/>
  <c r="U16" i="1"/>
  <c r="U27" i="1"/>
  <c r="U15" i="1"/>
  <c r="U42" i="1"/>
  <c r="U34" i="1"/>
  <c r="U26" i="1"/>
  <c r="U18" i="1"/>
  <c r="U17" i="1"/>
  <c r="U9" i="1"/>
  <c r="U32" i="1"/>
  <c r="U24" i="1"/>
  <c r="U47" i="1"/>
  <c r="U12" i="1"/>
  <c r="U39" i="1"/>
  <c r="U46" i="1"/>
  <c r="U38" i="1"/>
  <c r="U30" i="1"/>
  <c r="U22" i="1"/>
  <c r="U14" i="1"/>
  <c r="U41" i="1"/>
  <c r="U13" i="1"/>
  <c r="U44" i="1"/>
  <c r="U36" i="1"/>
  <c r="U28" i="1"/>
  <c r="U35" i="1"/>
  <c r="U19" i="1"/>
  <c r="U31" i="1"/>
  <c r="U8" i="1"/>
  <c r="U10" i="1"/>
  <c r="U33" i="1"/>
  <c r="U40" i="1"/>
  <c r="U7" i="1"/>
  <c r="J42" i="1"/>
  <c r="P42" i="1"/>
  <c r="L42" i="1" s="1"/>
  <c r="J25" i="1"/>
  <c r="P25" i="1"/>
  <c r="L25" i="1" s="1"/>
  <c r="J35" i="1"/>
  <c r="P35" i="1"/>
  <c r="L35" i="1" s="1"/>
  <c r="J47" i="1"/>
  <c r="P47" i="1"/>
  <c r="L47" i="1" s="1"/>
  <c r="J41" i="1"/>
  <c r="P41" i="1"/>
  <c r="L41" i="1" s="1"/>
  <c r="J32" i="1"/>
  <c r="P32" i="1"/>
  <c r="L32" i="1" s="1"/>
  <c r="J24" i="1"/>
  <c r="P24" i="1"/>
  <c r="L24" i="1" s="1"/>
  <c r="J46" i="1"/>
  <c r="P46" i="1"/>
  <c r="L46" i="1" s="1"/>
  <c r="J38" i="1"/>
  <c r="P38" i="1"/>
  <c r="L38" i="1" s="1"/>
  <c r="J30" i="1"/>
  <c r="P30" i="1"/>
  <c r="L30" i="1" s="1"/>
  <c r="J22" i="1"/>
  <c r="P22" i="1"/>
  <c r="L22" i="1" s="1"/>
  <c r="P9" i="1"/>
  <c r="L9" i="1" s="1"/>
  <c r="J9" i="1"/>
  <c r="J20" i="1"/>
  <c r="P20" i="1"/>
  <c r="L20" i="1" s="1"/>
  <c r="J14" i="1"/>
  <c r="P14" i="1"/>
  <c r="L14" i="1" s="1"/>
  <c r="J33" i="1"/>
  <c r="P33" i="1"/>
  <c r="L33" i="1" s="1"/>
  <c r="J43" i="1"/>
  <c r="P43" i="1"/>
  <c r="L43" i="1" s="1"/>
  <c r="J10" i="1"/>
  <c r="P10" i="1"/>
  <c r="L10" i="1" s="1"/>
  <c r="J39" i="1"/>
  <c r="P39" i="1"/>
  <c r="L39" i="1" s="1"/>
  <c r="J31" i="1"/>
  <c r="P31" i="1"/>
  <c r="L31" i="1" s="1"/>
  <c r="J23" i="1"/>
  <c r="P23" i="1"/>
  <c r="L23" i="1" s="1"/>
  <c r="J45" i="1"/>
  <c r="P45" i="1"/>
  <c r="L45" i="1" s="1"/>
  <c r="J37" i="1"/>
  <c r="P37" i="1"/>
  <c r="L37" i="1" s="1"/>
  <c r="J29" i="1"/>
  <c r="P29" i="1"/>
  <c r="L29" i="1" s="1"/>
  <c r="J21" i="1"/>
  <c r="P21" i="1"/>
  <c r="L21" i="1" s="1"/>
  <c r="J8" i="1"/>
  <c r="P8" i="1"/>
  <c r="L8" i="1" s="1"/>
  <c r="J18" i="1"/>
  <c r="P18" i="1"/>
  <c r="L18" i="1" s="1"/>
  <c r="P13" i="1"/>
  <c r="L13" i="1" s="1"/>
  <c r="J13" i="1"/>
  <c r="J15" i="1"/>
  <c r="P15" i="1"/>
  <c r="L15" i="1" s="1"/>
  <c r="J27" i="1"/>
  <c r="P27" i="1"/>
  <c r="L27" i="1" s="1"/>
  <c r="J16" i="1"/>
  <c r="P16" i="1"/>
  <c r="L16" i="1" s="1"/>
  <c r="J34" i="1"/>
  <c r="P34" i="1"/>
  <c r="L34" i="1" s="1"/>
  <c r="J26" i="1"/>
  <c r="P26" i="1"/>
  <c r="L26" i="1" s="1"/>
  <c r="J19" i="1"/>
  <c r="P19" i="1"/>
  <c r="L19" i="1" s="1"/>
  <c r="J44" i="1"/>
  <c r="P44" i="1"/>
  <c r="L44" i="1" s="1"/>
  <c r="J36" i="1"/>
  <c r="P36" i="1"/>
  <c r="L36" i="1" s="1"/>
  <c r="J28" i="1"/>
  <c r="P28" i="1"/>
  <c r="L28" i="1" s="1"/>
  <c r="J12" i="1"/>
  <c r="P12" i="1"/>
  <c r="L12" i="1" s="1"/>
  <c r="J40" i="1"/>
  <c r="P40" i="1"/>
  <c r="L40" i="1" s="1"/>
  <c r="P17" i="1"/>
  <c r="L17" i="1" s="1"/>
  <c r="J17" i="1"/>
  <c r="J11" i="1"/>
  <c r="P11" i="1"/>
  <c r="L11" i="1" s="1"/>
  <c r="J7" i="1"/>
  <c r="I48" i="1"/>
  <c r="N48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8" i="1" l="1"/>
  <c r="R13" i="1"/>
  <c r="S13" i="1" s="1"/>
  <c r="R14" i="1"/>
  <c r="S14" i="1" s="1"/>
  <c r="R15" i="1"/>
  <c r="S15" i="1" s="1"/>
  <c r="R17" i="1"/>
  <c r="S17" i="1" s="1"/>
  <c r="R18" i="1"/>
  <c r="S18" i="1" s="1"/>
  <c r="R19" i="1"/>
  <c r="S19" i="1" s="1"/>
  <c r="R22" i="1"/>
  <c r="S22" i="1" s="1"/>
  <c r="R24" i="1"/>
  <c r="S24" i="1" s="1"/>
  <c r="R30" i="1"/>
  <c r="S30" i="1" s="1"/>
  <c r="R32" i="1"/>
  <c r="S32" i="1" s="1"/>
  <c r="R38" i="1"/>
  <c r="S38" i="1" s="1"/>
  <c r="R40" i="1"/>
  <c r="S40" i="1" s="1"/>
  <c r="R47" i="1"/>
  <c r="S47" i="1" s="1"/>
  <c r="R9" i="1"/>
  <c r="S9" i="1" s="1"/>
  <c r="R10" i="1"/>
  <c r="S10" i="1" s="1"/>
  <c r="R11" i="1"/>
  <c r="S11" i="1" s="1"/>
  <c r="R12" i="1"/>
  <c r="S12" i="1" s="1"/>
  <c r="R16" i="1"/>
  <c r="S16" i="1" s="1"/>
  <c r="R20" i="1"/>
  <c r="S20" i="1" s="1"/>
  <c r="R21" i="1"/>
  <c r="S21" i="1" s="1"/>
  <c r="R27" i="1"/>
  <c r="S27" i="1" s="1"/>
  <c r="R29" i="1"/>
  <c r="S29" i="1" s="1"/>
  <c r="R35" i="1"/>
  <c r="S35" i="1" s="1"/>
  <c r="R37" i="1"/>
  <c r="S37" i="1" s="1"/>
  <c r="R43" i="1"/>
  <c r="S43" i="1" s="1"/>
  <c r="R45" i="1"/>
  <c r="S45" i="1" s="1"/>
  <c r="R46" i="1"/>
  <c r="S46" i="1" s="1"/>
  <c r="R8" i="1"/>
  <c r="S8" i="1" s="1"/>
  <c r="R26" i="1"/>
  <c r="S26" i="1" s="1"/>
  <c r="R28" i="1"/>
  <c r="S28" i="1" s="1"/>
  <c r="R34" i="1"/>
  <c r="S34" i="1" s="1"/>
  <c r="R36" i="1"/>
  <c r="S36" i="1" s="1"/>
  <c r="R42" i="1"/>
  <c r="S42" i="1" s="1"/>
  <c r="R44" i="1"/>
  <c r="S44" i="1" s="1"/>
  <c r="R23" i="1"/>
  <c r="S23" i="1" s="1"/>
  <c r="R25" i="1"/>
  <c r="S25" i="1" s="1"/>
  <c r="R31" i="1"/>
  <c r="S31" i="1" s="1"/>
  <c r="R33" i="1"/>
  <c r="S33" i="1" s="1"/>
  <c r="R39" i="1"/>
  <c r="S39" i="1" s="1"/>
  <c r="R41" i="1"/>
  <c r="S41" i="1" s="1"/>
  <c r="R7" i="1"/>
  <c r="S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<sst xmlns="http://schemas.openxmlformats.org/spreadsheetml/2006/main" count="314" uniqueCount="197">
  <si>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</si>
  <si>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</si>
  <si>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</si>
  <si>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</si>
  <si>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</si>
  <si>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</si>
  <si>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</si>
  <si>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</si>
  <si>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</si>
  <si>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</si>
  <si>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</si>
  <si>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</si>
  <si>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</si>
  <si>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</si>
  <si>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</si>
  <si>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</si>
  <si>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</si>
  <si>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</si>
  <si>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</si>
  <si>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</si>
  <si>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</si>
  <si>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</si>
  <si>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</si>
  <si>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</si>
  <si>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</si>
  <si>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</si>
  <si>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</si>
  <si>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</si>
  <si>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</si>
  <si>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</si>
  <si>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</si>
  <si>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</si>
  <si>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</si>
  <si>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</si>
  <si>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</si>
  <si>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</si>
  <si>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</si>
  <si>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</si>
  <si>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</si>
  <si>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</si>
  <si>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</si>
  <si>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</si>
  <si>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</si>
  <si>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</si>
  <si>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</si>
  <si>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</si>
  <si>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</si>
  <si>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</si>
  <si>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</si>
  <si>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</si>
  <si>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</si>
  <si>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</si>
  <si>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</si>
  <si>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</si>
  <si>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</si>
  <si>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</si>
  <si>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</si>
  <si>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</si>
  <si>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</si>
  <si>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</si>
  <si>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</si>
  <si>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</si>
  <si>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</si>
  <si>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</si>
  <si>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</si>
  <si>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</si>
  <si>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</si>
  <si>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</si>
  <si>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</si>
  <si>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</si>
  <si>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</si>
  <si>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</si>
  <si>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</si>
  <si>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</si>
  <si>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</si>
  <si>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</si>
  <si>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</si>
  <si>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</si>
  <si>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</si>
  <si>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</si>
  <si>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</si>
  <si>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</si>
  <si>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</si>
  <si>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</si>
  <si>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</si>
  <si>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</si>
  <si>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</si>
  <si>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</si>
  <si>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</si>
  <si>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</si>
  <si>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</si>
  <si>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</si>
  <si>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</si>
  <si>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</si>
  <si>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</si>
  <si>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</si>
  <si>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</si>
  <si>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</si>
  <si>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</si>
  <si>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</si>
  <si>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</si>
  <si>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</si>
  <si>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</si>
  <si>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</si>
  <si>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</si>
  <si>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</si>
  <si>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</si>
  <si>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</si>
  <si>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</si>
  <si>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</si>
  <si>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</si>
  <si>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</si>
  <si>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</si>
  <si>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</si>
  <si>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</si>
  <si>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</si>
  <si>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</si>
  <si>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</si>
  <si>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</si>
  <si>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</si>
  <si>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</si>
  <si>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</si>
  <si>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</si>
  <si>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</si>
  <si>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</si>
  <si>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</si>
  <si>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</si>
  <si>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</si>
  <si>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</si>
  <si>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</si>
  <si>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</si>
  <si>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</si>
  <si>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</si>
  <si>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</si>
  <si>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</si>
  <si>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</si>
  <si>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</si>
  <si>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</si>
  <si>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</si>
  <si>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</si>
  <si>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</si>
  <si>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</si>
  <si>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</si>
  <si>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</si>
  <si>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</si>
  <si>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</si>
  <si>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ALBERTO ARISTIZABAL RAFAEL</t>
  </si>
  <si>
    <t>PEREZ GARCIA JUAN ESTEBAN</t>
  </si>
  <si>
    <t>GONZALEZ IPUANA RENE</t>
  </si>
  <si>
    <t>OSORIO URREGO SANTIAGO</t>
  </si>
  <si>
    <t>TSJ935</t>
  </si>
  <si>
    <t>TSJ338</t>
  </si>
  <si>
    <t>PARIAS MURIEL JHON FREDY</t>
  </si>
  <si>
    <t>JARAMILLO JARAMILLO FRANCISCO WBEIMAR</t>
  </si>
  <si>
    <t>PARRA VILLA YUBER ALONSO</t>
  </si>
  <si>
    <t>CARTAGENA RAMIREZ FREDY ALONSO</t>
  </si>
  <si>
    <t>SALDARRIAGA PARRA LUIS ALBERTO</t>
  </si>
  <si>
    <t>CALLE BOTERO ANDRES CAMILO</t>
  </si>
  <si>
    <t>YEPES TORRES JHON ALEXANDER</t>
  </si>
  <si>
    <t>VERENZUELA MARTINEZ ALEXANDER</t>
  </si>
  <si>
    <t>LEON PEREZ RAUL ENRIQUE</t>
  </si>
  <si>
    <t>JIMENEZ HURTADO CARLOS ESTIVEN</t>
  </si>
  <si>
    <t>HINCAPIE VILLA JUAN ESTIVEN</t>
  </si>
  <si>
    <t>JIMENEZ HERNANDEZ ESTEBAN CAMILO</t>
  </si>
  <si>
    <t>MONTOYA OSPINA GILBERTO ANTONIO</t>
  </si>
  <si>
    <t>TUBERQUIA URREGO HAROL</t>
  </si>
  <si>
    <t>CIRO MARIN RODRIGO ALBERTO</t>
  </si>
  <si>
    <t>LOPEZ PINEDA DANIEL ESTIVEN</t>
  </si>
  <si>
    <t>PALMAR PANA EDIXON JOSUE</t>
  </si>
  <si>
    <t>AGUDELO GARCIA DENIN ANGELO</t>
  </si>
  <si>
    <t>GONZALEZ PEREZ RAFAEL JOSE</t>
  </si>
  <si>
    <t>IBARGUEN GARRIDO JUAN ESTEBAN</t>
  </si>
  <si>
    <t>GUTIERREZ ARICAPA DANIEL HUMBERTO</t>
  </si>
  <si>
    <t>AGUDELO GARCIA LLORDIN ELIAS</t>
  </si>
  <si>
    <t>ARAQUE ARROYAVE JOSE ALBEIRO</t>
  </si>
  <si>
    <t>FRANCO CARVAJAL GERARDO ANTONIO</t>
  </si>
  <si>
    <t>MACIAS HERNANDEZ JULIAN DAVID</t>
  </si>
  <si>
    <t>TABORDA ROJAS DIEGO ALEJANDRO</t>
  </si>
  <si>
    <t>GARCIA DAVID WILSON ALBERTO</t>
  </si>
  <si>
    <t>SUAREZ ESCUDERO JONATAN</t>
  </si>
  <si>
    <t>LOPERA ALVAREZ ESTIVEN</t>
  </si>
  <si>
    <t>DAVID  HENRY GIOVANNY</t>
  </si>
  <si>
    <t>MIRANDA MACHADO ALVARO</t>
  </si>
  <si>
    <t>MACEA ARBELAEZ MATEO</t>
  </si>
  <si>
    <t>LAYOS JIMENEZ JOHAN CAMILO</t>
  </si>
  <si>
    <t>MARTINEZ CHAVERRA LUIS NORBERTO</t>
  </si>
  <si>
    <t>FLORES RINCON JORGE ALBERTO</t>
  </si>
  <si>
    <t xml:space="preserve">HERNANDEZ MACIAS GILBERTO </t>
  </si>
  <si>
    <t xml:space="preserve">1 Descuento (Despachador) </t>
  </si>
  <si>
    <t xml:space="preserve">3 Descuentos (Despachadora) </t>
  </si>
  <si>
    <t xml:space="preserve">2 Descuentos (Despachador) </t>
  </si>
  <si>
    <t xml:space="preserve">1 Descuento (Jefe de ruta) </t>
  </si>
  <si>
    <t xml:space="preserve">3 Descuentos (Transbordo) </t>
  </si>
  <si>
    <t xml:space="preserve">1 Descuento (Usuario desubicado) </t>
  </si>
  <si>
    <t xml:space="preserve">2 Descuentos (conduct y usuario desubicado) </t>
  </si>
  <si>
    <t xml:space="preserve">2 Descuentos (tecnico radios y jefe de ruta)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</si>
  <si>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 USUARIOS</t>
    </r>
    <r>
      <rPr>
        <b/>
        <sz val="11"/>
        <rFont val="Verdana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</si>
</sst>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General</c:formatCode>
                <c:ptCount val="41"/>
                <c:pt idx="0" formatCode="0">
                  <c:v>1</c:v>
                </c:pt>
                <c:pt idx="1">
                  <c:v>2</c:v>
                </c:pt>
                <c:pt idx="2" formatCode="0">
                  <c:v>3</c:v>
                </c:pt>
                <c:pt idx="3">
                  <c:v>4</c:v>
                </c:pt>
                <c:pt idx="4" formatCode="0">
                  <c:v>5</c:v>
                </c:pt>
                <c:pt idx="5" formatCode="0">
                  <c:v>6</c:v>
                </c:pt>
                <c:pt idx="6" formatCode="0">
                  <c:v>7</c:v>
                </c:pt>
                <c:pt idx="7" formatCode="0">
                  <c:v>8</c:v>
                </c:pt>
                <c:pt idx="8" formatCode="0">
                  <c:v>9</c:v>
                </c:pt>
                <c:pt idx="9" formatCode="0">
                  <c:v>11</c:v>
                </c:pt>
                <c:pt idx="10" formatCode="0">
                  <c:v>12</c:v>
                </c:pt>
                <c:pt idx="11" formatCode="0">
                  <c:v>13</c:v>
                </c:pt>
                <c:pt idx="12" formatCode="0">
                  <c:v>14</c:v>
                </c:pt>
                <c:pt idx="13" formatCode="0">
                  <c:v>15</c:v>
                </c:pt>
                <c:pt idx="14" formatCode="0">
                  <c:v>16</c:v>
                </c:pt>
                <c:pt idx="15" formatCode="0">
                  <c:v>17</c:v>
                </c:pt>
                <c:pt idx="16" formatCode="0">
                  <c:v>18</c:v>
                </c:pt>
                <c:pt idx="17" formatCode="0">
                  <c:v>19</c:v>
                </c:pt>
                <c:pt idx="18" formatCode="0">
                  <c:v>20</c:v>
                </c:pt>
                <c:pt idx="19" formatCode="0">
                  <c:v>21</c:v>
                </c:pt>
                <c:pt idx="20" formatCode="0">
                  <c:v>23</c:v>
                </c:pt>
                <c:pt idx="21" formatCode="0">
                  <c:v>24</c:v>
                </c:pt>
                <c:pt idx="22" formatCode="0">
                  <c:v>25</c:v>
                </c:pt>
                <c:pt idx="23">
                  <c:v>26</c:v>
                </c:pt>
                <c:pt idx="24">
                  <c:v>27</c:v>
                </c:pt>
                <c:pt idx="25" formatCode="0">
                  <c:v>28</c:v>
                </c:pt>
                <c:pt idx="26" formatCode="0">
                  <c:v>29</c:v>
                </c:pt>
                <c:pt idx="27" formatCode="0">
                  <c:v>30</c:v>
                </c:pt>
                <c:pt idx="28" formatCode="0">
                  <c:v>31</c:v>
                </c:pt>
                <c:pt idx="29" formatCode="0">
                  <c:v>32</c:v>
                </c:pt>
                <c:pt idx="30" formatCode="0">
                  <c:v>33</c:v>
                </c:pt>
                <c:pt idx="31" formatCode="0">
                  <c:v>34</c:v>
                </c:pt>
                <c:pt idx="32" formatCode="0">
                  <c:v>35</c:v>
                </c:pt>
                <c:pt idx="33" formatCode="0">
                  <c:v>36</c:v>
                </c:pt>
                <c:pt idx="34" formatCode="0">
                  <c:v>37</c:v>
                </c:pt>
                <c:pt idx="35" formatCode="0">
                  <c:v>38</c:v>
                </c:pt>
                <c:pt idx="36">
                  <c:v>39</c:v>
                </c:pt>
                <c:pt idx="37" formatCode="0">
                  <c:v>40</c:v>
                </c:pt>
                <c:pt idx="38" formatCode="0">
                  <c:v>41</c:v>
                </c:pt>
                <c:pt idx="39" formatCode="0">
                  <c:v>42</c:v>
                </c:pt>
                <c:pt idx="40" formatCode="0">
                  <c:v>43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20.444444444444443</c:v>
                </c:pt>
                <c:pt idx="1">
                  <c:v>25.666666666666668</c:v>
                </c:pt>
                <c:pt idx="2">
                  <c:v>15.6</c:v>
                </c:pt>
                <c:pt idx="3">
                  <c:v>23.363636363636363</c:v>
                </c:pt>
                <c:pt idx="4">
                  <c:v>20.5</c:v>
                </c:pt>
                <c:pt idx="5">
                  <c:v>20.142857142857142</c:v>
                </c:pt>
                <c:pt idx="6">
                  <c:v>26.181818181818183</c:v>
                </c:pt>
                <c:pt idx="7">
                  <c:v>23</c:v>
                </c:pt>
                <c:pt idx="8">
                  <c:v>26.6</c:v>
                </c:pt>
                <c:pt idx="9">
                  <c:v>21.1</c:v>
                </c:pt>
                <c:pt idx="10">
                  <c:v>20.888888888888889</c:v>
                </c:pt>
                <c:pt idx="11">
                  <c:v>23.7</c:v>
                </c:pt>
                <c:pt idx="12">
                  <c:v>20.111111111111111</c:v>
                </c:pt>
                <c:pt idx="13">
                  <c:v>23.857142857142858</c:v>
                </c:pt>
                <c:pt idx="14">
                  <c:v>20.666666666666668</c:v>
                </c:pt>
                <c:pt idx="15">
                  <c:v>16.600000000000001</c:v>
                </c:pt>
                <c:pt idx="16">
                  <c:v>20.777777777777779</c:v>
                </c:pt>
                <c:pt idx="17">
                  <c:v>17.416666666666668</c:v>
                </c:pt>
                <c:pt idx="18">
                  <c:v>26</c:v>
                </c:pt>
                <c:pt idx="19">
                  <c:v>23.727272727272727</c:v>
                </c:pt>
                <c:pt idx="20">
                  <c:v>19.333333333333332</c:v>
                </c:pt>
                <c:pt idx="21">
                  <c:v>24.111111111111111</c:v>
                </c:pt>
                <c:pt idx="22">
                  <c:v>25.875</c:v>
                </c:pt>
                <c:pt idx="23">
                  <c:v>20.5</c:v>
                </c:pt>
                <c:pt idx="24">
                  <c:v>27.2</c:v>
                </c:pt>
                <c:pt idx="25">
                  <c:v>20</c:v>
                </c:pt>
                <c:pt idx="26">
                  <c:v>17.600000000000001</c:v>
                </c:pt>
                <c:pt idx="27">
                  <c:v>23</c:v>
                </c:pt>
                <c:pt idx="28">
                  <c:v>20.625</c:v>
                </c:pt>
                <c:pt idx="29">
                  <c:v>20.555555555555557</c:v>
                </c:pt>
                <c:pt idx="30">
                  <c:v>25.555555555555557</c:v>
                </c:pt>
                <c:pt idx="31">
                  <c:v>25.555555555555557</c:v>
                </c:pt>
                <c:pt idx="32">
                  <c:v>19.888888888888889</c:v>
                </c:pt>
                <c:pt idx="33">
                  <c:v>24.222222222222221</c:v>
                </c:pt>
                <c:pt idx="34">
                  <c:v>24.8</c:v>
                </c:pt>
                <c:pt idx="35">
                  <c:v>20.777777777777779</c:v>
                </c:pt>
                <c:pt idx="36">
                  <c:v>21.1</c:v>
                </c:pt>
                <c:pt idx="37">
                  <c:v>21.9</c:v>
                </c:pt>
                <c:pt idx="38">
                  <c:v>19.714285714285715</c:v>
                </c:pt>
                <c:pt idx="39">
                  <c:v>26.222222222222221</c:v>
                </c:pt>
                <c:pt idx="40">
                  <c:v>23.333333333333332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55" dataDxfId="54" totalsRowDxfId="53">
  <sortState xmlns:xlrd2="http://schemas.microsoft.com/office/spreadsheetml/2017/richdata2" ref="B7:N28">
    <sortCondition descending="1" ref="H7:H28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2 USUARIOS 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2" dataDxfId="51" totalsRowDxfId="50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9" totalsRowDxfId="48"/>
    <tableColumn id="2" xr3:uid="{7E9A4909-E53D-4F94-80A1-A675A394CC57}" name="VEH" totalsRowLabel="4" dataDxfId="47" totalsRowDxfId="46"/>
    <tableColumn id="3" xr3:uid="{32EB6A87-92EF-4CA2-B1E8-104D5D2326F5}" name="CONDUCTOR" totalsRowLabel="Vehs " dataDxfId="45" totalsRowDxfId="44"/>
    <tableColumn id="4" xr3:uid="{72FB169E-4910-4353-AF10-07DA297F0CD5}" name="VIAJES" totalsRowFunction="sum" dataDxfId="43" totalsRowDxfId="42"/>
    <tableColumn id="5" xr3:uid="{F323DE89-3087-4D39-B0ED-15680CB2FE01}" name="VIAJES PERD." totalsRowFunction="sum" dataDxfId="41" totalsRowDxfId="40"/>
    <tableColumn id="6" xr3:uid="{FF87B711-9A02-4FB5-B21F-73198A4385A8}" name="USUARIOS" totalsRowFunction="sum" dataDxfId="39" totalsRowDxfId="38" dataCellStyle="Millares"/>
    <tableColumn id="12" xr3:uid="{60E0DB3A-B7E4-44B6-BB26-D54278C24006}" name="PROM X VIAJE" totalsRowFunction="average" dataDxfId="37" totalsRowDxfId="36" dataCellStyle="Millares"/>
    <tableColumn id="7" xr3:uid="{12134CBA-AEEC-4025-BB5C-89B13D8F91D4}" name="PROM DE USUARIOS" totalsRowFunction="sum" dataDxfId="35" totalsRowDxfId="34" dataCellStyle="Millares"/>
    <tableColumn id="8" xr3:uid="{F35B2CED-DE3E-48D9-8E47-198F9B4F56C9}" name="NOVEDADES" dataDxfId="33" totalsRowDxfId="32"/>
    <tableColumn id="9" xr3:uid="{4BD57B08-79CF-4422-A880-91A289697DC2}" name="VALOR OPERACIÓN" dataDxfId="31" totalsRowDxfId="30" dataCellStyle="Millares"/>
    <tableColumn id="10" xr3:uid="{E8B6C5A5-759D-4901-BD5D-0ADA9540975C}" name="CLASIFIC." dataDxfId="29" totalsRowDxfId="28"/>
    <tableColumn id="11" xr3:uid="{CFA53866-4E21-473F-9C2D-8FB2962BACB5}" name="DIFER. MICRO - BUS " totalsRowFunction="sum" dataDxfId="27" totalsRowDxfId="26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Normal="100" workbookViewId="0">
      <selection activeCell="J1" sqref="J1:J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39.87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+SUM(G6:G1859)/2</f>
        <v>8096</v>
      </c>
      <c r="R3" s="55">
        <f>+SUM(E6:E1859)/2</f>
        <v>368</v>
      </c>
      <c r="S3" s="55">
        <f>+Q3-R3</f>
        <v>7728</v>
      </c>
      <c r="T3" s="56">
        <f>+S3/R3</f>
        <v>21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45989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162</v>
      </c>
      <c r="E7" s="150">
        <v>9</v>
      </c>
      <c r="F7" s="150">
        <v>0</v>
      </c>
      <c r="G7" s="165">
        <v>184</v>
      </c>
      <c r="H7" s="226">
        <f t="shared" ref="H7" si="0">+G7/E7</f>
        <v>20.444444444444443</v>
      </c>
      <c r="I7" s="227">
        <f>+(SUM($G$7:$G$1048576)/SUM($E$7:$E$1048576))*E7</f>
        <v>198</v>
      </c>
      <c r="J7" s="363">
        <f>+Tabla2[[#This Row],[PROM DE USUARIOS]]-Tabla2[[#This Row],[USUARIOS]]</f>
        <v>14</v>
      </c>
      <c r="K7" s="151"/>
      <c r="L7" s="163">
        <f t="shared" ref="L7" si="1">P7*585</f>
        <v>110565</v>
      </c>
      <c r="M7" s="162" t="str">
        <f>+VLOOKUP(C7,Lista!B:D,3,0)</f>
        <v>MICRO</v>
      </c>
      <c r="N7" s="365">
        <f t="shared" ref="N7:N47" si="2">+(SUMIFS(G:G,M:M,"MICRO",E:E,"&gt;0")*100)/COUNTIF($E$7:$E$47,"&gt;0")</f>
        <v>12468.292682926829</v>
      </c>
      <c r="O7" s="50">
        <f t="shared" ref="O7" si="3">+(E7*1)-V7</f>
        <v>9</v>
      </c>
      <c r="P7" s="47">
        <f t="shared" ref="P7" si="4">+I7-O7-W7</f>
        <v>189</v>
      </c>
      <c r="Q7" s="49">
        <f t="shared" ref="Q7" si="5">+G7-O7</f>
        <v>175</v>
      </c>
      <c r="R7" s="51">
        <f t="shared" ref="R7" si="6">+E7*$T$3</f>
        <v>189</v>
      </c>
      <c r="S7" s="46">
        <f t="shared" ref="S7" si="7">+R7*550</f>
        <v>103950</v>
      </c>
      <c r="T7" t="str">
        <f t="shared" ref="T7" si="8">+IF(K7&lt;&gt;"",K7,"")</f>
        <v/>
      </c>
      <c r="U7">
        <f>+RANK(H7,$H$6:$H$1048576,1)</f>
        <v>11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122</v>
      </c>
      <c r="C8" s="137">
        <v>2</v>
      </c>
      <c r="D8" s="151" t="s">
        <v>152</v>
      </c>
      <c r="E8" s="150">
        <v>9</v>
      </c>
      <c r="F8" s="150">
        <v>0</v>
      </c>
      <c r="G8" s="146">
        <v>231</v>
      </c>
      <c r="H8" s="226">
        <f t="shared" ref="H8:H47" si="9">+G8/E8</f>
        <v>25.666666666666668</v>
      </c>
      <c r="I8" s="227">
        <f t="shared" ref="I8:I47" si="10">+(SUM($G$7:$G$1048576)/SUM($E$7:$E$1048576))*E8</f>
        <v>198</v>
      </c>
      <c r="J8" s="363">
        <f>+Tabla2[[#This Row],[PROM DE USUARIOS]]-Tabla2[[#This Row],[USUARIOS]]</f>
        <v>-33</v>
      </c>
      <c r="K8" s="151"/>
      <c r="L8" s="163">
        <f t="shared" ref="L8:L47" si="11">P8*585</f>
        <v>110565</v>
      </c>
      <c r="M8" s="162">
        <f>+VLOOKUP(C8,Lista!B:D,3,0)</f>
        <v>0</v>
      </c>
      <c r="N8" s="365">
        <f t="shared" si="2"/>
        <v>12468.292682926829</v>
      </c>
      <c r="O8" s="50">
        <f t="shared" ref="O8:O47" si="12">+(E8*1)-V8</f>
        <v>9</v>
      </c>
      <c r="P8" s="47">
        <f t="shared" ref="P8:P47" si="13">+I8-O8-W8</f>
        <v>189</v>
      </c>
      <c r="Q8" s="49">
        <f t="shared" ref="Q8:Q47" si="14">+G8-O8</f>
        <v>222</v>
      </c>
      <c r="R8" s="51">
        <f t="shared" ref="R8:R47" si="15">+E8*$T$3</f>
        <v>189</v>
      </c>
      <c r="S8" s="46">
        <f t="shared" ref="S8:S47" si="16">+R8*550</f>
        <v>103950</v>
      </c>
      <c r="T8" t="str">
        <f t="shared" ref="T8:T47" si="17">+IF(K8&lt;&gt;"",K8,"")</f>
        <v/>
      </c>
      <c r="U8">
        <f t="shared" ref="U8:U47" si="18">+RANK(H8,$H$6:$H$1048576,1)</f>
        <v>36</v>
      </c>
      <c r="Y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179</v>
      </c>
      <c r="E9" s="150">
        <v>10</v>
      </c>
      <c r="F9" s="150">
        <v>0</v>
      </c>
      <c r="G9" s="165">
        <v>156</v>
      </c>
      <c r="H9" s="226">
        <f t="shared" si="9"/>
        <v>15.6</v>
      </c>
      <c r="I9" s="227">
        <f t="shared" si="10"/>
        <v>220</v>
      </c>
      <c r="J9" s="363">
        <f>+Tabla2[[#This Row],[PROM DE USUARIOS]]-Tabla2[[#This Row],[USUARIOS]]</f>
        <v>64</v>
      </c>
      <c r="K9" s="151"/>
      <c r="L9" s="163">
        <f t="shared" si="11"/>
        <v>122850</v>
      </c>
      <c r="M9" s="162" t="str">
        <f>+VLOOKUP(C9,Lista!B:D,3,0)</f>
        <v>MICRO</v>
      </c>
      <c r="N9" s="365">
        <f t="shared" si="2"/>
        <v>12468.292682926829</v>
      </c>
      <c r="O9" s="50">
        <f t="shared" si="12"/>
        <v>10</v>
      </c>
      <c r="P9" s="47">
        <f t="shared" si="13"/>
        <v>210</v>
      </c>
      <c r="Q9" s="49">
        <f t="shared" si="14"/>
        <v>146</v>
      </c>
      <c r="R9" s="51">
        <f t="shared" si="15"/>
        <v>210</v>
      </c>
      <c r="S9" s="46">
        <f t="shared" si="16"/>
        <v>115500</v>
      </c>
      <c r="T9" t="str">
        <f t="shared" si="17"/>
        <v/>
      </c>
      <c r="U9">
        <f t="shared" si="18"/>
        <v>1</v>
      </c>
      <c r="Y9" t="str">
        <f>TRIM(Tabla2[[#This Row],[CONDUCTOR]])</f>
        <v>SUAREZ ESCUDERO JONATAN</v>
      </c>
    </row>
    <row r="10" spans="1:32" x14ac:dyDescent="0.2">
      <c r="B10" s="136" t="s">
        <v>122</v>
      </c>
      <c r="C10" s="137">
        <v>4</v>
      </c>
      <c r="D10" s="151" t="s">
        <v>180</v>
      </c>
      <c r="E10" s="150">
        <v>11</v>
      </c>
      <c r="F10" s="150">
        <v>0</v>
      </c>
      <c r="G10" s="146">
        <v>257</v>
      </c>
      <c r="H10" s="226">
        <f t="shared" si="9"/>
        <v>23.363636363636363</v>
      </c>
      <c r="I10" s="227">
        <f t="shared" si="10"/>
        <v>242</v>
      </c>
      <c r="J10" s="363">
        <f>+Tabla2[[#This Row],[PROM DE USUARIOS]]-Tabla2[[#This Row],[USUARIOS]]</f>
        <v>-15</v>
      </c>
      <c r="K10" s="151"/>
      <c r="L10" s="163">
        <f t="shared" si="11"/>
        <v>135135</v>
      </c>
      <c r="M10" s="162" t="str">
        <f>+VLOOKUP(C10,Lista!B:D,3,0)</f>
        <v>MICRO</v>
      </c>
      <c r="N10" s="365">
        <f t="shared" si="2"/>
        <v>12468.292682926829</v>
      </c>
      <c r="O10" s="50">
        <f t="shared" si="12"/>
        <v>11</v>
      </c>
      <c r="P10" s="47">
        <f t="shared" si="13"/>
        <v>231</v>
      </c>
      <c r="Q10" s="49">
        <f t="shared" si="14"/>
        <v>246</v>
      </c>
      <c r="R10" s="51">
        <f t="shared" si="15"/>
        <v>231</v>
      </c>
      <c r="S10" s="46">
        <f t="shared" si="16"/>
        <v>127050</v>
      </c>
      <c r="T10" t="str">
        <f t="shared" si="17"/>
        <v/>
      </c>
      <c r="U10">
        <f t="shared" si="18"/>
        <v>27</v>
      </c>
      <c r="Y10" t="str">
        <f>TRIM(Tabla2[[#This Row],[CONDUCTOR]])</f>
        <v>LOPERA ALVAREZ ESTIVEN</v>
      </c>
    </row>
    <row r="11" spans="1:32" x14ac:dyDescent="0.2">
      <c r="B11" s="136" t="s">
        <v>121</v>
      </c>
      <c r="C11" s="166">
        <v>5</v>
      </c>
      <c r="D11" s="151" t="s">
        <v>159</v>
      </c>
      <c r="E11" s="150">
        <v>10</v>
      </c>
      <c r="F11" s="150">
        <v>0</v>
      </c>
      <c r="G11" s="165">
        <v>205</v>
      </c>
      <c r="H11" s="226">
        <f t="shared" si="9"/>
        <v>20.5</v>
      </c>
      <c r="I11" s="227">
        <f t="shared" si="10"/>
        <v>220</v>
      </c>
      <c r="J11" s="363">
        <f>+Tabla2[[#This Row],[PROM DE USUARIOS]]-Tabla2[[#This Row],[USUARIOS]]</f>
        <v>15</v>
      </c>
      <c r="K11" s="151"/>
      <c r="L11" s="163">
        <f t="shared" si="11"/>
        <v>122850</v>
      </c>
      <c r="M11" s="162">
        <f>+VLOOKUP(C11,Lista!B:D,3,0)</f>
        <v>0</v>
      </c>
      <c r="N11" s="365">
        <f t="shared" si="2"/>
        <v>12468.292682926829</v>
      </c>
      <c r="O11" s="50">
        <f t="shared" si="12"/>
        <v>10</v>
      </c>
      <c r="P11" s="47">
        <f t="shared" si="13"/>
        <v>210</v>
      </c>
      <c r="Q11" s="49">
        <f t="shared" si="14"/>
        <v>195</v>
      </c>
      <c r="R11" s="51">
        <f t="shared" si="15"/>
        <v>210</v>
      </c>
      <c r="S11" s="46">
        <f t="shared" si="16"/>
        <v>115500</v>
      </c>
      <c r="T11" t="str">
        <f t="shared" si="17"/>
        <v/>
      </c>
      <c r="U11">
        <f t="shared" si="18"/>
        <v>12</v>
      </c>
      <c r="Y11" t="str">
        <f>TRIM(Tabla2[[#This Row],[CONDUCTOR]])</f>
        <v>VERENZUELA MARTINEZ ALEXANDER</v>
      </c>
    </row>
    <row r="12" spans="1:32" x14ac:dyDescent="0.2">
      <c r="B12" s="136" t="s">
        <v>122</v>
      </c>
      <c r="C12" s="166">
        <v>6</v>
      </c>
      <c r="D12" s="151" t="s">
        <v>167</v>
      </c>
      <c r="E12" s="150">
        <v>7</v>
      </c>
      <c r="F12" s="150">
        <v>0</v>
      </c>
      <c r="G12" s="165">
        <v>141</v>
      </c>
      <c r="H12" s="226">
        <f t="shared" si="9"/>
        <v>20.142857142857142</v>
      </c>
      <c r="I12" s="227">
        <f t="shared" si="10"/>
        <v>154</v>
      </c>
      <c r="J12" s="363">
        <f>+Tabla2[[#This Row],[PROM DE USUARIOS]]-Tabla2[[#This Row],[USUARIOS]]</f>
        <v>13</v>
      </c>
      <c r="K12" s="151"/>
      <c r="L12" s="163">
        <f t="shared" si="11"/>
        <v>85995</v>
      </c>
      <c r="M12" s="162" t="str">
        <f>+VLOOKUP(C12,Lista!B:D,3,0)</f>
        <v>MICRO</v>
      </c>
      <c r="N12" s="365">
        <f t="shared" si="2"/>
        <v>12468.292682926829</v>
      </c>
      <c r="O12" s="50">
        <f t="shared" si="12"/>
        <v>7</v>
      </c>
      <c r="P12" s="47">
        <f t="shared" si="13"/>
        <v>147</v>
      </c>
      <c r="Q12" s="49">
        <f t="shared" si="14"/>
        <v>134</v>
      </c>
      <c r="R12" s="51">
        <f t="shared" si="15"/>
        <v>147</v>
      </c>
      <c r="S12" s="46">
        <f t="shared" si="16"/>
        <v>80850</v>
      </c>
      <c r="T12" t="str">
        <f t="shared" si="17"/>
        <v/>
      </c>
      <c r="U12">
        <f t="shared" si="18"/>
        <v>10</v>
      </c>
      <c r="Y12" t="str">
        <f>TRIM(Tabla2[[#This Row],[CONDUCTOR]])</f>
        <v>LOPEZ PINEDA DANIEL ESTIVEN</v>
      </c>
    </row>
    <row r="13" spans="1:32" x14ac:dyDescent="0.2">
      <c r="B13" s="136" t="s">
        <v>121</v>
      </c>
      <c r="C13" s="166">
        <v>7</v>
      </c>
      <c r="D13" s="151" t="s">
        <v>165</v>
      </c>
      <c r="E13" s="150">
        <v>11</v>
      </c>
      <c r="F13" s="150">
        <v>0</v>
      </c>
      <c r="G13" s="165">
        <v>288</v>
      </c>
      <c r="H13" s="226">
        <f t="shared" si="9"/>
        <v>26.181818181818183</v>
      </c>
      <c r="I13" s="227">
        <f t="shared" si="10"/>
        <v>242</v>
      </c>
      <c r="J13" s="363">
        <f>+Tabla2[[#This Row],[PROM DE USUARIOS]]-Tabla2[[#This Row],[USUARIOS]]</f>
        <v>-46</v>
      </c>
      <c r="K13" s="151" t="s">
        <v>188</v>
      </c>
      <c r="L13" s="163">
        <f t="shared" si="11"/>
        <v>135135</v>
      </c>
      <c r="M13" s="162">
        <f>+VLOOKUP(C13,Lista!B:D,3,0)</f>
        <v>0</v>
      </c>
      <c r="N13" s="365">
        <f t="shared" si="2"/>
        <v>12468.292682926829</v>
      </c>
      <c r="O13" s="50">
        <f t="shared" si="12"/>
        <v>11</v>
      </c>
      <c r="P13" s="47">
        <f t="shared" si="13"/>
        <v>231</v>
      </c>
      <c r="Q13" s="49">
        <f t="shared" si="14"/>
        <v>277</v>
      </c>
      <c r="R13" s="51">
        <f t="shared" si="15"/>
        <v>231</v>
      </c>
      <c r="S13" s="46">
        <f t="shared" si="16"/>
        <v>127050</v>
      </c>
      <c r="T13" t="str">
        <f t="shared" si="17"/>
        <v xml:space="preserve">1 Descuento (Despachador) </v>
      </c>
      <c r="U13">
        <f t="shared" si="18"/>
        <v>39</v>
      </c>
      <c r="Y13" t="str">
        <f>TRIM(Tabla2[[#This Row],[CONDUCTOR]])</f>
        <v>TUBERQUIA URREGO HAROL</v>
      </c>
    </row>
    <row r="14" spans="1:32" x14ac:dyDescent="0.2">
      <c r="B14" s="136" t="s">
        <v>122</v>
      </c>
      <c r="C14" s="166">
        <v>8</v>
      </c>
      <c r="D14" s="151" t="s">
        <v>170</v>
      </c>
      <c r="E14" s="150">
        <v>10</v>
      </c>
      <c r="F14" s="150">
        <v>0</v>
      </c>
      <c r="G14" s="165">
        <v>230</v>
      </c>
      <c r="H14" s="226">
        <f t="shared" si="9"/>
        <v>23</v>
      </c>
      <c r="I14" s="227">
        <f t="shared" si="10"/>
        <v>220</v>
      </c>
      <c r="J14" s="363">
        <f>+Tabla2[[#This Row],[PROM DE USUARIOS]]-Tabla2[[#This Row],[USUARIOS]]</f>
        <v>-10</v>
      </c>
      <c r="K14" s="151" t="s">
        <v>189</v>
      </c>
      <c r="L14" s="163">
        <f t="shared" si="11"/>
        <v>122850</v>
      </c>
      <c r="M14" s="162">
        <f>+VLOOKUP(C14,Lista!B:D,3,0)</f>
        <v>0</v>
      </c>
      <c r="N14" s="365">
        <f t="shared" si="2"/>
        <v>12468.292682926829</v>
      </c>
      <c r="O14" s="50">
        <f t="shared" si="12"/>
        <v>10</v>
      </c>
      <c r="P14" s="47">
        <f t="shared" si="13"/>
        <v>210</v>
      </c>
      <c r="Q14" s="49">
        <f t="shared" si="14"/>
        <v>220</v>
      </c>
      <c r="R14" s="51">
        <f t="shared" si="15"/>
        <v>210</v>
      </c>
      <c r="S14" s="46">
        <f t="shared" si="16"/>
        <v>115500</v>
      </c>
      <c r="T14" t="str">
        <f t="shared" si="17"/>
        <v xml:space="preserve">3 Descuentos (Despachadora) </v>
      </c>
      <c r="U14">
        <f t="shared" si="18"/>
        <v>24</v>
      </c>
      <c r="Y14" t="str">
        <f>TRIM(Tabla2[[#This Row],[CONDUCTOR]])</f>
        <v>GONZALEZ PEREZ RAFAEL JOSE</v>
      </c>
    </row>
    <row r="15" spans="1:32" x14ac:dyDescent="0.2">
      <c r="B15" s="136" t="s">
        <v>121</v>
      </c>
      <c r="C15" s="166">
        <v>9</v>
      </c>
      <c r="D15" s="151" t="s">
        <v>155</v>
      </c>
      <c r="E15" s="150">
        <v>10</v>
      </c>
      <c r="F15" s="150">
        <v>0</v>
      </c>
      <c r="G15" s="165">
        <v>266</v>
      </c>
      <c r="H15" s="226">
        <f t="shared" si="9"/>
        <v>26.6</v>
      </c>
      <c r="I15" s="227">
        <f t="shared" si="10"/>
        <v>220</v>
      </c>
      <c r="J15" s="363">
        <f>+Tabla2[[#This Row],[PROM DE USUARIOS]]-Tabla2[[#This Row],[USUARIOS]]</f>
        <v>-46</v>
      </c>
      <c r="K15" s="151" t="s">
        <v>190</v>
      </c>
      <c r="L15" s="163">
        <f t="shared" si="11"/>
        <v>122850</v>
      </c>
      <c r="M15" s="162" t="str">
        <f>+VLOOKUP(C15,Lista!B:D,3,0)</f>
        <v>MICRO</v>
      </c>
      <c r="N15" s="365">
        <f t="shared" si="2"/>
        <v>12468.292682926829</v>
      </c>
      <c r="O15" s="50">
        <f t="shared" si="12"/>
        <v>10</v>
      </c>
      <c r="P15" s="47">
        <f t="shared" si="13"/>
        <v>210</v>
      </c>
      <c r="Q15" s="49">
        <f t="shared" si="14"/>
        <v>256</v>
      </c>
      <c r="R15" s="51">
        <f t="shared" si="15"/>
        <v>210</v>
      </c>
      <c r="S15" s="46">
        <f t="shared" si="16"/>
        <v>115500</v>
      </c>
      <c r="T15" t="str">
        <f t="shared" si="17"/>
        <v xml:space="preserve">2 Descuentos (Despachador) </v>
      </c>
      <c r="U15">
        <f t="shared" si="18"/>
        <v>41</v>
      </c>
      <c r="Y15" t="str">
        <f>TRIM(Tabla2[[#This Row],[CONDUCTOR]])</f>
        <v>CARTAGENA RAMIREZ FREDY ALONSO</v>
      </c>
    </row>
    <row r="16" spans="1:32" x14ac:dyDescent="0.2">
      <c r="B16" s="136" t="s">
        <v>122</v>
      </c>
      <c r="C16" s="166">
        <v>11</v>
      </c>
      <c r="D16" s="151" t="s">
        <v>158</v>
      </c>
      <c r="E16" s="150">
        <v>10</v>
      </c>
      <c r="F16" s="150">
        <v>0</v>
      </c>
      <c r="G16" s="165">
        <v>211</v>
      </c>
      <c r="H16" s="226">
        <f t="shared" si="9"/>
        <v>21.1</v>
      </c>
      <c r="I16" s="227">
        <f t="shared" si="10"/>
        <v>220</v>
      </c>
      <c r="J16" s="363">
        <f>+Tabla2[[#This Row],[PROM DE USUARIOS]]-Tabla2[[#This Row],[USUARIOS]]</f>
        <v>9</v>
      </c>
      <c r="K16" s="151"/>
      <c r="L16" s="163">
        <f t="shared" si="11"/>
        <v>122850</v>
      </c>
      <c r="M16" s="162" t="str">
        <f>+VLOOKUP(C16,Lista!B:D,3,0)</f>
        <v>MICRO</v>
      </c>
      <c r="N16" s="365">
        <f t="shared" si="2"/>
        <v>12468.292682926829</v>
      </c>
      <c r="O16" s="50">
        <f t="shared" si="12"/>
        <v>10</v>
      </c>
      <c r="P16" s="47">
        <f t="shared" si="13"/>
        <v>210</v>
      </c>
      <c r="Q16" s="49">
        <f t="shared" si="14"/>
        <v>201</v>
      </c>
      <c r="R16" s="51">
        <f t="shared" si="15"/>
        <v>210</v>
      </c>
      <c r="S16" s="46">
        <f t="shared" si="16"/>
        <v>115500</v>
      </c>
      <c r="T16" t="str">
        <f t="shared" si="17"/>
        <v/>
      </c>
      <c r="U16">
        <f t="shared" si="18"/>
        <v>20</v>
      </c>
      <c r="Y16" t="str">
        <f>TRIM(Tabla2[[#This Row],[CONDUCTOR]])</f>
        <v>YEPES TORRES JHON ALEXANDER</v>
      </c>
    </row>
    <row r="17" spans="2:25" x14ac:dyDescent="0.2">
      <c r="B17" s="136" t="s">
        <v>121</v>
      </c>
      <c r="C17" s="166">
        <v>12</v>
      </c>
      <c r="D17" s="151" t="s">
        <v>181</v>
      </c>
      <c r="E17" s="150">
        <v>9</v>
      </c>
      <c r="F17" s="150">
        <v>0</v>
      </c>
      <c r="G17" s="146">
        <v>188</v>
      </c>
      <c r="H17" s="226">
        <f t="shared" si="9"/>
        <v>20.888888888888889</v>
      </c>
      <c r="I17" s="227">
        <f t="shared" si="10"/>
        <v>198</v>
      </c>
      <c r="J17" s="363">
        <f>+Tabla2[[#This Row],[PROM DE USUARIOS]]-Tabla2[[#This Row],[USUARIOS]]</f>
        <v>10</v>
      </c>
      <c r="K17" s="151"/>
      <c r="L17" s="163">
        <f t="shared" si="11"/>
        <v>110565</v>
      </c>
      <c r="M17" s="162">
        <f>+VLOOKUP(C17,Lista!B:D,3,0)</f>
        <v>0</v>
      </c>
      <c r="N17" s="365">
        <f t="shared" si="2"/>
        <v>12468.292682926829</v>
      </c>
      <c r="O17" s="50">
        <f t="shared" si="12"/>
        <v>9</v>
      </c>
      <c r="P17" s="47">
        <f t="shared" si="13"/>
        <v>189</v>
      </c>
      <c r="Q17" s="49">
        <f t="shared" si="14"/>
        <v>179</v>
      </c>
      <c r="R17" s="51">
        <f t="shared" si="15"/>
        <v>189</v>
      </c>
      <c r="S17" s="46">
        <f t="shared" si="16"/>
        <v>103950</v>
      </c>
      <c r="T17" t="str">
        <f t="shared" si="17"/>
        <v/>
      </c>
      <c r="U17">
        <f t="shared" si="18"/>
        <v>19</v>
      </c>
      <c r="Y17" t="str">
        <f>TRIM(Tabla2[[#This Row],[CONDUCTOR]])</f>
        <v>DAVID HENRY GIOVANNY</v>
      </c>
    </row>
    <row r="18" spans="2:25" x14ac:dyDescent="0.2">
      <c r="B18" s="136" t="s">
        <v>122</v>
      </c>
      <c r="C18" s="166">
        <v>13</v>
      </c>
      <c r="D18" s="151" t="s">
        <v>182</v>
      </c>
      <c r="E18" s="150">
        <v>10</v>
      </c>
      <c r="F18" s="150">
        <v>0</v>
      </c>
      <c r="G18" s="165">
        <v>237</v>
      </c>
      <c r="H18" s="226">
        <f t="shared" si="9"/>
        <v>23.7</v>
      </c>
      <c r="I18" s="227">
        <f t="shared" si="10"/>
        <v>220</v>
      </c>
      <c r="J18" s="363">
        <f>+Tabla2[[#This Row],[PROM DE USUARIOS]]-Tabla2[[#This Row],[USUARIOS]]</f>
        <v>-17</v>
      </c>
      <c r="K18" s="151" t="s">
        <v>191</v>
      </c>
      <c r="L18" s="163">
        <f t="shared" si="11"/>
        <v>122850</v>
      </c>
      <c r="M18" s="162" t="str">
        <f>+VLOOKUP(C18,Lista!B:D,3,0)</f>
        <v>MICRO</v>
      </c>
      <c r="N18" s="365">
        <f t="shared" si="2"/>
        <v>12468.292682926829</v>
      </c>
      <c r="O18" s="50">
        <f t="shared" si="12"/>
        <v>10</v>
      </c>
      <c r="P18" s="47">
        <f t="shared" si="13"/>
        <v>210</v>
      </c>
      <c r="Q18" s="49">
        <f t="shared" si="14"/>
        <v>227</v>
      </c>
      <c r="R18" s="51">
        <f t="shared" si="15"/>
        <v>210</v>
      </c>
      <c r="S18" s="46">
        <f t="shared" si="16"/>
        <v>115500</v>
      </c>
      <c r="T18" t="str">
        <f t="shared" si="17"/>
        <v xml:space="preserve">1 Descuento (Jefe de ruta) </v>
      </c>
      <c r="U18">
        <f t="shared" si="18"/>
        <v>28</v>
      </c>
      <c r="Y18" t="str">
        <f>TRIM(Tabla2[[#This Row],[CONDUCTOR]])</f>
        <v>MIRANDA MACHADO ALVARO</v>
      </c>
    </row>
    <row r="19" spans="2:25" x14ac:dyDescent="0.2">
      <c r="B19" s="136" t="s">
        <v>121</v>
      </c>
      <c r="C19" s="166">
        <v>14</v>
      </c>
      <c r="D19" s="151" t="s">
        <v>120</v>
      </c>
      <c r="E19" s="150">
        <v>9</v>
      </c>
      <c r="F19" s="150">
        <v>0</v>
      </c>
      <c r="G19" s="165">
        <v>181</v>
      </c>
      <c r="H19" s="226">
        <f t="shared" si="9"/>
        <v>20.111111111111111</v>
      </c>
      <c r="I19" s="227">
        <f t="shared" si="10"/>
        <v>198</v>
      </c>
      <c r="J19" s="363">
        <f>+Tabla2[[#This Row],[PROM DE USUARIOS]]-Tabla2[[#This Row],[USUARIOS]]</f>
        <v>17</v>
      </c>
      <c r="K19" s="151"/>
      <c r="L19" s="163">
        <f t="shared" si="11"/>
        <v>110565</v>
      </c>
      <c r="M19" s="162">
        <f>+VLOOKUP(C19,Lista!B:D,3,0)</f>
        <v>0</v>
      </c>
      <c r="N19" s="365">
        <f t="shared" si="2"/>
        <v>12468.292682926829</v>
      </c>
      <c r="O19" s="50">
        <f t="shared" si="12"/>
        <v>9</v>
      </c>
      <c r="P19" s="47">
        <f t="shared" si="13"/>
        <v>189</v>
      </c>
      <c r="Q19" s="49">
        <f t="shared" si="14"/>
        <v>172</v>
      </c>
      <c r="R19" s="51">
        <f t="shared" si="15"/>
        <v>189</v>
      </c>
      <c r="S19" s="46">
        <f t="shared" si="16"/>
        <v>103950</v>
      </c>
      <c r="T19" t="str">
        <f t="shared" si="17"/>
        <v/>
      </c>
      <c r="U19">
        <f t="shared" si="18"/>
        <v>9</v>
      </c>
      <c r="Y19" t="str">
        <f>TRIM(Tabla2[[#This Row],[CONDUCTOR]])</f>
        <v>DURANGO PAEZ GILDARDO</v>
      </c>
    </row>
    <row r="20" spans="2:25" x14ac:dyDescent="0.2">
      <c r="B20" s="136" t="s">
        <v>122</v>
      </c>
      <c r="C20" s="166">
        <v>15</v>
      </c>
      <c r="D20" s="151" t="s">
        <v>187</v>
      </c>
      <c r="E20" s="150">
        <v>7</v>
      </c>
      <c r="F20" s="150">
        <v>0</v>
      </c>
      <c r="G20" s="165">
        <v>167</v>
      </c>
      <c r="H20" s="226">
        <f t="shared" si="9"/>
        <v>23.857142857142858</v>
      </c>
      <c r="I20" s="227">
        <f t="shared" si="10"/>
        <v>154</v>
      </c>
      <c r="J20" s="363">
        <f>+Tabla2[[#This Row],[PROM DE USUARIOS]]-Tabla2[[#This Row],[USUARIOS]]</f>
        <v>-13</v>
      </c>
      <c r="K20" s="151"/>
      <c r="L20" s="163">
        <f t="shared" si="11"/>
        <v>85995</v>
      </c>
      <c r="M20" s="162">
        <f>+VLOOKUP(C20,Lista!B:D,3,0)</f>
        <v>0</v>
      </c>
      <c r="N20" s="365">
        <f t="shared" si="2"/>
        <v>12468.292682926829</v>
      </c>
      <c r="O20" s="50">
        <f t="shared" si="12"/>
        <v>7</v>
      </c>
      <c r="P20" s="47">
        <f t="shared" si="13"/>
        <v>147</v>
      </c>
      <c r="Q20" s="49">
        <f t="shared" si="14"/>
        <v>160</v>
      </c>
      <c r="R20" s="51">
        <f t="shared" si="15"/>
        <v>147</v>
      </c>
      <c r="S20" s="46">
        <f t="shared" si="16"/>
        <v>80850</v>
      </c>
      <c r="T20" t="str">
        <f t="shared" si="17"/>
        <v/>
      </c>
      <c r="U20">
        <f t="shared" si="18"/>
        <v>30</v>
      </c>
      <c r="Y20" t="str">
        <f>TRIM(Tabla2[[#This Row],[CONDUCTOR]])</f>
        <v>HERNANDEZ MACIAS GILBERTO</v>
      </c>
    </row>
    <row r="21" spans="2:25" x14ac:dyDescent="0.2">
      <c r="B21" s="136" t="s">
        <v>121</v>
      </c>
      <c r="C21" s="166">
        <v>16</v>
      </c>
      <c r="D21" s="151" t="s">
        <v>147</v>
      </c>
      <c r="E21" s="150">
        <v>9</v>
      </c>
      <c r="F21" s="150">
        <v>0</v>
      </c>
      <c r="G21" s="165">
        <v>186</v>
      </c>
      <c r="H21" s="226">
        <f t="shared" si="9"/>
        <v>20.666666666666668</v>
      </c>
      <c r="I21" s="227">
        <f t="shared" si="10"/>
        <v>198</v>
      </c>
      <c r="J21" s="363">
        <f>+Tabla2[[#This Row],[PROM DE USUARIOS]]-Tabla2[[#This Row],[USUARIOS]]</f>
        <v>12</v>
      </c>
      <c r="K21" s="151"/>
      <c r="L21" s="163">
        <f t="shared" si="11"/>
        <v>110565</v>
      </c>
      <c r="M21" s="162" t="str">
        <f>+VLOOKUP(C21,Lista!B:D,3,0)</f>
        <v>MICRO</v>
      </c>
      <c r="N21" s="365">
        <f t="shared" si="2"/>
        <v>12468.292682926829</v>
      </c>
      <c r="O21" s="50">
        <f t="shared" si="12"/>
        <v>9</v>
      </c>
      <c r="P21" s="47">
        <f t="shared" si="13"/>
        <v>189</v>
      </c>
      <c r="Q21" s="49">
        <f t="shared" si="14"/>
        <v>177</v>
      </c>
      <c r="R21" s="51">
        <f t="shared" si="15"/>
        <v>189</v>
      </c>
      <c r="S21" s="46">
        <f t="shared" si="16"/>
        <v>103950</v>
      </c>
      <c r="T21" t="str">
        <f t="shared" si="17"/>
        <v/>
      </c>
      <c r="U21">
        <f t="shared" si="18"/>
        <v>16</v>
      </c>
      <c r="Y21" t="str">
        <f>TRIM(Tabla2[[#This Row],[CONDUCTOR]])</f>
        <v>PEREZ GARCIA JUAN ESTEBAN</v>
      </c>
    </row>
    <row r="22" spans="2:25" x14ac:dyDescent="0.2">
      <c r="B22" s="136" t="s">
        <v>122</v>
      </c>
      <c r="C22" s="166">
        <v>17</v>
      </c>
      <c r="D22" s="151" t="s">
        <v>154</v>
      </c>
      <c r="E22" s="150">
        <v>10</v>
      </c>
      <c r="F22" s="150">
        <v>0</v>
      </c>
      <c r="G22" s="165">
        <v>166</v>
      </c>
      <c r="H22" s="226">
        <f t="shared" si="9"/>
        <v>16.600000000000001</v>
      </c>
      <c r="I22" s="227">
        <f t="shared" si="10"/>
        <v>220</v>
      </c>
      <c r="J22" s="363">
        <f>+Tabla2[[#This Row],[PROM DE USUARIOS]]-Tabla2[[#This Row],[USUARIOS]]</f>
        <v>54</v>
      </c>
      <c r="K22" s="151"/>
      <c r="L22" s="163">
        <f t="shared" si="11"/>
        <v>122850</v>
      </c>
      <c r="M22" s="162" t="str">
        <f>+VLOOKUP(C22,Lista!B:D,3,0)</f>
        <v>MICRO</v>
      </c>
      <c r="N22" s="365">
        <f t="shared" si="2"/>
        <v>12468.292682926829</v>
      </c>
      <c r="O22" s="50">
        <f t="shared" si="12"/>
        <v>10</v>
      </c>
      <c r="P22" s="47">
        <f t="shared" si="13"/>
        <v>210</v>
      </c>
      <c r="Q22" s="49">
        <f t="shared" si="14"/>
        <v>156</v>
      </c>
      <c r="R22" s="51">
        <f t="shared" si="15"/>
        <v>210</v>
      </c>
      <c r="S22" s="46">
        <f t="shared" si="16"/>
        <v>115500</v>
      </c>
      <c r="T22" t="str">
        <f t="shared" si="17"/>
        <v/>
      </c>
      <c r="U22">
        <f t="shared" si="18"/>
        <v>2</v>
      </c>
      <c r="Y22" t="str">
        <f>TRIM(Tabla2[[#This Row],[CONDUCTOR]])</f>
        <v>PARRA VILLA YUBER ALONSO</v>
      </c>
    </row>
    <row r="23" spans="2:25" x14ac:dyDescent="0.2">
      <c r="B23" s="136" t="s">
        <v>121</v>
      </c>
      <c r="C23" s="166">
        <v>18</v>
      </c>
      <c r="D23" s="151" t="s">
        <v>146</v>
      </c>
      <c r="E23" s="150">
        <v>9</v>
      </c>
      <c r="F23" s="150">
        <v>0</v>
      </c>
      <c r="G23" s="165">
        <v>187</v>
      </c>
      <c r="H23" s="226">
        <f t="shared" si="9"/>
        <v>20.777777777777779</v>
      </c>
      <c r="I23" s="227">
        <f t="shared" si="10"/>
        <v>198</v>
      </c>
      <c r="J23" s="363">
        <f>+Tabla2[[#This Row],[PROM DE USUARIOS]]-Tabla2[[#This Row],[USUARIOS]]</f>
        <v>11</v>
      </c>
      <c r="K23" s="151" t="s">
        <v>192</v>
      </c>
      <c r="L23" s="163">
        <f t="shared" si="11"/>
        <v>110565</v>
      </c>
      <c r="M23" s="162" t="str">
        <f>+VLOOKUP(C23,Lista!B:D,3,0)</f>
        <v>MICRO</v>
      </c>
      <c r="N23" s="365">
        <f t="shared" si="2"/>
        <v>12468.292682926829</v>
      </c>
      <c r="O23" s="50">
        <f t="shared" si="12"/>
        <v>9</v>
      </c>
      <c r="P23" s="47">
        <f t="shared" si="13"/>
        <v>189</v>
      </c>
      <c r="Q23" s="49">
        <f t="shared" si="14"/>
        <v>178</v>
      </c>
      <c r="R23" s="51">
        <f t="shared" si="15"/>
        <v>189</v>
      </c>
      <c r="S23" s="46">
        <f t="shared" si="16"/>
        <v>103950</v>
      </c>
      <c r="T23" t="str">
        <f t="shared" si="17"/>
        <v xml:space="preserve">3 Descuentos (Transbordo) </v>
      </c>
      <c r="U23">
        <f t="shared" si="18"/>
        <v>17</v>
      </c>
      <c r="Y23" t="str">
        <f>TRIM(Tabla2[[#This Row],[CONDUCTOR]])</f>
        <v>ALBERTO ARISTIZABAL RAFAEL</v>
      </c>
    </row>
    <row r="24" spans="2:25" x14ac:dyDescent="0.2">
      <c r="B24" s="136" t="s">
        <v>122</v>
      </c>
      <c r="C24" s="166">
        <v>19</v>
      </c>
      <c r="D24" s="151" t="s">
        <v>183</v>
      </c>
      <c r="E24" s="150">
        <v>12</v>
      </c>
      <c r="F24" s="150">
        <v>0</v>
      </c>
      <c r="G24" s="165">
        <v>209</v>
      </c>
      <c r="H24" s="226">
        <f t="shared" si="9"/>
        <v>17.416666666666668</v>
      </c>
      <c r="I24" s="227">
        <f t="shared" si="10"/>
        <v>264</v>
      </c>
      <c r="J24" s="363">
        <f>+Tabla2[[#This Row],[PROM DE USUARIOS]]-Tabla2[[#This Row],[USUARIOS]]</f>
        <v>55</v>
      </c>
      <c r="K24" s="151" t="s">
        <v>193</v>
      </c>
      <c r="L24" s="163">
        <f t="shared" si="11"/>
        <v>147420</v>
      </c>
      <c r="M24" s="162" t="str">
        <f>+VLOOKUP(C24,Lista!B:D,3,0)</f>
        <v>MICRO</v>
      </c>
      <c r="N24" s="365">
        <f t="shared" si="2"/>
        <v>12468.292682926829</v>
      </c>
      <c r="O24" s="50">
        <f t="shared" si="12"/>
        <v>12</v>
      </c>
      <c r="P24" s="47">
        <f t="shared" si="13"/>
        <v>252</v>
      </c>
      <c r="Q24" s="49">
        <f t="shared" si="14"/>
        <v>197</v>
      </c>
      <c r="R24" s="51">
        <f t="shared" si="15"/>
        <v>252</v>
      </c>
      <c r="S24" s="46">
        <f t="shared" si="16"/>
        <v>138600</v>
      </c>
      <c r="T24" t="str">
        <f t="shared" si="17"/>
        <v xml:space="preserve">1 Descuento (Usuario desubicado) </v>
      </c>
      <c r="U24">
        <f t="shared" si="18"/>
        <v>3</v>
      </c>
      <c r="Y24" t="str">
        <f>TRIM(Tabla2[[#This Row],[CONDUCTOR]])</f>
        <v>MACEA ARBELAEZ MATEO</v>
      </c>
    </row>
    <row r="25" spans="2:25" x14ac:dyDescent="0.2">
      <c r="B25" s="136" t="s">
        <v>121</v>
      </c>
      <c r="C25" s="166">
        <v>20</v>
      </c>
      <c r="D25" s="151" t="s">
        <v>172</v>
      </c>
      <c r="E25" s="150">
        <v>8</v>
      </c>
      <c r="F25" s="150">
        <v>0</v>
      </c>
      <c r="G25" s="146">
        <v>208</v>
      </c>
      <c r="H25" s="226">
        <f t="shared" si="9"/>
        <v>26</v>
      </c>
      <c r="I25" s="227">
        <f t="shared" si="10"/>
        <v>176</v>
      </c>
      <c r="J25" s="363">
        <f>+Tabla2[[#This Row],[PROM DE USUARIOS]]-Tabla2[[#This Row],[USUARIOS]]</f>
        <v>-32</v>
      </c>
      <c r="K25" s="151"/>
      <c r="L25" s="163">
        <f t="shared" si="11"/>
        <v>98280</v>
      </c>
      <c r="M25" s="162" t="str">
        <f>+VLOOKUP(C25,Lista!B:D,3,0)</f>
        <v>MICRO</v>
      </c>
      <c r="N25" s="365">
        <f t="shared" si="2"/>
        <v>12468.292682926829</v>
      </c>
      <c r="O25" s="50">
        <f t="shared" si="12"/>
        <v>8</v>
      </c>
      <c r="P25" s="47">
        <f t="shared" si="13"/>
        <v>168</v>
      </c>
      <c r="Q25" s="49">
        <f t="shared" si="14"/>
        <v>200</v>
      </c>
      <c r="R25" s="51">
        <f t="shared" si="15"/>
        <v>168</v>
      </c>
      <c r="S25" s="46">
        <f t="shared" si="16"/>
        <v>92400</v>
      </c>
      <c r="T25" t="str">
        <f t="shared" si="17"/>
        <v/>
      </c>
      <c r="U25">
        <f t="shared" si="18"/>
        <v>38</v>
      </c>
      <c r="Y25" t="str">
        <f>TRIM(Tabla2[[#This Row],[CONDUCTOR]])</f>
        <v>GUTIERREZ ARICAPA DANIEL HUMBERTO</v>
      </c>
    </row>
    <row r="26" spans="2:25" x14ac:dyDescent="0.2">
      <c r="B26" s="136" t="s">
        <v>122</v>
      </c>
      <c r="C26" s="166">
        <v>21</v>
      </c>
      <c r="D26" s="151" t="s">
        <v>176</v>
      </c>
      <c r="E26" s="150">
        <v>11</v>
      </c>
      <c r="F26" s="150">
        <v>0</v>
      </c>
      <c r="G26" s="165">
        <v>261</v>
      </c>
      <c r="H26" s="226">
        <f t="shared" si="9"/>
        <v>23.727272727272727</v>
      </c>
      <c r="I26" s="227">
        <f t="shared" si="10"/>
        <v>242</v>
      </c>
      <c r="J26" s="363">
        <f>+Tabla2[[#This Row],[PROM DE USUARIOS]]-Tabla2[[#This Row],[USUARIOS]]</f>
        <v>-19</v>
      </c>
      <c r="K26" s="151" t="s">
        <v>194</v>
      </c>
      <c r="L26" s="163">
        <f t="shared" si="11"/>
        <v>135135</v>
      </c>
      <c r="M26" s="162" t="str">
        <f>+VLOOKUP(C26,Lista!B:D,3,0)</f>
        <v>MICRO</v>
      </c>
      <c r="N26" s="365">
        <f t="shared" si="2"/>
        <v>12468.292682926829</v>
      </c>
      <c r="O26" s="50">
        <f t="shared" si="12"/>
        <v>11</v>
      </c>
      <c r="P26" s="47">
        <f t="shared" si="13"/>
        <v>231</v>
      </c>
      <c r="Q26" s="49">
        <f t="shared" si="14"/>
        <v>250</v>
      </c>
      <c r="R26" s="51">
        <f t="shared" si="15"/>
        <v>231</v>
      </c>
      <c r="S26" s="46">
        <f t="shared" si="16"/>
        <v>127050</v>
      </c>
      <c r="T26" t="str">
        <f t="shared" si="17"/>
        <v xml:space="preserve">2 Descuentos (conduct y usuario desubicado) </v>
      </c>
      <c r="U26">
        <f t="shared" si="18"/>
        <v>29</v>
      </c>
      <c r="Y26" t="str">
        <f>TRIM(Tabla2[[#This Row],[CONDUCTOR]])</f>
        <v>MACIAS HERNANDEZ JULIAN DAVID</v>
      </c>
    </row>
    <row r="27" spans="2:25" x14ac:dyDescent="0.2">
      <c r="B27" s="136" t="s">
        <v>121</v>
      </c>
      <c r="C27" s="166">
        <v>23</v>
      </c>
      <c r="D27" s="151" t="s">
        <v>156</v>
      </c>
      <c r="E27" s="150">
        <v>9</v>
      </c>
      <c r="F27" s="150">
        <v>0</v>
      </c>
      <c r="G27" s="146">
        <v>174</v>
      </c>
      <c r="H27" s="226">
        <f t="shared" si="9"/>
        <v>19.333333333333332</v>
      </c>
      <c r="I27" s="227">
        <f t="shared" si="10"/>
        <v>198</v>
      </c>
      <c r="J27" s="363">
        <f>+Tabla2[[#This Row],[PROM DE USUARIOS]]-Tabla2[[#This Row],[USUARIOS]]</f>
        <v>24</v>
      </c>
      <c r="K27" s="151" t="s">
        <v>191</v>
      </c>
      <c r="L27" s="163">
        <f t="shared" si="11"/>
        <v>110565</v>
      </c>
      <c r="M27" s="162" t="str">
        <f>+VLOOKUP(C27,Lista!B:D,3,0)</f>
        <v xml:space="preserve">MICRO </v>
      </c>
      <c r="N27" s="365">
        <f t="shared" si="2"/>
        <v>12468.292682926829</v>
      </c>
      <c r="O27" s="50">
        <f t="shared" si="12"/>
        <v>9</v>
      </c>
      <c r="P27" s="47">
        <f t="shared" si="13"/>
        <v>189</v>
      </c>
      <c r="Q27" s="49">
        <f t="shared" si="14"/>
        <v>165</v>
      </c>
      <c r="R27" s="51">
        <f t="shared" si="15"/>
        <v>189</v>
      </c>
      <c r="S27" s="46">
        <f t="shared" si="16"/>
        <v>103950</v>
      </c>
      <c r="T27" t="str">
        <f t="shared" si="17"/>
        <v xml:space="preserve">1 Descuento (Jefe de ruta) </v>
      </c>
      <c r="U27">
        <f t="shared" si="18"/>
        <v>5</v>
      </c>
      <c r="Y27" t="str">
        <f>TRIM(Tabla2[[#This Row],[CONDUCTOR]])</f>
        <v>SALDARRIAGA PARRA LUIS ALBERTO</v>
      </c>
    </row>
    <row r="28" spans="2:25" x14ac:dyDescent="0.2">
      <c r="B28" s="136" t="s">
        <v>122</v>
      </c>
      <c r="C28" s="166">
        <v>24</v>
      </c>
      <c r="D28" s="151" t="s">
        <v>163</v>
      </c>
      <c r="E28" s="150">
        <v>9</v>
      </c>
      <c r="F28" s="150">
        <v>0</v>
      </c>
      <c r="G28" s="165">
        <v>217</v>
      </c>
      <c r="H28" s="226">
        <f t="shared" si="9"/>
        <v>24.111111111111111</v>
      </c>
      <c r="I28" s="227">
        <f t="shared" si="10"/>
        <v>198</v>
      </c>
      <c r="J28" s="363">
        <f>+Tabla2[[#This Row],[PROM DE USUARIOS]]-Tabla2[[#This Row],[USUARIOS]]</f>
        <v>-19</v>
      </c>
      <c r="K28" s="151"/>
      <c r="L28" s="163">
        <f t="shared" si="11"/>
        <v>110565</v>
      </c>
      <c r="M28" s="162" t="str">
        <f>+VLOOKUP(C28,Lista!B:D,3,0)</f>
        <v>MICRO</v>
      </c>
      <c r="N28" s="365">
        <f t="shared" si="2"/>
        <v>12468.292682926829</v>
      </c>
      <c r="O28" s="50">
        <f t="shared" si="12"/>
        <v>9</v>
      </c>
      <c r="P28" s="47">
        <f t="shared" si="13"/>
        <v>189</v>
      </c>
      <c r="Q28" s="49">
        <f t="shared" si="14"/>
        <v>208</v>
      </c>
      <c r="R28" s="51">
        <f t="shared" si="15"/>
        <v>189</v>
      </c>
      <c r="S28" s="46">
        <f t="shared" si="16"/>
        <v>103950</v>
      </c>
      <c r="T28" t="str">
        <f t="shared" si="17"/>
        <v/>
      </c>
      <c r="U28">
        <f t="shared" si="18"/>
        <v>31</v>
      </c>
      <c r="Y28" t="str">
        <f>TRIM(Tabla2[[#This Row],[CONDUCTOR]])</f>
        <v>JIMENEZ HERNANDEZ ESTEBAN CAMILO</v>
      </c>
    </row>
    <row r="29" spans="2:25" x14ac:dyDescent="0.2">
      <c r="B29" s="136" t="s">
        <v>121</v>
      </c>
      <c r="C29" s="166">
        <v>25</v>
      </c>
      <c r="D29" s="151" t="s">
        <v>161</v>
      </c>
      <c r="E29" s="150">
        <v>8</v>
      </c>
      <c r="F29" s="150">
        <v>0</v>
      </c>
      <c r="G29" s="165">
        <v>207</v>
      </c>
      <c r="H29" s="226">
        <f t="shared" si="9"/>
        <v>25.875</v>
      </c>
      <c r="I29" s="227">
        <f t="shared" si="10"/>
        <v>176</v>
      </c>
      <c r="J29" s="363">
        <f>+Tabla2[[#This Row],[PROM DE USUARIOS]]-Tabla2[[#This Row],[USUARIOS]]</f>
        <v>-31</v>
      </c>
      <c r="K29" s="151"/>
      <c r="L29" s="163">
        <f t="shared" si="11"/>
        <v>98280</v>
      </c>
      <c r="M29" s="162">
        <f>+VLOOKUP(C29,Lista!B:D,3,0)</f>
        <v>0</v>
      </c>
      <c r="N29" s="365">
        <f t="shared" si="2"/>
        <v>12468.292682926829</v>
      </c>
      <c r="O29" s="50">
        <f t="shared" si="12"/>
        <v>8</v>
      </c>
      <c r="P29" s="47">
        <f t="shared" si="13"/>
        <v>168</v>
      </c>
      <c r="Q29" s="49">
        <f t="shared" si="14"/>
        <v>199</v>
      </c>
      <c r="R29" s="51">
        <f t="shared" si="15"/>
        <v>168</v>
      </c>
      <c r="S29" s="46">
        <f t="shared" si="16"/>
        <v>92400</v>
      </c>
      <c r="T29" t="str">
        <f t="shared" si="17"/>
        <v/>
      </c>
      <c r="U29">
        <f t="shared" si="18"/>
        <v>37</v>
      </c>
      <c r="Y29" t="str">
        <f>TRIM(Tabla2[[#This Row],[CONDUCTOR]])</f>
        <v>JIMENEZ HURTADO CARLOS ESTIVEN</v>
      </c>
    </row>
    <row r="30" spans="2:25" s="2" customFormat="1" x14ac:dyDescent="0.2">
      <c r="B30" s="136" t="s">
        <v>122</v>
      </c>
      <c r="C30" s="137">
        <v>26</v>
      </c>
      <c r="D30" s="151" t="s">
        <v>166</v>
      </c>
      <c r="E30" s="150">
        <v>10</v>
      </c>
      <c r="F30" s="150">
        <v>0</v>
      </c>
      <c r="G30" s="146">
        <v>205</v>
      </c>
      <c r="H30" s="226">
        <f t="shared" si="9"/>
        <v>20.5</v>
      </c>
      <c r="I30" s="227">
        <f t="shared" si="10"/>
        <v>220</v>
      </c>
      <c r="J30" s="363">
        <f>+Tabla2[[#This Row],[PROM DE USUARIOS]]-Tabla2[[#This Row],[USUARIOS]]</f>
        <v>15</v>
      </c>
      <c r="K30" s="151" t="s">
        <v>193</v>
      </c>
      <c r="L30" s="163">
        <f t="shared" si="11"/>
        <v>122850</v>
      </c>
      <c r="M30" s="162" t="str">
        <f>+VLOOKUP(C30,Lista!B:D,3,0)</f>
        <v>MICRO</v>
      </c>
      <c r="N30" s="365">
        <f t="shared" si="2"/>
        <v>12468.292682926829</v>
      </c>
      <c r="O30" s="50">
        <f t="shared" si="12"/>
        <v>10</v>
      </c>
      <c r="P30" s="47">
        <f t="shared" si="13"/>
        <v>210</v>
      </c>
      <c r="Q30" s="49">
        <f t="shared" si="14"/>
        <v>195</v>
      </c>
      <c r="R30" s="51">
        <f t="shared" si="15"/>
        <v>210</v>
      </c>
      <c r="S30" s="46">
        <f t="shared" si="16"/>
        <v>115500</v>
      </c>
      <c r="T30" t="str">
        <f t="shared" si="17"/>
        <v xml:space="preserve">1 Descuento (Usuario desubicado) </v>
      </c>
      <c r="U30">
        <f t="shared" si="18"/>
        <v>12</v>
      </c>
      <c r="Y30" t="str">
        <f>TRIM(Tabla2[[#This Row],[CONDUCTOR]])</f>
        <v>CIRO MARIN RODRIGO ALBERTO</v>
      </c>
    </row>
    <row r="31" spans="2:25" x14ac:dyDescent="0.2">
      <c r="B31" s="136" t="s">
        <v>121</v>
      </c>
      <c r="C31" s="137">
        <v>27</v>
      </c>
      <c r="D31" s="151" t="s">
        <v>186</v>
      </c>
      <c r="E31" s="150">
        <v>5</v>
      </c>
      <c r="F31" s="150">
        <v>0</v>
      </c>
      <c r="G31" s="165">
        <v>136</v>
      </c>
      <c r="H31" s="226">
        <f t="shared" si="9"/>
        <v>27.2</v>
      </c>
      <c r="I31" s="227">
        <f t="shared" si="10"/>
        <v>110</v>
      </c>
      <c r="J31" s="363">
        <f>+Tabla2[[#This Row],[PROM DE USUARIOS]]-Tabla2[[#This Row],[USUARIOS]]</f>
        <v>-26</v>
      </c>
      <c r="K31" s="151"/>
      <c r="L31" s="163">
        <f t="shared" si="11"/>
        <v>61425</v>
      </c>
      <c r="M31" s="162">
        <f>+VLOOKUP(C31,Lista!B:D,3,0)</f>
        <v>0</v>
      </c>
      <c r="N31" s="365">
        <f t="shared" si="2"/>
        <v>12468.292682926829</v>
      </c>
      <c r="O31" s="50">
        <f t="shared" si="12"/>
        <v>5</v>
      </c>
      <c r="P31" s="47">
        <f t="shared" si="13"/>
        <v>105</v>
      </c>
      <c r="Q31" s="49">
        <f t="shared" si="14"/>
        <v>131</v>
      </c>
      <c r="R31" s="51">
        <f t="shared" si="15"/>
        <v>105</v>
      </c>
      <c r="S31" s="46">
        <f t="shared" si="16"/>
        <v>57750</v>
      </c>
      <c r="T31" t="str">
        <f t="shared" si="17"/>
        <v/>
      </c>
      <c r="U31">
        <f t="shared" si="18"/>
        <v>42</v>
      </c>
      <c r="Y31" t="str">
        <f>TRIM(Tabla2[[#This Row],[CONDUCTOR]])</f>
        <v>FLORES RINCON JORGE ALBERTO</v>
      </c>
    </row>
    <row r="32" spans="2:25" x14ac:dyDescent="0.2">
      <c r="B32" s="136" t="s">
        <v>122</v>
      </c>
      <c r="C32" s="166">
        <v>28</v>
      </c>
      <c r="D32" s="151" t="s">
        <v>149</v>
      </c>
      <c r="E32" s="150">
        <v>10</v>
      </c>
      <c r="F32" s="150">
        <v>0</v>
      </c>
      <c r="G32" s="146">
        <v>200</v>
      </c>
      <c r="H32" s="226">
        <f t="shared" si="9"/>
        <v>20</v>
      </c>
      <c r="I32" s="227">
        <f t="shared" si="10"/>
        <v>220</v>
      </c>
      <c r="J32" s="363">
        <f>+Tabla2[[#This Row],[PROM DE USUARIOS]]-Tabla2[[#This Row],[USUARIOS]]</f>
        <v>20</v>
      </c>
      <c r="K32" s="151" t="s">
        <v>195</v>
      </c>
      <c r="L32" s="163">
        <f t="shared" si="11"/>
        <v>122850</v>
      </c>
      <c r="M32" s="162" t="str">
        <f>+VLOOKUP(C32,Lista!B:D,3,0)</f>
        <v>MICRO</v>
      </c>
      <c r="N32" s="365">
        <f t="shared" si="2"/>
        <v>12468.292682926829</v>
      </c>
      <c r="O32" s="50">
        <f t="shared" si="12"/>
        <v>10</v>
      </c>
      <c r="P32" s="47">
        <f t="shared" si="13"/>
        <v>210</v>
      </c>
      <c r="Q32" s="49">
        <f t="shared" si="14"/>
        <v>190</v>
      </c>
      <c r="R32" s="51">
        <f t="shared" si="15"/>
        <v>210</v>
      </c>
      <c r="S32" s="46">
        <f t="shared" si="16"/>
        <v>115500</v>
      </c>
      <c r="T32" t="str">
        <f t="shared" si="17"/>
        <v xml:space="preserve">2 Descuentos (tecnico radios y jefe de ruta) </v>
      </c>
      <c r="U32">
        <f t="shared" si="18"/>
        <v>8</v>
      </c>
      <c r="Y32" t="str">
        <f>TRIM(Tabla2[[#This Row],[CONDUCTOR]])</f>
        <v>OSORIO URREGO SANTIAGO</v>
      </c>
    </row>
    <row r="33" spans="2:25" x14ac:dyDescent="0.2">
      <c r="B33" s="136" t="s">
        <v>121</v>
      </c>
      <c r="C33" s="166">
        <v>29</v>
      </c>
      <c r="D33" s="151" t="s">
        <v>160</v>
      </c>
      <c r="E33" s="150">
        <v>10</v>
      </c>
      <c r="F33" s="150">
        <v>0</v>
      </c>
      <c r="G33" s="165">
        <v>176</v>
      </c>
      <c r="H33" s="226">
        <f t="shared" si="9"/>
        <v>17.600000000000001</v>
      </c>
      <c r="I33" s="227">
        <f t="shared" si="10"/>
        <v>220</v>
      </c>
      <c r="J33" s="363">
        <f>+Tabla2[[#This Row],[PROM DE USUARIOS]]-Tabla2[[#This Row],[USUARIOS]]</f>
        <v>44</v>
      </c>
      <c r="K33" s="151" t="s">
        <v>190</v>
      </c>
      <c r="L33" s="163">
        <f t="shared" si="11"/>
        <v>122850</v>
      </c>
      <c r="M33" s="162" t="str">
        <f>+VLOOKUP(C33,Lista!B:D,3,0)</f>
        <v>MICRO</v>
      </c>
      <c r="N33" s="365">
        <f t="shared" si="2"/>
        <v>12468.292682926829</v>
      </c>
      <c r="O33" s="50">
        <f t="shared" si="12"/>
        <v>10</v>
      </c>
      <c r="P33" s="47">
        <f t="shared" si="13"/>
        <v>210</v>
      </c>
      <c r="Q33" s="49">
        <f t="shared" si="14"/>
        <v>166</v>
      </c>
      <c r="R33" s="51">
        <f t="shared" si="15"/>
        <v>210</v>
      </c>
      <c r="S33" s="46">
        <f t="shared" si="16"/>
        <v>115500</v>
      </c>
      <c r="T33" t="str">
        <f t="shared" si="17"/>
        <v xml:space="preserve">2 Descuentos (Despachador) </v>
      </c>
      <c r="U33">
        <f t="shared" si="18"/>
        <v>4</v>
      </c>
      <c r="Y33" t="str">
        <f>TRIM(Tabla2[[#This Row],[CONDUCTOR]])</f>
        <v>LEON PEREZ RAUL ENRIQUE</v>
      </c>
    </row>
    <row r="34" spans="2:25" x14ac:dyDescent="0.2">
      <c r="B34" s="136" t="s">
        <v>122</v>
      </c>
      <c r="C34" s="166">
        <v>30</v>
      </c>
      <c r="D34" s="151" t="s">
        <v>173</v>
      </c>
      <c r="E34" s="150">
        <v>10</v>
      </c>
      <c r="F34" s="150">
        <v>0</v>
      </c>
      <c r="G34" s="146">
        <v>230</v>
      </c>
      <c r="H34" s="226">
        <f t="shared" si="9"/>
        <v>23</v>
      </c>
      <c r="I34" s="227">
        <f t="shared" si="10"/>
        <v>220</v>
      </c>
      <c r="J34" s="363">
        <f>+Tabla2[[#This Row],[PROM DE USUARIOS]]-Tabla2[[#This Row],[USUARIOS]]</f>
        <v>-10</v>
      </c>
      <c r="K34" s="151" t="s">
        <v>193</v>
      </c>
      <c r="L34" s="163">
        <f t="shared" si="11"/>
        <v>122850</v>
      </c>
      <c r="M34" s="162">
        <f>+VLOOKUP(C34,Lista!B:D,3,0)</f>
        <v>0</v>
      </c>
      <c r="N34" s="365">
        <f t="shared" si="2"/>
        <v>12468.292682926829</v>
      </c>
      <c r="O34" s="50">
        <f t="shared" si="12"/>
        <v>10</v>
      </c>
      <c r="P34" s="47">
        <f t="shared" si="13"/>
        <v>210</v>
      </c>
      <c r="Q34" s="49">
        <f t="shared" si="14"/>
        <v>220</v>
      </c>
      <c r="R34" s="51">
        <f t="shared" si="15"/>
        <v>210</v>
      </c>
      <c r="S34" s="46">
        <f t="shared" si="16"/>
        <v>115500</v>
      </c>
      <c r="T34" t="str">
        <f t="shared" si="17"/>
        <v xml:space="preserve">1 Descuento (Usuario desubicado) </v>
      </c>
      <c r="U34">
        <f t="shared" si="18"/>
        <v>24</v>
      </c>
      <c r="Y34" t="str">
        <f>TRIM(Tabla2[[#This Row],[CONDUCTOR]])</f>
        <v>AGUDELO GARCIA LLORDIN ELIAS</v>
      </c>
    </row>
    <row r="35" spans="2:25" x14ac:dyDescent="0.2">
      <c r="B35" s="136" t="s">
        <v>121</v>
      </c>
      <c r="C35" s="166">
        <v>31</v>
      </c>
      <c r="D35" s="151" t="s">
        <v>171</v>
      </c>
      <c r="E35" s="150">
        <v>8</v>
      </c>
      <c r="F35" s="150">
        <v>0</v>
      </c>
      <c r="G35" s="165">
        <v>165</v>
      </c>
      <c r="H35" s="226">
        <f t="shared" si="9"/>
        <v>20.625</v>
      </c>
      <c r="I35" s="227">
        <f t="shared" si="10"/>
        <v>176</v>
      </c>
      <c r="J35" s="363">
        <f>+Tabla2[[#This Row],[PROM DE USUARIOS]]-Tabla2[[#This Row],[USUARIOS]]</f>
        <v>11</v>
      </c>
      <c r="K35" s="151"/>
      <c r="L35" s="163">
        <f t="shared" si="11"/>
        <v>98280</v>
      </c>
      <c r="M35" s="162" t="str">
        <f>+VLOOKUP(C35,Lista!B:D,3,0)</f>
        <v>MICRO</v>
      </c>
      <c r="N35" s="365">
        <f t="shared" si="2"/>
        <v>12468.292682926829</v>
      </c>
      <c r="O35" s="50">
        <f t="shared" si="12"/>
        <v>8</v>
      </c>
      <c r="P35" s="47">
        <f t="shared" si="13"/>
        <v>168</v>
      </c>
      <c r="Q35" s="49">
        <f t="shared" si="14"/>
        <v>157</v>
      </c>
      <c r="R35" s="51">
        <f t="shared" si="15"/>
        <v>168</v>
      </c>
      <c r="S35" s="46">
        <f t="shared" si="16"/>
        <v>92400</v>
      </c>
      <c r="T35" t="str">
        <f t="shared" si="17"/>
        <v/>
      </c>
      <c r="U35">
        <f t="shared" si="18"/>
        <v>15</v>
      </c>
      <c r="Y35" t="str">
        <f>TRIM(Tabla2[[#This Row],[CONDUCTOR]])</f>
        <v>IBARGUEN GARRIDO JUAN ESTEBAN</v>
      </c>
    </row>
    <row r="36" spans="2:25" x14ac:dyDescent="0.2">
      <c r="B36" s="136" t="s">
        <v>122</v>
      </c>
      <c r="C36" s="166">
        <v>32</v>
      </c>
      <c r="D36" s="151" t="s">
        <v>184</v>
      </c>
      <c r="E36" s="150">
        <v>9</v>
      </c>
      <c r="F36" s="150">
        <v>0</v>
      </c>
      <c r="G36" s="165">
        <v>185</v>
      </c>
      <c r="H36" s="226">
        <f t="shared" si="9"/>
        <v>20.555555555555557</v>
      </c>
      <c r="I36" s="227">
        <f t="shared" si="10"/>
        <v>198</v>
      </c>
      <c r="J36" s="363">
        <f>+Tabla2[[#This Row],[PROM DE USUARIOS]]-Tabla2[[#This Row],[USUARIOS]]</f>
        <v>13</v>
      </c>
      <c r="K36" s="151" t="s">
        <v>191</v>
      </c>
      <c r="L36" s="163">
        <f t="shared" si="11"/>
        <v>110565</v>
      </c>
      <c r="M36" s="162" t="str">
        <f>+VLOOKUP(C36,Lista!B:D,3,0)</f>
        <v>MICRO</v>
      </c>
      <c r="N36" s="365">
        <f t="shared" si="2"/>
        <v>12468.292682926829</v>
      </c>
      <c r="O36" s="50">
        <f t="shared" si="12"/>
        <v>9</v>
      </c>
      <c r="P36" s="47">
        <f t="shared" si="13"/>
        <v>189</v>
      </c>
      <c r="Q36" s="49">
        <f t="shared" si="14"/>
        <v>176</v>
      </c>
      <c r="R36" s="51">
        <f t="shared" si="15"/>
        <v>189</v>
      </c>
      <c r="S36" s="46">
        <f t="shared" si="16"/>
        <v>103950</v>
      </c>
      <c r="T36" t="str">
        <f t="shared" si="17"/>
        <v xml:space="preserve">1 Descuento (Jefe de ruta) </v>
      </c>
      <c r="U36">
        <f t="shared" si="18"/>
        <v>14</v>
      </c>
      <c r="Y36" t="str">
        <f>TRIM(Tabla2[[#This Row],[CONDUCTOR]])</f>
        <v>LAYOS JIMENEZ JOHAN CAMILO</v>
      </c>
    </row>
    <row r="37" spans="2:25" x14ac:dyDescent="0.2">
      <c r="B37" s="136" t="s">
        <v>121</v>
      </c>
      <c r="C37" s="166">
        <v>33</v>
      </c>
      <c r="D37" s="151" t="s">
        <v>175</v>
      </c>
      <c r="E37" s="150">
        <v>9</v>
      </c>
      <c r="F37" s="150">
        <v>0</v>
      </c>
      <c r="G37" s="165">
        <v>230</v>
      </c>
      <c r="H37" s="226">
        <f t="shared" si="9"/>
        <v>25.555555555555557</v>
      </c>
      <c r="I37" s="227">
        <f t="shared" si="10"/>
        <v>198</v>
      </c>
      <c r="J37" s="363">
        <f>+Tabla2[[#This Row],[PROM DE USUARIOS]]-Tabla2[[#This Row],[USUARIOS]]</f>
        <v>-32</v>
      </c>
      <c r="K37" s="151" t="s">
        <v>188</v>
      </c>
      <c r="L37" s="163">
        <f t="shared" si="11"/>
        <v>110565</v>
      </c>
      <c r="M37" s="162" t="str">
        <f>+VLOOKUP(C37,Lista!B:D,3,0)</f>
        <v>MICRO</v>
      </c>
      <c r="N37" s="365">
        <f t="shared" si="2"/>
        <v>12468.292682926829</v>
      </c>
      <c r="O37" s="50">
        <f t="shared" si="12"/>
        <v>9</v>
      </c>
      <c r="P37" s="47">
        <f t="shared" si="13"/>
        <v>189</v>
      </c>
      <c r="Q37" s="49">
        <f t="shared" si="14"/>
        <v>221</v>
      </c>
      <c r="R37" s="51">
        <f t="shared" si="15"/>
        <v>189</v>
      </c>
      <c r="S37" s="46">
        <f t="shared" si="16"/>
        <v>103950</v>
      </c>
      <c r="T37" t="str">
        <f t="shared" si="17"/>
        <v xml:space="preserve">1 Descuento (Despachador) </v>
      </c>
      <c r="U37">
        <f t="shared" si="18"/>
        <v>34</v>
      </c>
      <c r="Y37" t="str">
        <f>TRIM(Tabla2[[#This Row],[CONDUCTOR]])</f>
        <v>FRANCO CARVAJAL GERARDO ANTONIO</v>
      </c>
    </row>
    <row r="38" spans="2:25" x14ac:dyDescent="0.2">
      <c r="B38" s="136" t="s">
        <v>122</v>
      </c>
      <c r="C38" s="166">
        <v>34</v>
      </c>
      <c r="D38" s="151" t="s">
        <v>164</v>
      </c>
      <c r="E38" s="150">
        <v>9</v>
      </c>
      <c r="F38" s="150">
        <v>0</v>
      </c>
      <c r="G38" s="165">
        <v>230</v>
      </c>
      <c r="H38" s="226">
        <f t="shared" si="9"/>
        <v>25.555555555555557</v>
      </c>
      <c r="I38" s="227">
        <f t="shared" si="10"/>
        <v>198</v>
      </c>
      <c r="J38" s="363">
        <f>+Tabla2[[#This Row],[PROM DE USUARIOS]]-Tabla2[[#This Row],[USUARIOS]]</f>
        <v>-32</v>
      </c>
      <c r="K38" s="151"/>
      <c r="L38" s="163">
        <f t="shared" si="11"/>
        <v>110565</v>
      </c>
      <c r="M38" s="162" t="str">
        <f>+VLOOKUP(C38,Lista!B:D,3,0)</f>
        <v>MICRO</v>
      </c>
      <c r="N38" s="365">
        <f t="shared" si="2"/>
        <v>12468.292682926829</v>
      </c>
      <c r="O38" s="50">
        <f t="shared" si="12"/>
        <v>9</v>
      </c>
      <c r="P38" s="47">
        <f t="shared" si="13"/>
        <v>189</v>
      </c>
      <c r="Q38" s="49">
        <f t="shared" si="14"/>
        <v>221</v>
      </c>
      <c r="R38" s="51">
        <f t="shared" si="15"/>
        <v>189</v>
      </c>
      <c r="S38" s="46">
        <f t="shared" si="16"/>
        <v>103950</v>
      </c>
      <c r="T38" t="str">
        <f t="shared" si="17"/>
        <v/>
      </c>
      <c r="U38">
        <f t="shared" si="18"/>
        <v>34</v>
      </c>
      <c r="Y38" t="str">
        <f>TRIM(Tabla2[[#This Row],[CONDUCTOR]])</f>
        <v>MONTOYA OSPINA GILBERTO ANTONIO</v>
      </c>
    </row>
    <row r="39" spans="2:25" x14ac:dyDescent="0.2">
      <c r="B39" s="136" t="s">
        <v>121</v>
      </c>
      <c r="C39" s="166">
        <v>35</v>
      </c>
      <c r="D39" s="151" t="s">
        <v>174</v>
      </c>
      <c r="E39" s="150">
        <v>9</v>
      </c>
      <c r="F39" s="150">
        <v>0</v>
      </c>
      <c r="G39" s="165">
        <v>179</v>
      </c>
      <c r="H39" s="226">
        <f t="shared" si="9"/>
        <v>19.888888888888889</v>
      </c>
      <c r="I39" s="227">
        <f t="shared" si="10"/>
        <v>198</v>
      </c>
      <c r="J39" s="363">
        <f>+Tabla2[[#This Row],[PROM DE USUARIOS]]-Tabla2[[#This Row],[USUARIOS]]</f>
        <v>19</v>
      </c>
      <c r="K39" s="151"/>
      <c r="L39" s="163">
        <f t="shared" si="11"/>
        <v>110565</v>
      </c>
      <c r="M39" s="162">
        <f>+VLOOKUP(C39,Lista!B:D,3,0)</f>
        <v>0</v>
      </c>
      <c r="N39" s="365">
        <f t="shared" si="2"/>
        <v>12468.292682926829</v>
      </c>
      <c r="O39" s="50">
        <f t="shared" si="12"/>
        <v>9</v>
      </c>
      <c r="P39" s="47">
        <f t="shared" si="13"/>
        <v>189</v>
      </c>
      <c r="Q39" s="49">
        <f t="shared" si="14"/>
        <v>170</v>
      </c>
      <c r="R39" s="51">
        <f t="shared" si="15"/>
        <v>189</v>
      </c>
      <c r="S39" s="46">
        <f t="shared" si="16"/>
        <v>103950</v>
      </c>
      <c r="T39" t="str">
        <f t="shared" si="17"/>
        <v/>
      </c>
      <c r="U39">
        <f t="shared" si="18"/>
        <v>7</v>
      </c>
      <c r="Y39" t="str">
        <f>TRIM(Tabla2[[#This Row],[CONDUCTOR]])</f>
        <v>ARAQUE ARROYAVE JOSE ALBEIRO</v>
      </c>
    </row>
    <row r="40" spans="2:25" x14ac:dyDescent="0.2">
      <c r="B40" s="136" t="s">
        <v>122</v>
      </c>
      <c r="C40" s="166">
        <v>36</v>
      </c>
      <c r="D40" s="151" t="s">
        <v>185</v>
      </c>
      <c r="E40" s="150">
        <v>9</v>
      </c>
      <c r="F40" s="150">
        <v>0</v>
      </c>
      <c r="G40" s="146">
        <v>218</v>
      </c>
      <c r="H40" s="226">
        <f t="shared" si="9"/>
        <v>24.222222222222221</v>
      </c>
      <c r="I40" s="227">
        <f t="shared" si="10"/>
        <v>198</v>
      </c>
      <c r="J40" s="363">
        <f>+Tabla2[[#This Row],[PROM DE USUARIOS]]-Tabla2[[#This Row],[USUARIOS]]</f>
        <v>-20</v>
      </c>
      <c r="K40" s="151"/>
      <c r="L40" s="163">
        <f t="shared" si="11"/>
        <v>110565</v>
      </c>
      <c r="M40" s="162" t="str">
        <f>+VLOOKUP(C40,Lista!B:D,3,0)</f>
        <v>MICRO</v>
      </c>
      <c r="N40" s="365">
        <f t="shared" si="2"/>
        <v>12468.292682926829</v>
      </c>
      <c r="O40" s="50">
        <f t="shared" si="12"/>
        <v>9</v>
      </c>
      <c r="P40" s="47">
        <f t="shared" si="13"/>
        <v>189</v>
      </c>
      <c r="Q40" s="49">
        <f t="shared" si="14"/>
        <v>209</v>
      </c>
      <c r="R40" s="51">
        <f t="shared" si="15"/>
        <v>189</v>
      </c>
      <c r="S40" s="46">
        <f t="shared" si="16"/>
        <v>103950</v>
      </c>
      <c r="T40" t="str">
        <f t="shared" si="17"/>
        <v/>
      </c>
      <c r="U40">
        <f t="shared" si="18"/>
        <v>32</v>
      </c>
      <c r="Y40" t="str">
        <f>TRIM(Tabla2[[#This Row],[CONDUCTOR]])</f>
        <v>MARTINEZ CHAVERRA LUIS NORBERTO</v>
      </c>
    </row>
    <row r="41" spans="2:25" x14ac:dyDescent="0.2">
      <c r="B41" s="136" t="s">
        <v>121</v>
      </c>
      <c r="C41" s="166">
        <v>37</v>
      </c>
      <c r="D41" s="151" t="s">
        <v>177</v>
      </c>
      <c r="E41" s="150">
        <v>5</v>
      </c>
      <c r="F41" s="150">
        <v>0</v>
      </c>
      <c r="G41" s="165">
        <v>124</v>
      </c>
      <c r="H41" s="226">
        <f t="shared" si="9"/>
        <v>24.8</v>
      </c>
      <c r="I41" s="227">
        <f t="shared" si="10"/>
        <v>110</v>
      </c>
      <c r="J41" s="363">
        <f>+Tabla2[[#This Row],[PROM DE USUARIOS]]-Tabla2[[#This Row],[USUARIOS]]</f>
        <v>-14</v>
      </c>
      <c r="K41" s="151"/>
      <c r="L41" s="163">
        <f t="shared" si="11"/>
        <v>61425</v>
      </c>
      <c r="M41" s="162">
        <f>+VLOOKUP(C41,Lista!B:D,3,0)</f>
        <v>0</v>
      </c>
      <c r="N41" s="365">
        <f t="shared" si="2"/>
        <v>12468.292682926829</v>
      </c>
      <c r="O41" s="50">
        <f t="shared" si="12"/>
        <v>5</v>
      </c>
      <c r="P41" s="47">
        <f t="shared" si="13"/>
        <v>105</v>
      </c>
      <c r="Q41" s="49">
        <f t="shared" si="14"/>
        <v>119</v>
      </c>
      <c r="R41" s="51">
        <f t="shared" si="15"/>
        <v>105</v>
      </c>
      <c r="S41" s="46">
        <f t="shared" si="16"/>
        <v>57750</v>
      </c>
      <c r="T41" t="str">
        <f t="shared" si="17"/>
        <v/>
      </c>
      <c r="U41">
        <f t="shared" si="18"/>
        <v>33</v>
      </c>
      <c r="Y41" t="str">
        <f>TRIM(Tabla2[[#This Row],[CONDUCTOR]])</f>
        <v>TABORDA ROJAS DIEGO ALEJANDRO</v>
      </c>
    </row>
    <row r="42" spans="2:25" x14ac:dyDescent="0.2">
      <c r="B42" s="136" t="s">
        <v>122</v>
      </c>
      <c r="C42" s="166">
        <v>38</v>
      </c>
      <c r="D42" s="151" t="s">
        <v>148</v>
      </c>
      <c r="E42" s="150">
        <v>9</v>
      </c>
      <c r="F42" s="150">
        <v>0</v>
      </c>
      <c r="G42" s="146">
        <v>187</v>
      </c>
      <c r="H42" s="226">
        <f t="shared" si="9"/>
        <v>20.777777777777779</v>
      </c>
      <c r="I42" s="227">
        <f t="shared" si="10"/>
        <v>198</v>
      </c>
      <c r="J42" s="363">
        <f>+Tabla2[[#This Row],[PROM DE USUARIOS]]-Tabla2[[#This Row],[USUARIOS]]</f>
        <v>11</v>
      </c>
      <c r="K42" s="151"/>
      <c r="L42" s="163">
        <f t="shared" si="11"/>
        <v>110565</v>
      </c>
      <c r="M42" s="162" t="str">
        <f>+VLOOKUP(C42,Lista!B:D,3,0)</f>
        <v>MICRO</v>
      </c>
      <c r="N42" s="365">
        <f t="shared" si="2"/>
        <v>12468.292682926829</v>
      </c>
      <c r="O42" s="50">
        <f t="shared" si="12"/>
        <v>9</v>
      </c>
      <c r="P42" s="47">
        <f t="shared" si="13"/>
        <v>189</v>
      </c>
      <c r="Q42" s="49">
        <f t="shared" si="14"/>
        <v>178</v>
      </c>
      <c r="R42" s="51">
        <f t="shared" si="15"/>
        <v>189</v>
      </c>
      <c r="S42" s="46">
        <f t="shared" si="16"/>
        <v>103950</v>
      </c>
      <c r="T42" t="str">
        <f t="shared" si="17"/>
        <v/>
      </c>
      <c r="U42">
        <f t="shared" si="18"/>
        <v>17</v>
      </c>
      <c r="Y42" t="str">
        <f>TRIM(Tabla2[[#This Row],[CONDUCTOR]])</f>
        <v>GONZALEZ IPUANA RENE</v>
      </c>
    </row>
    <row r="43" spans="2:25" x14ac:dyDescent="0.2">
      <c r="B43" s="136" t="s">
        <v>121</v>
      </c>
      <c r="C43" s="137">
        <v>39</v>
      </c>
      <c r="D43" s="151" t="s">
        <v>168</v>
      </c>
      <c r="E43" s="150">
        <v>10</v>
      </c>
      <c r="F43" s="150">
        <v>0</v>
      </c>
      <c r="G43" s="165">
        <v>211</v>
      </c>
      <c r="H43" s="226">
        <f t="shared" si="9"/>
        <v>21.1</v>
      </c>
      <c r="I43" s="227">
        <f t="shared" si="10"/>
        <v>220</v>
      </c>
      <c r="J43" s="363">
        <f>+Tabla2[[#This Row],[PROM DE USUARIOS]]-Tabla2[[#This Row],[USUARIOS]]</f>
        <v>9</v>
      </c>
      <c r="K43" s="151" t="s">
        <v>188</v>
      </c>
      <c r="L43" s="163">
        <f t="shared" si="11"/>
        <v>122850</v>
      </c>
      <c r="M43" s="162" t="str">
        <f>+VLOOKUP(C43,Lista!B:D,3,0)</f>
        <v>MICRO</v>
      </c>
      <c r="N43" s="365">
        <f t="shared" si="2"/>
        <v>12468.292682926829</v>
      </c>
      <c r="O43" s="50">
        <f t="shared" si="12"/>
        <v>10</v>
      </c>
      <c r="P43" s="47">
        <f t="shared" si="13"/>
        <v>210</v>
      </c>
      <c r="Q43" s="49">
        <f t="shared" si="14"/>
        <v>201</v>
      </c>
      <c r="R43" s="51">
        <f t="shared" si="15"/>
        <v>210</v>
      </c>
      <c r="S43" s="46">
        <f t="shared" si="16"/>
        <v>115500</v>
      </c>
      <c r="T43" t="str">
        <f t="shared" si="17"/>
        <v xml:space="preserve">1 Descuento (Despachador) </v>
      </c>
      <c r="U43">
        <f t="shared" si="18"/>
        <v>20</v>
      </c>
      <c r="Y43" t="str">
        <f>TRIM(Tabla2[[#This Row],[CONDUCTOR]])</f>
        <v>PALMAR PANA EDIXON JOSUE</v>
      </c>
    </row>
    <row r="44" spans="2:25" x14ac:dyDescent="0.2">
      <c r="B44" s="136" t="s">
        <v>122</v>
      </c>
      <c r="C44" s="166">
        <v>40</v>
      </c>
      <c r="D44" s="151" t="s">
        <v>153</v>
      </c>
      <c r="E44" s="150">
        <v>10</v>
      </c>
      <c r="F44" s="150">
        <v>0</v>
      </c>
      <c r="G44" s="165">
        <v>219</v>
      </c>
      <c r="H44" s="226">
        <f t="shared" si="9"/>
        <v>21.9</v>
      </c>
      <c r="I44" s="227">
        <f t="shared" si="10"/>
        <v>220</v>
      </c>
      <c r="J44" s="363">
        <f>+Tabla2[[#This Row],[PROM DE USUARIOS]]-Tabla2[[#This Row],[USUARIOS]]</f>
        <v>1</v>
      </c>
      <c r="K44" s="151" t="s">
        <v>193</v>
      </c>
      <c r="L44" s="163">
        <f t="shared" si="11"/>
        <v>122850</v>
      </c>
      <c r="M44" s="162" t="str">
        <f>+VLOOKUP(C44,Lista!B:D,3,0)</f>
        <v>MICRO</v>
      </c>
      <c r="N44" s="365">
        <f t="shared" si="2"/>
        <v>12468.292682926829</v>
      </c>
      <c r="O44" s="50">
        <f t="shared" si="12"/>
        <v>10</v>
      </c>
      <c r="P44" s="47">
        <f t="shared" si="13"/>
        <v>210</v>
      </c>
      <c r="Q44" s="49">
        <f t="shared" si="14"/>
        <v>209</v>
      </c>
      <c r="R44" s="51">
        <f t="shared" si="15"/>
        <v>210</v>
      </c>
      <c r="S44" s="46">
        <f t="shared" si="16"/>
        <v>115500</v>
      </c>
      <c r="T44" t="str">
        <f t="shared" si="17"/>
        <v xml:space="preserve">1 Descuento (Usuario desubicado) </v>
      </c>
      <c r="U44">
        <f t="shared" si="18"/>
        <v>22</v>
      </c>
      <c r="Y44" t="str">
        <f>TRIM(Tabla2[[#This Row],[CONDUCTOR]])</f>
        <v>JARAMILLO JARAMILLO FRANCISCO WBEIMAR</v>
      </c>
    </row>
    <row r="45" spans="2:25" x14ac:dyDescent="0.2">
      <c r="B45" s="136" t="s">
        <v>121</v>
      </c>
      <c r="C45" s="166">
        <v>41</v>
      </c>
      <c r="D45" s="151" t="s">
        <v>178</v>
      </c>
      <c r="E45" s="150">
        <v>7</v>
      </c>
      <c r="F45" s="150">
        <v>0</v>
      </c>
      <c r="G45" s="165">
        <v>138</v>
      </c>
      <c r="H45" s="226">
        <f t="shared" si="9"/>
        <v>19.714285714285715</v>
      </c>
      <c r="I45" s="227">
        <f t="shared" si="10"/>
        <v>154</v>
      </c>
      <c r="J45" s="363">
        <f>+Tabla2[[#This Row],[PROM DE USUARIOS]]-Tabla2[[#This Row],[USUARIOS]]</f>
        <v>16</v>
      </c>
      <c r="K45" s="151"/>
      <c r="L45" s="163">
        <f t="shared" si="11"/>
        <v>85995</v>
      </c>
      <c r="M45" s="162">
        <f>+VLOOKUP(C45,Lista!B:D,3,0)</f>
        <v>0</v>
      </c>
      <c r="N45" s="365">
        <f t="shared" si="2"/>
        <v>12468.292682926829</v>
      </c>
      <c r="O45" s="50">
        <f t="shared" si="12"/>
        <v>7</v>
      </c>
      <c r="P45" s="47">
        <f t="shared" si="13"/>
        <v>147</v>
      </c>
      <c r="Q45" s="49">
        <f t="shared" si="14"/>
        <v>131</v>
      </c>
      <c r="R45" s="51">
        <f t="shared" si="15"/>
        <v>147</v>
      </c>
      <c r="S45" s="46">
        <f t="shared" si="16"/>
        <v>80850</v>
      </c>
      <c r="T45" t="str">
        <f t="shared" si="17"/>
        <v/>
      </c>
      <c r="U45">
        <f t="shared" si="18"/>
        <v>6</v>
      </c>
      <c r="Y45" t="str">
        <f>TRIM(Tabla2[[#This Row],[CONDUCTOR]])</f>
        <v>GARCIA DAVID WILSON ALBERTO</v>
      </c>
    </row>
    <row r="46" spans="2:25" x14ac:dyDescent="0.2">
      <c r="B46" s="136" t="s">
        <v>122</v>
      </c>
      <c r="C46" s="166">
        <v>42</v>
      </c>
      <c r="D46" s="151" t="s">
        <v>169</v>
      </c>
      <c r="E46" s="150">
        <v>9</v>
      </c>
      <c r="F46" s="150">
        <v>0</v>
      </c>
      <c r="G46" s="146">
        <v>236</v>
      </c>
      <c r="H46" s="226">
        <f t="shared" si="9"/>
        <v>26.222222222222221</v>
      </c>
      <c r="I46" s="227">
        <f t="shared" si="10"/>
        <v>198</v>
      </c>
      <c r="J46" s="363">
        <f>+Tabla2[[#This Row],[PROM DE USUARIOS]]-Tabla2[[#This Row],[USUARIOS]]</f>
        <v>-38</v>
      </c>
      <c r="K46" s="151"/>
      <c r="L46" s="163">
        <f t="shared" si="11"/>
        <v>110565</v>
      </c>
      <c r="M46" s="162">
        <f>+VLOOKUP(C46,Lista!B:D,3,0)</f>
        <v>0</v>
      </c>
      <c r="N46" s="365">
        <f t="shared" si="2"/>
        <v>12468.292682926829</v>
      </c>
      <c r="O46" s="50">
        <f t="shared" si="12"/>
        <v>9</v>
      </c>
      <c r="P46" s="47">
        <f t="shared" si="13"/>
        <v>189</v>
      </c>
      <c r="Q46" s="49">
        <f t="shared" si="14"/>
        <v>227</v>
      </c>
      <c r="R46" s="51">
        <f t="shared" si="15"/>
        <v>189</v>
      </c>
      <c r="S46" s="46">
        <f t="shared" si="16"/>
        <v>103950</v>
      </c>
      <c r="T46" t="str">
        <f t="shared" si="17"/>
        <v/>
      </c>
      <c r="U46">
        <f t="shared" si="18"/>
        <v>40</v>
      </c>
      <c r="Y46" t="str">
        <f>TRIM(Tabla2[[#This Row],[CONDUCTOR]])</f>
        <v>AGUDELO GARCIA DENIN ANGELO</v>
      </c>
    </row>
    <row r="47" spans="2:25" x14ac:dyDescent="0.2">
      <c r="B47" s="136" t="s">
        <v>121</v>
      </c>
      <c r="C47" s="166">
        <v>43</v>
      </c>
      <c r="D47" s="151" t="s">
        <v>157</v>
      </c>
      <c r="E47" s="150">
        <v>3</v>
      </c>
      <c r="F47" s="150">
        <v>0</v>
      </c>
      <c r="G47" s="165">
        <v>70</v>
      </c>
      <c r="H47" s="226">
        <f t="shared" si="9"/>
        <v>23.333333333333332</v>
      </c>
      <c r="I47" s="227">
        <f t="shared" si="10"/>
        <v>66</v>
      </c>
      <c r="J47" s="363">
        <f>+Tabla2[[#This Row],[PROM DE USUARIOS]]-Tabla2[[#This Row],[USUARIOS]]</f>
        <v>-4</v>
      </c>
      <c r="K47" s="151"/>
      <c r="L47" s="163">
        <f t="shared" si="11"/>
        <v>36855</v>
      </c>
      <c r="M47" s="162">
        <f>+VLOOKUP(C47,Lista!B:D,3,0)</f>
        <v>0</v>
      </c>
      <c r="N47" s="365">
        <f t="shared" si="2"/>
        <v>12468.292682926829</v>
      </c>
      <c r="O47" s="50">
        <f t="shared" si="12"/>
        <v>3</v>
      </c>
      <c r="P47" s="47">
        <f t="shared" si="13"/>
        <v>63</v>
      </c>
      <c r="Q47" s="49">
        <f t="shared" si="14"/>
        <v>67</v>
      </c>
      <c r="R47" s="51">
        <f t="shared" si="15"/>
        <v>63</v>
      </c>
      <c r="S47" s="46">
        <f t="shared" si="16"/>
        <v>34650</v>
      </c>
      <c r="T47" t="str">
        <f t="shared" si="17"/>
        <v/>
      </c>
      <c r="U47">
        <f t="shared" si="18"/>
        <v>26</v>
      </c>
      <c r="Y47" t="str">
        <f>TRIM(Tabla2[[#This Row],[CONDUCTOR]])</f>
        <v>CALLE BOTERO ANDRES CAMILO</v>
      </c>
    </row>
    <row r="48" spans="2:25" x14ac:dyDescent="0.2">
      <c r="B48" s="232"/>
      <c r="C48" s="239">
        <f>SUBTOTAL(102,Tabla2[VEH])</f>
        <v>41</v>
      </c>
      <c r="D48" s="233" t="s">
        <v>127</v>
      </c>
      <c r="E48" s="234">
        <f>SUBTOTAL(109,Tabla2[VIAJES])</f>
        <v>368</v>
      </c>
      <c r="F48" s="234">
        <f>SUBTOTAL(109,Tabla2[VIAJES PERD.])</f>
        <v>0</v>
      </c>
      <c r="G48" s="240">
        <f>SUBTOTAL(109,Tabla2[USUARIOS])</f>
        <v>8096</v>
      </c>
      <c r="H48" s="367">
        <f>+Tabla2[[#Totals],[USUARIOS]]/Tabla2[[#Totals],[VIAJES]]</f>
        <v>22</v>
      </c>
      <c r="I48" s="240">
        <f>SUBTOTAL(109,Tabla2[PROM DE USUARIOS])</f>
        <v>8096</v>
      </c>
      <c r="J48" s="366">
        <f>SUBTOTAL(109,Tabla2[RECIBE / ENTREGA])</f>
        <v>0</v>
      </c>
      <c r="K48" s="235" t="s">
        <v>196</v>
      </c>
      <c r="L48" s="236"/>
      <c r="M48" s="237"/>
      <c r="N48" s="238">
        <f>SUBTOTAL(109,Tabla2[DIFER. MICRO - BUS ])</f>
        <v>511199.99999999971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 t="shared" ref="O50:O55" si="21">+(E111*1)-V50</f>
        <v>0</v>
      </c>
      <c r="P50" s="134">
        <f t="shared" ref="P50:P55" si="22">+I111-O50-W50</f>
        <v>0</v>
      </c>
      <c r="Q50" s="11">
        <f t="shared" ref="Q50:Q55" si="23">+G111-O50</f>
        <v>0</v>
      </c>
      <c r="R50">
        <f t="shared" ref="R50:R55" si="24">+E111*$T$3</f>
        <v>0</v>
      </c>
      <c r="S50">
        <f t="shared" ref="S50:S55" si="25">+R50*550</f>
        <v>0</v>
      </c>
      <c r="T50" t="str">
        <f t="shared" ref="T50:T55" si="26">+IF(K111&lt;&gt;"",K111,"")</f>
        <v/>
      </c>
      <c r="U50" t="e">
        <f t="shared" ref="U50:U55" si="27">+RANK(H111,$H$6:$H$1048576,1)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 t="shared" si="21"/>
        <v>0</v>
      </c>
      <c r="P51" s="134">
        <f t="shared" si="22"/>
        <v>0</v>
      </c>
      <c r="Q51" s="11">
        <f t="shared" si="23"/>
        <v>0</v>
      </c>
      <c r="R51">
        <f t="shared" si="24"/>
        <v>0</v>
      </c>
      <c r="S51">
        <f t="shared" si="25"/>
        <v>0</v>
      </c>
      <c r="T51" t="str">
        <f t="shared" si="26"/>
        <v/>
      </c>
      <c r="U51" t="e">
        <f t="shared" si="27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21"/>
        <v>0</v>
      </c>
      <c r="P52" s="134">
        <f t="shared" si="22"/>
        <v>0</v>
      </c>
      <c r="Q52" s="11">
        <f t="shared" si="23"/>
        <v>0</v>
      </c>
      <c r="R52">
        <f t="shared" si="24"/>
        <v>0</v>
      </c>
      <c r="S52">
        <f t="shared" si="25"/>
        <v>0</v>
      </c>
      <c r="T52" t="str">
        <f t="shared" si="26"/>
        <v/>
      </c>
      <c r="U52" t="e">
        <f t="shared" si="27"/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 t="shared" si="21"/>
        <v>0</v>
      </c>
      <c r="P53" s="134">
        <f t="shared" si="22"/>
        <v>0</v>
      </c>
      <c r="Q53" s="11">
        <f t="shared" si="23"/>
        <v>0</v>
      </c>
      <c r="R53">
        <f t="shared" si="24"/>
        <v>0</v>
      </c>
      <c r="S53">
        <f t="shared" si="25"/>
        <v>0</v>
      </c>
      <c r="T53" t="str">
        <f t="shared" si="26"/>
        <v/>
      </c>
      <c r="U53" t="e">
        <f t="shared" si="27"/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 t="shared" si="21"/>
        <v>0</v>
      </c>
      <c r="P54" s="134">
        <f t="shared" si="22"/>
        <v>0</v>
      </c>
      <c r="Q54" s="11">
        <f t="shared" si="23"/>
        <v>0</v>
      </c>
      <c r="R54">
        <f t="shared" si="24"/>
        <v>0</v>
      </c>
      <c r="S54">
        <f t="shared" si="25"/>
        <v>0</v>
      </c>
      <c r="T54" t="str">
        <f t="shared" si="26"/>
        <v/>
      </c>
      <c r="U54" t="e">
        <f t="shared" si="27"/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 t="shared" si="21"/>
        <v>0</v>
      </c>
      <c r="P55" s="134">
        <f t="shared" si="22"/>
        <v>0</v>
      </c>
      <c r="Q55" s="11">
        <f t="shared" si="23"/>
        <v>0</v>
      </c>
      <c r="R55">
        <f t="shared" si="24"/>
        <v>0</v>
      </c>
      <c r="S55">
        <f t="shared" si="25"/>
        <v>0</v>
      </c>
      <c r="T55" t="str">
        <f t="shared" si="26"/>
        <v/>
      </c>
      <c r="U55" t="e">
        <f t="shared" si="27"/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28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28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28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28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28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55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03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03"/>
    </row>
    <row r="80" spans="2:21" x14ac:dyDescent="0.2">
      <c r="B80" s="245"/>
      <c r="C80" s="255"/>
      <c r="D80" s="247"/>
      <c r="E80" s="248"/>
      <c r="F80" s="248"/>
      <c r="G80" s="199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03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55"/>
      <c r="D94" s="247"/>
      <c r="E94" s="248"/>
      <c r="F94" s="248"/>
      <c r="G94" s="199"/>
      <c r="H94" s="257"/>
      <c r="I94" s="222"/>
      <c r="J94" s="343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55"/>
      <c r="D99" s="247"/>
      <c r="E99" s="248"/>
      <c r="F99" s="248"/>
      <c r="G99" s="254"/>
      <c r="H99" s="259"/>
      <c r="I99" s="260"/>
      <c r="J99" s="344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55"/>
      <c r="D104" s="247"/>
      <c r="E104" s="248"/>
      <c r="F104" s="248"/>
      <c r="G104" s="199"/>
      <c r="H104" s="257"/>
      <c r="I104" s="222"/>
      <c r="J104" s="343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6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6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55"/>
      <c r="D118" s="247"/>
      <c r="E118" s="248"/>
      <c r="F118" s="248"/>
      <c r="G118" s="199"/>
      <c r="H118" s="257"/>
      <c r="I118" s="222"/>
      <c r="J118" s="343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6"/>
      <c r="H120" s="250"/>
      <c r="I120" s="221"/>
      <c r="J120" s="342"/>
      <c r="K120" s="247"/>
      <c r="L120" s="252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5"/>
      <c r="E124" s="248"/>
      <c r="F124" s="248"/>
      <c r="G124" s="261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7"/>
      <c r="I129" s="222"/>
      <c r="J129" s="343"/>
      <c r="K129" s="262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58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03"/>
      <c r="M140" s="253"/>
      <c r="N140" s="258"/>
    </row>
    <row r="141" spans="2:14" x14ac:dyDescent="0.2">
      <c r="B141" s="245"/>
      <c r="C141" s="246"/>
      <c r="D141" s="247"/>
      <c r="E141" s="248"/>
      <c r="F141" s="248"/>
      <c r="G141" s="254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5"/>
      <c r="E144" s="248"/>
      <c r="F144" s="248"/>
      <c r="G144" s="201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51"/>
      <c r="J158" s="341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5"/>
      <c r="E163" s="248"/>
      <c r="F163" s="248"/>
      <c r="G163" s="201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50"/>
      <c r="I165" s="221"/>
      <c r="J165" s="342"/>
      <c r="K165" s="247"/>
      <c r="L165" s="252"/>
      <c r="M165" s="253"/>
      <c r="N165" s="258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50"/>
      <c r="I196" s="221"/>
      <c r="J196" s="342"/>
      <c r="K196" s="247"/>
      <c r="L196" s="252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55"/>
      <c r="D207" s="247"/>
      <c r="E207" s="248"/>
      <c r="F207" s="248"/>
      <c r="G207" s="199"/>
      <c r="H207" s="244"/>
      <c r="I207" s="222"/>
      <c r="J207" s="343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55"/>
      <c r="D213" s="247"/>
      <c r="E213" s="248"/>
      <c r="F213" s="248"/>
      <c r="G213" s="199"/>
      <c r="H213" s="244"/>
      <c r="I213" s="222"/>
      <c r="J213" s="343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03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55"/>
      <c r="D229" s="247"/>
      <c r="E229" s="248"/>
      <c r="F229" s="248"/>
      <c r="G229" s="261"/>
      <c r="H229" s="263"/>
      <c r="I229" s="260"/>
      <c r="J229" s="344"/>
      <c r="K229" s="247"/>
      <c r="L229" s="252"/>
      <c r="M229" s="253"/>
      <c r="N229" s="203"/>
    </row>
    <row r="230" spans="2:14" x14ac:dyDescent="0.2">
      <c r="B230" s="245"/>
      <c r="C230" s="246"/>
      <c r="D230" s="245"/>
      <c r="E230" s="248"/>
      <c r="F230" s="248"/>
      <c r="G230" s="261"/>
      <c r="H230" s="200"/>
      <c r="I230" s="221"/>
      <c r="J230" s="342"/>
      <c r="K230" s="245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44"/>
      <c r="I239" s="222"/>
      <c r="J239" s="343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03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261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5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0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6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5"/>
      <c r="E281" s="248"/>
      <c r="F281" s="248"/>
      <c r="G281" s="26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5"/>
      <c r="E283" s="248"/>
      <c r="F283" s="248"/>
      <c r="G283" s="20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5"/>
      <c r="E286" s="248"/>
      <c r="F286" s="248"/>
      <c r="G286" s="261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55"/>
      <c r="D287" s="247"/>
      <c r="E287" s="248"/>
      <c r="F287" s="248"/>
      <c r="G287" s="199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5"/>
      <c r="E304" s="248"/>
      <c r="F304" s="248"/>
      <c r="G304" s="261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55"/>
      <c r="D419" s="247"/>
      <c r="E419" s="248"/>
      <c r="F419" s="248"/>
      <c r="G419" s="199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5"/>
      <c r="E424" s="248"/>
      <c r="F424" s="248"/>
      <c r="G424" s="261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5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4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68"/>
      <c r="F452" s="268"/>
      <c r="G452" s="269"/>
      <c r="H452" s="270"/>
      <c r="I452" s="271"/>
      <c r="J452" s="346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55"/>
      <c r="D455" s="247"/>
      <c r="E455" s="248"/>
      <c r="F455" s="248"/>
      <c r="G455" s="199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5"/>
      <c r="E456" s="248"/>
      <c r="F456" s="248"/>
      <c r="G456" s="261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4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55"/>
      <c r="D468" s="247"/>
      <c r="E468" s="248"/>
      <c r="F468" s="248"/>
      <c r="G468" s="199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5"/>
      <c r="E491" s="248"/>
      <c r="F491" s="248"/>
      <c r="G491" s="261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55"/>
      <c r="D504" s="247"/>
      <c r="E504" s="248"/>
      <c r="F504" s="248"/>
      <c r="G504" s="199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4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7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5"/>
      <c r="E524" s="248"/>
      <c r="F524" s="272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55"/>
      <c r="D544" s="247"/>
      <c r="E544" s="248"/>
      <c r="F544" s="248"/>
      <c r="G544" s="199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5"/>
      <c r="E547" s="248"/>
      <c r="F547" s="248"/>
      <c r="G547" s="26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55"/>
      <c r="D550" s="247"/>
      <c r="E550" s="248"/>
      <c r="F550" s="248"/>
      <c r="G550" s="199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5"/>
      <c r="E559" s="248"/>
      <c r="F559" s="248"/>
      <c r="G559" s="261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55"/>
      <c r="D567" s="245"/>
      <c r="E567" s="248"/>
      <c r="F567" s="248"/>
      <c r="G567" s="201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5"/>
      <c r="E573" s="248"/>
      <c r="F573" s="248"/>
      <c r="G573" s="201"/>
      <c r="H573" s="202"/>
      <c r="I573" s="223"/>
      <c r="J573" s="345"/>
      <c r="K573" s="264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55"/>
      <c r="D586" s="247"/>
      <c r="E586" s="248"/>
      <c r="F586" s="248"/>
      <c r="G586" s="199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55"/>
      <c r="D600" s="247"/>
      <c r="E600" s="248"/>
      <c r="F600" s="248"/>
      <c r="G600" s="199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4"/>
      <c r="L615" s="252"/>
      <c r="M615" s="253"/>
      <c r="N615" s="265"/>
    </row>
    <row r="616" spans="2:14" x14ac:dyDescent="0.2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5"/>
      <c r="E617" s="248"/>
      <c r="F617" s="248"/>
      <c r="G617" s="261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5"/>
      <c r="E624" s="248"/>
      <c r="F624" s="248"/>
      <c r="G624" s="201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55"/>
      <c r="D635" s="247"/>
      <c r="E635" s="248"/>
      <c r="F635" s="248"/>
      <c r="G635" s="199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4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55"/>
      <c r="D658" s="247"/>
      <c r="E658" s="248"/>
      <c r="F658" s="248"/>
      <c r="G658" s="199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55"/>
      <c r="D674" s="247"/>
      <c r="E674" s="248"/>
      <c r="F674" s="248"/>
      <c r="G674" s="199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5"/>
      <c r="E678" s="248"/>
      <c r="F678" s="248"/>
      <c r="G678" s="261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55"/>
      <c r="D683" s="247"/>
      <c r="E683" s="248"/>
      <c r="F683" s="248"/>
      <c r="G683" s="199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5"/>
      <c r="E686" s="248"/>
      <c r="F686" s="248"/>
      <c r="G686" s="261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5"/>
      <c r="E702" s="248"/>
      <c r="F702" s="248"/>
      <c r="G702" s="201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4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4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73"/>
    </row>
    <row r="742" spans="2:14" x14ac:dyDescent="0.2">
      <c r="B742" s="245"/>
      <c r="C742" s="255"/>
      <c r="D742" s="245"/>
      <c r="E742" s="248"/>
      <c r="F742" s="248"/>
      <c r="G742" s="201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7"/>
      <c r="E746" s="248"/>
      <c r="F746" s="248"/>
      <c r="G746" s="199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4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5"/>
      <c r="E767" s="248"/>
      <c r="F767" s="248"/>
      <c r="G767" s="20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4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4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5"/>
      <c r="E809" s="248"/>
      <c r="F809" s="248"/>
      <c r="G809" s="261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55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55"/>
      <c r="D827" s="247"/>
      <c r="E827" s="248"/>
      <c r="F827" s="248"/>
      <c r="G827" s="199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5"/>
      <c r="E838" s="248"/>
      <c r="F838" s="248"/>
      <c r="G838" s="261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4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5"/>
      <c r="E847" s="248"/>
      <c r="F847" s="248"/>
      <c r="G847" s="261"/>
      <c r="H847" s="202"/>
      <c r="I847" s="223"/>
      <c r="J847" s="345"/>
      <c r="K847" s="264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74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5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7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199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199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46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199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199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4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01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01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5"/>
      <c r="E1049" s="248"/>
      <c r="F1049" s="248"/>
      <c r="G1049" s="261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5"/>
      <c r="E1062" s="248"/>
      <c r="F1062" s="248"/>
      <c r="G1062" s="261"/>
      <c r="H1062" s="202"/>
      <c r="I1062" s="223"/>
      <c r="J1062" s="345"/>
      <c r="K1062" s="264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03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5"/>
      <c r="E1090" s="275"/>
      <c r="F1090" s="275"/>
      <c r="G1090" s="205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03"/>
      <c r="M1119" s="253"/>
      <c r="N1119" s="203"/>
    </row>
    <row r="1120" spans="2:14" x14ac:dyDescent="0.2">
      <c r="B1120" s="245"/>
      <c r="C1120" s="255"/>
      <c r="D1120" s="245"/>
      <c r="E1120" s="248"/>
      <c r="F1120" s="248"/>
      <c r="G1120" s="205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199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06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76"/>
      <c r="D1140" s="276"/>
      <c r="E1140" s="248"/>
      <c r="F1140" s="277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5"/>
      <c r="E1142" s="248"/>
      <c r="F1142" s="248"/>
      <c r="G1142" s="201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5"/>
      <c r="E1149" s="248"/>
      <c r="F1149" s="248"/>
      <c r="G1149" s="261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61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5"/>
      <c r="E1164" s="275"/>
      <c r="F1164" s="275"/>
      <c r="G1164" s="205"/>
      <c r="H1164" s="202"/>
      <c r="I1164" s="223"/>
      <c r="J1164" s="345"/>
      <c r="K1164" s="274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61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4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5"/>
      <c r="E1203" s="275"/>
      <c r="F1203" s="275"/>
      <c r="G1203" s="205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5"/>
      <c r="E1211" s="248"/>
      <c r="F1211" s="248"/>
      <c r="G1211" s="205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01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48"/>
      <c r="F1217" s="248"/>
      <c r="G1217" s="206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5"/>
      <c r="E1219" s="275"/>
      <c r="F1219" s="275"/>
      <c r="G1219" s="205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80"/>
      <c r="D1234" s="281"/>
      <c r="E1234" s="275"/>
      <c r="F1234" s="275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03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199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46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76"/>
      <c r="D1244" s="276"/>
      <c r="E1244" s="277"/>
      <c r="F1244" s="277"/>
      <c r="G1244" s="209"/>
      <c r="H1244" s="207"/>
      <c r="I1244" s="221"/>
      <c r="J1244" s="342"/>
      <c r="K1244" s="282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5"/>
      <c r="E1248" s="248"/>
      <c r="F1248" s="248"/>
      <c r="G1248" s="261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05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10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46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55"/>
      <c r="D1259" s="247"/>
      <c r="E1259" s="248"/>
      <c r="F1259" s="248"/>
      <c r="G1259" s="254"/>
      <c r="H1259" s="207"/>
      <c r="I1259" s="221"/>
      <c r="J1259" s="342"/>
      <c r="K1259" s="279"/>
      <c r="L1259" s="252"/>
      <c r="M1259" s="253"/>
      <c r="N1259" s="208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x14ac:dyDescent="0.2">
      <c r="B1267" s="37"/>
      <c r="C1267" s="286"/>
      <c r="D1267" s="37"/>
      <c r="E1267" s="60"/>
      <c r="F1267" s="60"/>
      <c r="G1267" s="213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78"/>
      <c r="D1268" s="109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66"/>
      <c r="D1271" s="287"/>
      <c r="E1271" s="68"/>
      <c r="F1271" s="68"/>
      <c r="G1271" s="21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8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1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3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9"/>
      <c r="D1305" s="290"/>
      <c r="E1305" s="291"/>
      <c r="F1305" s="291"/>
      <c r="G1305" s="284"/>
      <c r="H1305" s="215"/>
      <c r="I1305" s="224"/>
      <c r="J1305" s="347"/>
      <c r="K1305" s="69"/>
      <c r="L1305" s="216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2">
      <c r="B1309" s="30"/>
      <c r="C1309" s="78"/>
      <c r="D1309" s="109"/>
      <c r="E1309" s="68"/>
      <c r="F1309" s="68"/>
      <c r="G1309" s="288"/>
      <c r="H1309" s="211"/>
      <c r="I1309" s="224"/>
      <c r="J1309" s="347"/>
      <c r="K1309" s="80"/>
      <c r="L1309" s="285"/>
      <c r="M1309" s="116"/>
      <c r="N1309" s="212"/>
    </row>
    <row r="1310" spans="2:14" ht="15" x14ac:dyDescent="0.25">
      <c r="B1310" s="30"/>
      <c r="C1310" s="283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16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1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1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13"/>
      <c r="H1354" s="215"/>
      <c r="I1354" s="293"/>
      <c r="J1354" s="348"/>
      <c r="K1354" s="69"/>
      <c r="L1354" s="285"/>
      <c r="M1354" s="116"/>
      <c r="N1354" s="212"/>
    </row>
    <row r="1355" spans="2:14" x14ac:dyDescent="0.2">
      <c r="B1355" s="292"/>
      <c r="C1355" s="78"/>
      <c r="D1355" s="109"/>
      <c r="E1355" s="68"/>
      <c r="F1355" s="68"/>
      <c r="G1355" s="288"/>
      <c r="H1355" s="211"/>
      <c r="I1355" s="224"/>
      <c r="J1355" s="347"/>
      <c r="K1355" s="80"/>
      <c r="L1355" s="216"/>
      <c r="M1355" s="116"/>
      <c r="N1355" s="212"/>
    </row>
    <row r="1356" spans="2:14" ht="15" x14ac:dyDescent="0.25">
      <c r="B1356" s="292"/>
      <c r="C1356" s="78"/>
      <c r="D1356" s="109"/>
      <c r="E1356" s="68"/>
      <c r="F1356" s="68"/>
      <c r="G1356" s="288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289"/>
      <c r="D1357" s="290"/>
      <c r="E1357" s="294"/>
      <c r="F1357" s="295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297"/>
      <c r="F1360" s="298"/>
      <c r="G1360" s="299"/>
      <c r="H1360" s="300"/>
      <c r="I1360" s="301"/>
      <c r="J1360" s="349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16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289"/>
      <c r="D1366" s="290"/>
      <c r="E1366" s="291"/>
      <c r="F1366" s="284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1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8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8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77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68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14"/>
      <c r="H1388" s="215"/>
      <c r="I1388" s="293"/>
      <c r="J1388" s="348"/>
      <c r="K1388" s="69"/>
      <c r="L1388" s="285"/>
      <c r="M1388" s="116"/>
      <c r="N1388" s="212"/>
    </row>
    <row r="1389" spans="2:14" x14ac:dyDescent="0.2">
      <c r="B1389" s="65"/>
      <c r="C1389" s="78"/>
      <c r="D1389" s="109"/>
      <c r="E1389" s="68"/>
      <c r="F1389" s="77"/>
      <c r="G1389" s="302"/>
      <c r="H1389" s="211"/>
      <c r="I1389" s="224"/>
      <c r="J1389" s="347"/>
      <c r="K1389" s="80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78"/>
      <c r="D1402" s="109"/>
      <c r="E1402" s="68"/>
      <c r="F1402" s="68"/>
      <c r="G1402" s="214"/>
      <c r="H1402" s="215"/>
      <c r="I1402" s="293"/>
      <c r="J1402" s="348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89"/>
      <c r="D1413" s="290"/>
      <c r="E1413" s="291"/>
      <c r="F1413" s="304"/>
      <c r="G1413" s="28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68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23"/>
      <c r="D1434" s="37"/>
      <c r="E1434" s="60"/>
      <c r="F1434" s="26"/>
      <c r="G1434" s="2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78"/>
      <c r="D1436" s="109"/>
      <c r="E1436" s="68"/>
      <c r="F1436" s="77"/>
      <c r="G1436" s="305"/>
      <c r="H1436" s="215"/>
      <c r="I1436" s="293"/>
      <c r="J1436" s="348"/>
      <c r="K1436" s="69"/>
      <c r="L1436" s="216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302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23"/>
      <c r="D1444" s="37"/>
      <c r="E1444" s="60"/>
      <c r="F1444" s="26"/>
      <c r="G1444" s="10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23"/>
      <c r="D1447" s="290"/>
      <c r="E1447" s="291"/>
      <c r="F1447" s="304"/>
      <c r="G1447" s="28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80"/>
      <c r="L1450" s="285"/>
      <c r="M1450" s="116"/>
      <c r="N1450" s="212"/>
    </row>
    <row r="1451" spans="2:14" ht="15" x14ac:dyDescent="0.25">
      <c r="B1451" s="91"/>
      <c r="C1451" s="23"/>
      <c r="D1451" s="37"/>
      <c r="E1451" s="60"/>
      <c r="F1451" s="26"/>
      <c r="G1451" s="10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27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78"/>
      <c r="D1457" s="109"/>
      <c r="E1457" s="68"/>
      <c r="F1457" s="77"/>
      <c r="G1457" s="21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290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104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286"/>
      <c r="D1462" s="286"/>
      <c r="E1462" s="306"/>
      <c r="F1462" s="307"/>
      <c r="G1462" s="307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78"/>
      <c r="D1463" s="109"/>
      <c r="E1463" s="68"/>
      <c r="F1463" s="77"/>
      <c r="G1463" s="214"/>
      <c r="H1463" s="215"/>
      <c r="I1463" s="293"/>
      <c r="J1463" s="348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78"/>
      <c r="D1472" s="109"/>
      <c r="E1472" s="68"/>
      <c r="F1472" s="77"/>
      <c r="G1472" s="308"/>
      <c r="H1472" s="215"/>
      <c r="I1472" s="293"/>
      <c r="J1472" s="348"/>
      <c r="K1472" s="69"/>
      <c r="L1472" s="216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310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296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78"/>
      <c r="D1488" s="109"/>
      <c r="E1488" s="68"/>
      <c r="F1488" s="77"/>
      <c r="G1488" s="311"/>
      <c r="H1488" s="312"/>
      <c r="I1488" s="313"/>
      <c r="J1488" s="352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78"/>
      <c r="D1499" s="109"/>
      <c r="E1499" s="68"/>
      <c r="F1499" s="77"/>
      <c r="G1499" s="311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5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.75" x14ac:dyDescent="0.25">
      <c r="B1503" s="31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126"/>
      <c r="M1503" s="116"/>
      <c r="N1503" s="217"/>
    </row>
    <row r="1504" spans="2:14" ht="15.75" x14ac:dyDescent="0.25">
      <c r="B1504" s="314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316"/>
      <c r="D1506" s="65"/>
      <c r="E1506" s="68"/>
      <c r="F1506" s="117"/>
      <c r="G1506" s="117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107"/>
      <c r="J1519" s="351"/>
      <c r="K1519" s="69"/>
      <c r="L1519" s="285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80"/>
      <c r="L1528" s="126"/>
      <c r="M1528" s="117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1"/>
      <c r="K1529" s="80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316"/>
      <c r="D1531" s="65"/>
      <c r="E1531" s="68"/>
      <c r="F1531" s="117"/>
      <c r="G1531" s="117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78"/>
      <c r="D1543" s="109"/>
      <c r="E1543" s="68"/>
      <c r="F1543" s="77"/>
      <c r="G1543" s="311"/>
      <c r="H1543" s="312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123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3"/>
      <c r="K1563" s="80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317"/>
    </row>
    <row r="1566" spans="2:14" ht="15" x14ac:dyDescent="0.25">
      <c r="B1566" s="65"/>
      <c r="C1566" s="78"/>
      <c r="D1566" s="109"/>
      <c r="E1566" s="68"/>
      <c r="F1566" s="77"/>
      <c r="G1566" s="311"/>
      <c r="H1566" s="312"/>
      <c r="I1566" s="313"/>
      <c r="J1566" s="352"/>
      <c r="K1566" s="69"/>
      <c r="L1566" s="216"/>
      <c r="M1566" s="116"/>
      <c r="N1566" s="3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79"/>
      <c r="L1579" s="126"/>
      <c r="M1579" s="115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6"/>
      <c r="M1592" s="116"/>
      <c r="N1592" s="217"/>
    </row>
    <row r="1593" spans="2:14" ht="15" x14ac:dyDescent="0.25">
      <c r="B1593" s="65"/>
      <c r="C1593" s="78"/>
      <c r="D1593" s="109"/>
      <c r="E1593" s="68"/>
      <c r="F1593" s="77"/>
      <c r="G1593" s="311"/>
      <c r="H1593" s="312"/>
      <c r="I1593" s="313"/>
      <c r="J1593" s="352"/>
      <c r="K1593" s="69"/>
      <c r="L1593" s="216"/>
      <c r="M1593" s="116"/>
      <c r="N1593" s="212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118"/>
      <c r="M1602" s="116"/>
      <c r="N1602" s="318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311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68"/>
      <c r="G1652" s="311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3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1"/>
      <c r="K1661" s="69"/>
      <c r="L1661" s="120"/>
      <c r="M1661" s="116"/>
      <c r="N1661" s="2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79"/>
      <c r="L1672" s="120"/>
      <c r="M1672" s="115"/>
      <c r="N1672" s="2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114"/>
      <c r="L1675" s="118"/>
      <c r="M1675" s="117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1"/>
      <c r="K1686" s="69"/>
      <c r="L1686" s="118"/>
      <c r="M1686" s="116"/>
      <c r="N1686" s="320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84"/>
      <c r="M1705" s="82"/>
      <c r="N1705" s="319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77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70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78"/>
      <c r="D1724" s="100"/>
      <c r="E1724" s="101"/>
      <c r="F1724" s="68"/>
      <c r="G1724" s="311"/>
      <c r="H1724" s="321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78"/>
      <c r="D1726" s="100"/>
      <c r="E1726" s="101"/>
      <c r="F1726" s="77"/>
      <c r="G1726" s="311"/>
      <c r="H1726" s="321"/>
      <c r="I1726" s="313"/>
      <c r="J1726" s="352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ht="15" x14ac:dyDescent="0.25">
      <c r="B1733" s="65"/>
      <c r="C1733" s="78"/>
      <c r="D1733" s="100"/>
      <c r="E1733" s="101"/>
      <c r="F1733" s="77"/>
      <c r="G1733" s="311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100"/>
      <c r="E1734" s="102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6"/>
      <c r="K1739" s="80"/>
      <c r="L1739" s="84"/>
      <c r="M1739" s="82"/>
      <c r="N1739" s="327"/>
    </row>
    <row r="1740" spans="2:14" ht="15" x14ac:dyDescent="0.25">
      <c r="B1740" s="65"/>
      <c r="C1740" s="78"/>
      <c r="D1740" s="90"/>
      <c r="E1740" s="67"/>
      <c r="F1740" s="77"/>
      <c r="G1740" s="328"/>
      <c r="H1740" s="321"/>
      <c r="I1740" s="326"/>
      <c r="J1740" s="355"/>
      <c r="K1740" s="69"/>
      <c r="L1740" s="322"/>
      <c r="M1740" s="82"/>
      <c r="N1740" s="327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80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78"/>
      <c r="D1747" s="90"/>
      <c r="E1747" s="67"/>
      <c r="F1747" s="77"/>
      <c r="G1747" s="328"/>
      <c r="H1747" s="321"/>
      <c r="I1747" s="326"/>
      <c r="J1747" s="355"/>
      <c r="K1747" s="69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80"/>
      <c r="L1750" s="84"/>
      <c r="M1750" s="82"/>
      <c r="N1750" s="327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6"/>
      <c r="K1751" s="69"/>
      <c r="L1751" s="84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322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84"/>
      <c r="M1753" s="82"/>
      <c r="N1753" s="323"/>
    </row>
    <row r="1754" spans="2:14" ht="15" x14ac:dyDescent="0.25">
      <c r="B1754" s="65"/>
      <c r="C1754" s="78"/>
      <c r="D1754" s="90"/>
      <c r="E1754" s="67"/>
      <c r="F1754" s="77"/>
      <c r="G1754" s="328"/>
      <c r="H1754" s="321"/>
      <c r="I1754" s="326"/>
      <c r="J1754" s="355"/>
      <c r="K1754" s="69"/>
      <c r="L1754" s="322"/>
      <c r="M1754" s="82"/>
      <c r="N1754" s="323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0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29"/>
      <c r="I1790" s="41"/>
      <c r="J1790" s="358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5"/>
      <c r="H1791" s="332"/>
      <c r="I1791" s="333"/>
      <c r="J1791" s="359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29"/>
      <c r="I1794" s="41"/>
      <c r="J1794" s="358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5"/>
      <c r="H1797" s="332"/>
      <c r="I1797" s="333"/>
      <c r="J1797" s="359"/>
      <c r="K1797" s="27"/>
      <c r="L1797" s="330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5"/>
      <c r="H1799" s="332"/>
      <c r="I1799" s="334"/>
      <c r="J1799" s="361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29"/>
      <c r="I1800" s="42"/>
      <c r="J1800" s="360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29"/>
      <c r="I1801" s="334"/>
      <c r="J1801" s="361"/>
      <c r="K1801" s="36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29"/>
      <c r="I1804" s="333"/>
      <c r="J1804" s="359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5"/>
      <c r="H1820" s="332"/>
      <c r="I1820" s="333"/>
      <c r="J1820" s="359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29"/>
      <c r="I1829" s="42"/>
      <c r="J1829" s="360"/>
      <c r="K1829" s="36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29"/>
      <c r="I1835" s="41"/>
      <c r="J1835" s="358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5"/>
      <c r="H1836" s="332"/>
      <c r="I1836" s="334"/>
      <c r="J1836" s="361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5"/>
      <c r="H1850" s="332"/>
      <c r="I1850" s="333"/>
      <c r="J1850" s="359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334"/>
      <c r="J1852" s="361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29"/>
      <c r="I1868" s="41"/>
      <c r="J1868" s="358"/>
      <c r="K1868" s="36"/>
      <c r="L1868" s="33"/>
      <c r="M1868" s="34"/>
      <c r="N1868" s="35"/>
    </row>
  </sheetData>
  <sortState xmlns:xlrd2="http://schemas.microsoft.com/office/spreadsheetml/2017/richdata2" ref="B7:I1048575">
    <sortCondition ref="C7:C46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49:E1178 E7:E47">
    <cfRule type="cellIs" dxfId="60" priority="170" operator="greaterThan">
      <formula>7</formula>
    </cfRule>
  </conditionalFormatting>
  <conditionalFormatting sqref="E1488:E4766">
    <cfRule type="cellIs" dxfId="59" priority="137" operator="greaterThan">
      <formula>7</formula>
    </cfRule>
  </conditionalFormatting>
  <conditionalFormatting sqref="I49:I1250 G49:G51 I7:I47">
    <cfRule type="cellIs" dxfId="58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57" priority="297711" operator="greaterThan">
      <formula>$H$48</formula>
    </cfRule>
  </conditionalFormatting>
  <conditionalFormatting sqref="L7:L1250">
    <cfRule type="top10" dxfId="56" priority="297733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6" workbookViewId="0">
      <selection activeCell="D11" sqref="D11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151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150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2025-11-29T07:53:56Z</cp:lastPrinted>
  <dcterms:created xsi:type="dcterms:W3CDTF">2021-05-05T13:25:05Z</dcterms:created>
  <dcterms:modified xsi:type="dcterms:W3CDTF">2025-11-29T07:54:37Z</dcterms:modified>
</cp:coreProperties>
</file>