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FBBADCFD-4DBA-446A-A77C-D9BDCE8E821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Import!$B$6:$N$1868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8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7" i="1"/>
  <c r="H41" i="1"/>
  <c r="M41" i="1"/>
  <c r="P41" i="1"/>
  <c r="R41" i="1" s="1"/>
  <c r="U41" i="1"/>
  <c r="H42" i="1"/>
  <c r="M42" i="1"/>
  <c r="P42" i="1"/>
  <c r="R42" i="1" s="1"/>
  <c r="U42" i="1"/>
  <c r="H43" i="1"/>
  <c r="M43" i="1"/>
  <c r="P43" i="1"/>
  <c r="R43" i="1" s="1"/>
  <c r="U43" i="1"/>
  <c r="H44" i="1"/>
  <c r="M44" i="1"/>
  <c r="P44" i="1"/>
  <c r="R44" i="1" s="1"/>
  <c r="U44" i="1"/>
  <c r="H45" i="1"/>
  <c r="M45" i="1"/>
  <c r="P45" i="1"/>
  <c r="R45" i="1" s="1"/>
  <c r="U45" i="1"/>
  <c r="H46" i="1"/>
  <c r="M46" i="1"/>
  <c r="P46" i="1"/>
  <c r="R46" i="1" s="1"/>
  <c r="U46" i="1"/>
  <c r="H47" i="1"/>
  <c r="M47" i="1"/>
  <c r="P47" i="1"/>
  <c r="R47" i="1" s="1"/>
  <c r="U47" i="1"/>
  <c r="C48" i="1"/>
  <c r="G48" i="1"/>
  <c r="F48" i="1"/>
  <c r="E48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M7" i="1"/>
  <c r="N7" i="1" s="1"/>
  <c r="M8" i="1"/>
  <c r="N10" i="1" s="1"/>
  <c r="M9" i="1"/>
  <c r="M10" i="1"/>
  <c r="M11" i="1"/>
  <c r="M12" i="1"/>
  <c r="M13" i="1"/>
  <c r="M15" i="1"/>
  <c r="M16" i="1"/>
  <c r="M17" i="1"/>
  <c r="M18" i="1"/>
  <c r="M19" i="1"/>
  <c r="M20" i="1"/>
  <c r="M14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H15" i="1"/>
  <c r="H16" i="1"/>
  <c r="H7" i="1"/>
  <c r="H17" i="1"/>
  <c r="H8" i="1"/>
  <c r="H19" i="1"/>
  <c r="H20" i="1"/>
  <c r="H9" i="1"/>
  <c r="H10" i="1"/>
  <c r="H14" i="1"/>
  <c r="H11" i="1"/>
  <c r="H21" i="1"/>
  <c r="H12" i="1"/>
  <c r="H13" i="1"/>
  <c r="H22" i="1"/>
  <c r="H23" i="1"/>
  <c r="H32" i="1"/>
  <c r="H24" i="1"/>
  <c r="H25" i="1"/>
  <c r="H18" i="1"/>
  <c r="H26" i="1"/>
  <c r="H27" i="1"/>
  <c r="H28" i="1"/>
  <c r="H29" i="1"/>
  <c r="H30" i="1"/>
  <c r="H31" i="1"/>
  <c r="H33" i="1"/>
  <c r="H40" i="1"/>
  <c r="H34" i="1"/>
  <c r="H35" i="1"/>
  <c r="H37" i="1"/>
  <c r="H38" i="1"/>
  <c r="H39" i="1"/>
  <c r="H36" i="1"/>
  <c r="P3" i="6"/>
  <c r="M9" i="6"/>
  <c r="U48" i="1"/>
  <c r="P48" i="1"/>
  <c r="R48" i="1" s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H11" i="3"/>
  <c r="D12" i="3"/>
  <c r="AP6" i="3"/>
  <c r="E13" i="3"/>
  <c r="D13" i="3"/>
  <c r="E12" i="3"/>
  <c r="N46" i="1" l="1"/>
  <c r="N42" i="1"/>
  <c r="N38" i="1"/>
  <c r="N34" i="1"/>
  <c r="N30" i="1"/>
  <c r="N26" i="1"/>
  <c r="N22" i="1"/>
  <c r="N18" i="1"/>
  <c r="N14" i="1"/>
  <c r="N45" i="1"/>
  <c r="N41" i="1"/>
  <c r="N37" i="1"/>
  <c r="N33" i="1"/>
  <c r="N29" i="1"/>
  <c r="N25" i="1"/>
  <c r="N21" i="1"/>
  <c r="N17" i="1"/>
  <c r="N13" i="1"/>
  <c r="N9" i="1"/>
  <c r="N44" i="1"/>
  <c r="N40" i="1"/>
  <c r="N36" i="1"/>
  <c r="N32" i="1"/>
  <c r="N28" i="1"/>
  <c r="N24" i="1"/>
  <c r="N20" i="1"/>
  <c r="N16" i="1"/>
  <c r="N12" i="1"/>
  <c r="N8" i="1"/>
  <c r="N47" i="1"/>
  <c r="N43" i="1"/>
  <c r="N39" i="1"/>
  <c r="N35" i="1"/>
  <c r="N31" i="1"/>
  <c r="N27" i="1"/>
  <c r="N23" i="1"/>
  <c r="N19" i="1"/>
  <c r="N15" i="1"/>
  <c r="N11" i="1"/>
  <c r="I8" i="1"/>
  <c r="J8" i="1" s="1"/>
  <c r="I28" i="1"/>
  <c r="J28" i="1" s="1"/>
  <c r="I7" i="1"/>
  <c r="Q7" i="1" s="1"/>
  <c r="L7" i="1" s="1"/>
  <c r="I37" i="1"/>
  <c r="Q37" i="1" s="1"/>
  <c r="I26" i="1"/>
  <c r="J26" i="1" s="1"/>
  <c r="I14" i="1"/>
  <c r="Q14" i="1" s="1"/>
  <c r="I34" i="1"/>
  <c r="J34" i="1" s="1"/>
  <c r="I24" i="1"/>
  <c r="Q24" i="1" s="1"/>
  <c r="I20" i="1"/>
  <c r="J20" i="1" s="1"/>
  <c r="I42" i="1"/>
  <c r="Q42" i="1" s="1"/>
  <c r="L42" i="1" s="1"/>
  <c r="I41" i="1"/>
  <c r="J41" i="1" s="1"/>
  <c r="I12" i="1"/>
  <c r="J12" i="1" s="1"/>
  <c r="I31" i="1"/>
  <c r="Q31" i="1" s="1"/>
  <c r="I22" i="1"/>
  <c r="J22" i="1" s="1"/>
  <c r="I47" i="1"/>
  <c r="J47" i="1" s="1"/>
  <c r="I44" i="1"/>
  <c r="I43" i="1"/>
  <c r="J43" i="1" s="1"/>
  <c r="I46" i="1"/>
  <c r="I45" i="1"/>
  <c r="I39" i="1"/>
  <c r="Q39" i="1" s="1"/>
  <c r="I33" i="1"/>
  <c r="J33" i="1" s="1"/>
  <c r="I27" i="1"/>
  <c r="Q27" i="1" s="1"/>
  <c r="I32" i="1"/>
  <c r="J32" i="1" s="1"/>
  <c r="I11" i="1"/>
  <c r="Q11" i="1" s="1"/>
  <c r="L11" i="1" s="1"/>
  <c r="I19" i="1"/>
  <c r="Q19" i="1" s="1"/>
  <c r="L19" i="1" s="1"/>
  <c r="I16" i="1"/>
  <c r="Q16" i="1" s="1"/>
  <c r="L16" i="1" s="1"/>
  <c r="I15" i="1"/>
  <c r="J15" i="1" s="1"/>
  <c r="H48" i="1"/>
  <c r="V41" i="1" s="1"/>
  <c r="I36" i="1"/>
  <c r="J36" i="1" s="1"/>
  <c r="I35" i="1"/>
  <c r="J35" i="1" s="1"/>
  <c r="I30" i="1"/>
  <c r="J30" i="1" s="1"/>
  <c r="I25" i="1"/>
  <c r="Q25" i="1" s="1"/>
  <c r="I13" i="1"/>
  <c r="J13" i="1" s="1"/>
  <c r="I10" i="1"/>
  <c r="Q10" i="1" s="1"/>
  <c r="L10" i="1" s="1"/>
  <c r="V14" i="1"/>
  <c r="V22" i="1"/>
  <c r="I38" i="1"/>
  <c r="Q38" i="1" s="1"/>
  <c r="I40" i="1"/>
  <c r="J40" i="1" s="1"/>
  <c r="I29" i="1"/>
  <c r="J29" i="1" s="1"/>
  <c r="I18" i="1"/>
  <c r="J18" i="1" s="1"/>
  <c r="I23" i="1"/>
  <c r="Q23" i="1" s="1"/>
  <c r="I21" i="1"/>
  <c r="J21" i="1" s="1"/>
  <c r="I9" i="1"/>
  <c r="Q9" i="1" s="1"/>
  <c r="L9" i="1" s="1"/>
  <c r="I17" i="1"/>
  <c r="J17" i="1" s="1"/>
  <c r="V21" i="1"/>
  <c r="V40" i="1"/>
  <c r="M7" i="6"/>
  <c r="M11" i="6" s="1"/>
  <c r="Q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V38" i="1" l="1"/>
  <c r="Q26" i="1"/>
  <c r="Q8" i="1"/>
  <c r="L8" i="1" s="1"/>
  <c r="V37" i="1"/>
  <c r="V24" i="1"/>
  <c r="Q28" i="1"/>
  <c r="V35" i="1"/>
  <c r="V11" i="1"/>
  <c r="J9" i="1"/>
  <c r="J37" i="1"/>
  <c r="Q34" i="1"/>
  <c r="L34" i="1" s="1"/>
  <c r="Q15" i="1"/>
  <c r="L15" i="1" s="1"/>
  <c r="V44" i="1"/>
  <c r="V47" i="1"/>
  <c r="J7" i="1"/>
  <c r="V30" i="1"/>
  <c r="V27" i="1"/>
  <c r="V19" i="1"/>
  <c r="V26" i="1"/>
  <c r="V42" i="1"/>
  <c r="V12" i="1"/>
  <c r="V28" i="1"/>
  <c r="V9" i="1"/>
  <c r="V25" i="1"/>
  <c r="J24" i="1"/>
  <c r="V18" i="1"/>
  <c r="V10" i="1"/>
  <c r="V7" i="1"/>
  <c r="V23" i="1"/>
  <c r="V45" i="1"/>
  <c r="Q12" i="1"/>
  <c r="L12" i="1" s="1"/>
  <c r="Q29" i="1"/>
  <c r="V16" i="1"/>
  <c r="V32" i="1"/>
  <c r="V13" i="1"/>
  <c r="V29" i="1"/>
  <c r="Q33" i="1"/>
  <c r="L33" i="1" s="1"/>
  <c r="V20" i="1"/>
  <c r="V36" i="1"/>
  <c r="V17" i="1"/>
  <c r="V33" i="1"/>
  <c r="J39" i="1"/>
  <c r="V8" i="1"/>
  <c r="J25" i="1"/>
  <c r="V39" i="1"/>
  <c r="V31" i="1"/>
  <c r="V15" i="1"/>
  <c r="V34" i="1"/>
  <c r="Q41" i="1"/>
  <c r="L41" i="1" s="1"/>
  <c r="V46" i="1"/>
  <c r="V43" i="1"/>
  <c r="J23" i="1"/>
  <c r="Q20" i="1"/>
  <c r="L20" i="1" s="1"/>
  <c r="J10" i="1"/>
  <c r="Q35" i="1"/>
  <c r="L35" i="1" s="1"/>
  <c r="Q30" i="1"/>
  <c r="L29" i="1" s="1"/>
  <c r="I48" i="1"/>
  <c r="J42" i="1"/>
  <c r="J14" i="1"/>
  <c r="J31" i="1"/>
  <c r="Q22" i="1"/>
  <c r="L22" i="1" s="1"/>
  <c r="Q32" i="1"/>
  <c r="L32" i="1" s="1"/>
  <c r="J11" i="1"/>
  <c r="L24" i="1"/>
  <c r="Q43" i="1"/>
  <c r="L43" i="1" s="1"/>
  <c r="Q44" i="1"/>
  <c r="L44" i="1" s="1"/>
  <c r="J44" i="1"/>
  <c r="Q13" i="1"/>
  <c r="L13" i="1" s="1"/>
  <c r="Q36" i="1"/>
  <c r="L36" i="1" s="1"/>
  <c r="Q47" i="1"/>
  <c r="L47" i="1" s="1"/>
  <c r="Q46" i="1"/>
  <c r="L46" i="1" s="1"/>
  <c r="J46" i="1"/>
  <c r="L26" i="1"/>
  <c r="J38" i="1"/>
  <c r="J45" i="1"/>
  <c r="Q45" i="1"/>
  <c r="L45" i="1" s="1"/>
  <c r="Q21" i="1"/>
  <c r="L21" i="1" s="1"/>
  <c r="L38" i="1"/>
  <c r="L23" i="1"/>
  <c r="Q40" i="1"/>
  <c r="L39" i="1" s="1"/>
  <c r="J16" i="1"/>
  <c r="J19" i="1"/>
  <c r="Q18" i="1"/>
  <c r="L18" i="1" s="1"/>
  <c r="L31" i="1"/>
  <c r="J27" i="1"/>
  <c r="L37" i="1"/>
  <c r="L28" i="1"/>
  <c r="L27" i="1"/>
  <c r="L14" i="1"/>
  <c r="L25" i="1"/>
  <c r="Q17" i="1"/>
  <c r="L17" i="1" s="1"/>
  <c r="N48" i="1"/>
  <c r="V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30" i="1" l="1"/>
  <c r="L40" i="1"/>
  <c r="J48" i="1"/>
  <c r="S41" i="1"/>
  <c r="T41" i="1" s="1"/>
  <c r="S42" i="1"/>
  <c r="T42" i="1" s="1"/>
  <c r="S45" i="1"/>
  <c r="T45" i="1" s="1"/>
  <c r="S46" i="1"/>
  <c r="T46" i="1" s="1"/>
  <c r="S44" i="1"/>
  <c r="T44" i="1" s="1"/>
  <c r="S43" i="1"/>
  <c r="T43" i="1" s="1"/>
  <c r="S47" i="1"/>
  <c r="T47" i="1" s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8" i="1"/>
  <c r="T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<sst xmlns="http://schemas.openxmlformats.org/spreadsheetml/2006/main" count="308" uniqueCount="195">
  <si>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</si>
  <si>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</si>
  <si>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</si>
  <si>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</si>
  <si>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</si>
  <si>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</si>
  <si>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</si>
  <si>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</si>
  <si>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</si>
  <si>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</si>
  <si>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</si>
  <si>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</si>
  <si>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</si>
  <si>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</si>
  <si>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</si>
  <si>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</si>
  <si>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</si>
  <si>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</si>
  <si>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</si>
  <si>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</si>
  <si>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</si>
  <si>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</si>
  <si>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</si>
  <si>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</si>
  <si>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</si>
  <si>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</si>
  <si>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</si>
  <si>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</si>
  <si>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</si>
  <si>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</si>
  <si>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</si>
  <si>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</si>
  <si>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</si>
  <si>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</si>
  <si>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</si>
  <si>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</si>
  <si>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</si>
  <si>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</si>
  <si>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</si>
  <si>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</si>
  <si>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</si>
  <si>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</si>
  <si>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</si>
  <si>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</si>
  <si>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</si>
  <si>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</si>
  <si>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</si>
  <si>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</si>
  <si>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</si>
  <si>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</si>
  <si>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</si>
  <si>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</si>
  <si>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</si>
  <si>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</si>
  <si>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</si>
  <si>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</si>
  <si>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</si>
  <si>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</si>
  <si>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</si>
  <si>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</si>
  <si>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</si>
  <si>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</si>
  <si>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</si>
  <si>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</si>
  <si>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</si>
  <si>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</si>
  <si>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</si>
  <si>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</si>
  <si>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</si>
  <si>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</si>
  <si>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</si>
  <si>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</si>
  <si>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</si>
  <si>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</si>
  <si>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</si>
  <si>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</si>
  <si>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</si>
  <si>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</si>
  <si>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</si>
  <si>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</si>
  <si>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</si>
  <si>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</si>
  <si>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</si>
  <si>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</si>
  <si>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</si>
  <si>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</si>
  <si>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</si>
  <si>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</si>
  <si>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</si>
  <si>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</si>
  <si>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</si>
  <si>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</si>
  <si>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</si>
  <si>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</si>
  <si>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</si>
  <si>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</si>
  <si>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</si>
  <si>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</si>
  <si>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</si>
  <si>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</si>
  <si>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</si>
  <si>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</si>
  <si>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</si>
  <si>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</si>
  <si>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</si>
  <si>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</si>
  <si>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</si>
  <si>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</si>
  <si>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</si>
  <si>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</si>
  <si>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</si>
  <si>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</si>
  <si>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</si>
  <si>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</si>
  <si>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</si>
  <si>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</si>
  <si>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</si>
  <si>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</si>
  <si>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</si>
  <si>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</si>
  <si>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</si>
  <si>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</si>
  <si>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</si>
  <si>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</si>
  <si>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</si>
  <si>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</si>
  <si>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</si>
  <si>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</si>
  <si>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</si>
  <si>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</si>
  <si>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</si>
  <si>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</si>
  <si>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</si>
  <si>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</si>
  <si>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</si>
  <si>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</si>
  <si>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</si>
  <si>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</si>
  <si>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</si>
  <si>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</si>
  <si>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</si>
  <si>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</si>
  <si>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</si>
  <si>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</si>
  <si>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</si>
  <si>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</si>
  <si>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</si>
  <si>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</si>
  <si>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SERNA  GIOVANNY</t>
  </si>
  <si>
    <t>SANCHEZ BETANCOURT FRANSCISCO</t>
  </si>
  <si>
    <t>SUAREZ ESCUDERO JONATAN</t>
  </si>
  <si>
    <t>PALMAR PANA EDIXON JOSUE</t>
  </si>
  <si>
    <t>GONZALEZ PEREZ RAFAEL JOSE</t>
  </si>
  <si>
    <t>VALENCIA MENDOZA JHON</t>
  </si>
  <si>
    <t>DAVID  HENRY GIOVANNY</t>
  </si>
  <si>
    <t>AGUDELO GARCIA DENIN ANGELO</t>
  </si>
  <si>
    <t>MURILLO  YOIMAR ANDRES</t>
  </si>
  <si>
    <t>TABORDA ROJAS DIEGO ALEJANDRO</t>
  </si>
  <si>
    <t>MACIAS HERNANDEZ JULIAN DAVID</t>
  </si>
  <si>
    <t>ROJAS ESCOBAR CRISTIAN ESNEIDER</t>
  </si>
  <si>
    <t>LEON PEREZ RAUL ENRIQUE</t>
  </si>
  <si>
    <t>MARTINEZ CHAVERRA LUIS NORBERTO</t>
  </si>
  <si>
    <t>JARAMILLO JARAMILLO FRANCISCO WBEIMAR</t>
  </si>
  <si>
    <t>BETANCUR GUZMAN JHON FERNANDO</t>
  </si>
  <si>
    <t>QUIRAMA CASTAÑEDA JHON JADER</t>
  </si>
  <si>
    <t>MARIN  JAIR</t>
  </si>
  <si>
    <t>AGUDELO GARCIA LLORDIN ELIAS</t>
  </si>
  <si>
    <t>FLORES RINCON JORGE ALBERTO</t>
  </si>
  <si>
    <t>TORRES  JUAN DIEGO</t>
  </si>
  <si>
    <t>JIMENEZ HURTADO CARLOS ESTIVEN</t>
  </si>
  <si>
    <t>MACEA ARBELAEZ MATEO</t>
  </si>
  <si>
    <t>TUBERQUIA URREGO HAROL</t>
  </si>
  <si>
    <t>DURANGO DAVID JOSE</t>
  </si>
  <si>
    <t>SALDARRIAGA PARRA LUIS ALBERTO</t>
  </si>
  <si>
    <t>RUA CHAVARRIA YEFERSON ANDREY</t>
  </si>
  <si>
    <t>FRANCO CARVAJAL GERARDO ANTONIO</t>
  </si>
  <si>
    <t>CARTAGENA RAMIREZ FREDY ALONSO</t>
  </si>
  <si>
    <t>YEPES TORRES JHON ALEXANDER</t>
  </si>
  <si>
    <t>MONTOYA OSPINA GILBERTO ANTONIO</t>
  </si>
  <si>
    <t>MARIN ALZATE KEVIN ANDRES</t>
  </si>
  <si>
    <t>PARIAS MURIEL JHON FREDY</t>
  </si>
  <si>
    <t>ALBERTO ARISTIZABAL RAFAEL</t>
  </si>
  <si>
    <t>VERENZUELA MARTINEZ ALEXANDER</t>
  </si>
  <si>
    <t>CALLE  RICARDO</t>
  </si>
  <si>
    <t>CIRO MARIN RODRIGO ALBERTO</t>
  </si>
  <si>
    <t>MARULANDA JARAMILLO DAWER ANDRES</t>
  </si>
  <si>
    <t xml:space="preserve">GONZALEZ IPUANA RENE </t>
  </si>
  <si>
    <t xml:space="preserve">MARIN GARCIA JUAN DANIEL </t>
  </si>
  <si>
    <t xml:space="preserve">1 Descuento (Despachador) </t>
  </si>
  <si>
    <t xml:space="preserve">7 Descuentos (Despachadores, transbordo y usuarios desubicados) </t>
  </si>
  <si>
    <t xml:space="preserve">3 Descuentos (Oficina y conduct) </t>
  </si>
  <si>
    <t xml:space="preserve">2 Descuentos (Usuarios desubicados) </t>
  </si>
  <si>
    <t xml:space="preserve">4 Descuentos (Aseguradora) </t>
  </si>
  <si>
    <t xml:space="preserve">FONDO (SIT)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</si>
  <si>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20.5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</si>
</sst>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Import!$C$7:$C$48</c:f>
              <c:numCache>
                <c:formatCode>0</c:formatCode>
                <c:ptCount val="41"/>
                <c:pt idx="0">
                  <c:v>1</c:v>
                </c:pt>
                <c:pt idx="1">
                  <c:v>2</c:v>
                </c:pt>
                <c:pt idx="2" formatCode="General">
                  <c:v>4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 formatCode="General">
                  <c:v>10</c:v>
                </c:pt>
                <c:pt idx="8">
                  <c:v>11</c:v>
                </c:pt>
                <c:pt idx="9">
                  <c:v>12</c:v>
                </c:pt>
                <c:pt idx="10" formatCode="General">
                  <c:v>13</c:v>
                </c:pt>
                <c:pt idx="11">
                  <c:v>14</c:v>
                </c:pt>
                <c:pt idx="12">
                  <c:v>15</c:v>
                </c:pt>
                <c:pt idx="13" formatCode="General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 formatCode="General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</c:numCache>
            </c:numRef>
          </c:cat>
          <c:val>
            <c:numRef>
              <c:f>Import!$H$7:$H$48</c:f>
              <c:numCache>
                <c:formatCode>_-* #,##0.0_-;\-* #,##0.0_-;_-* "-"??_-;_-@_-</c:formatCode>
                <c:ptCount val="41"/>
                <c:pt idx="0">
                  <c:v>15.714285714285714</c:v>
                </c:pt>
                <c:pt idx="1">
                  <c:v>22.5</c:v>
                </c:pt>
                <c:pt idx="2">
                  <c:v>22.166666666666668</c:v>
                </c:pt>
                <c:pt idx="3">
                  <c:v>20.2</c:v>
                </c:pt>
                <c:pt idx="4">
                  <c:v>18.214285714285715</c:v>
                </c:pt>
                <c:pt idx="5">
                  <c:v>20.111111111111111</c:v>
                </c:pt>
                <c:pt idx="6">
                  <c:v>26.375</c:v>
                </c:pt>
                <c:pt idx="7">
                  <c:v>15.25</c:v>
                </c:pt>
                <c:pt idx="8">
                  <c:v>23.375</c:v>
                </c:pt>
                <c:pt idx="9">
                  <c:v>21.857142857142858</c:v>
                </c:pt>
                <c:pt idx="10">
                  <c:v>16.777777777777779</c:v>
                </c:pt>
                <c:pt idx="11">
                  <c:v>19.5</c:v>
                </c:pt>
                <c:pt idx="12">
                  <c:v>26.142857142857142</c:v>
                </c:pt>
                <c:pt idx="13">
                  <c:v>27.3</c:v>
                </c:pt>
                <c:pt idx="14">
                  <c:v>19</c:v>
                </c:pt>
                <c:pt idx="15">
                  <c:v>19.181818181818183</c:v>
                </c:pt>
                <c:pt idx="16">
                  <c:v>23.333333333333332</c:v>
                </c:pt>
                <c:pt idx="17">
                  <c:v>19.454545454545453</c:v>
                </c:pt>
                <c:pt idx="18">
                  <c:v>22.9</c:v>
                </c:pt>
                <c:pt idx="19">
                  <c:v>20.777777777777779</c:v>
                </c:pt>
                <c:pt idx="20">
                  <c:v>22.875</c:v>
                </c:pt>
                <c:pt idx="21">
                  <c:v>20.888888888888889</c:v>
                </c:pt>
                <c:pt idx="22">
                  <c:v>18.666666666666668</c:v>
                </c:pt>
                <c:pt idx="23">
                  <c:v>22.375</c:v>
                </c:pt>
                <c:pt idx="24">
                  <c:v>17.2</c:v>
                </c:pt>
                <c:pt idx="25">
                  <c:v>17.75</c:v>
                </c:pt>
                <c:pt idx="26">
                  <c:v>21.875</c:v>
                </c:pt>
                <c:pt idx="27">
                  <c:v>20.8</c:v>
                </c:pt>
                <c:pt idx="28">
                  <c:v>21.5</c:v>
                </c:pt>
                <c:pt idx="29">
                  <c:v>17.125</c:v>
                </c:pt>
                <c:pt idx="30">
                  <c:v>21.166666666666668</c:v>
                </c:pt>
                <c:pt idx="31">
                  <c:v>21.454545454545453</c:v>
                </c:pt>
                <c:pt idx="32">
                  <c:v>23.3</c:v>
                </c:pt>
                <c:pt idx="33">
                  <c:v>19.555555555555557</c:v>
                </c:pt>
                <c:pt idx="34">
                  <c:v>20.222222222222221</c:v>
                </c:pt>
                <c:pt idx="35">
                  <c:v>17.888888888888889</c:v>
                </c:pt>
                <c:pt idx="36">
                  <c:v>19.111111111111111</c:v>
                </c:pt>
                <c:pt idx="37">
                  <c:v>21.684210526315791</c:v>
                </c:pt>
                <c:pt idx="38">
                  <c:v>14.333333333333334</c:v>
                </c:pt>
                <c:pt idx="39">
                  <c:v>21.833333333333332</c:v>
                </c:pt>
                <c:pt idx="40">
                  <c:v>17.916666666666668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8" totalsRowCount="1" headerRowDxfId="64" dataDxfId="63" totalsRowDxfId="62">
  <sortState xmlns:xlrd2="http://schemas.microsoft.com/office/spreadsheetml/2017/richdata2" ref="B7:N47">
    <sortCondition ref="C22:C47"/>
  </sortState>
  <tableColumns count="14">
    <tableColumn id="1" xr3:uid="{00000000-0010-0000-0000-000001000000}" name="RUTA" dataDxfId="61" totalsRowDxfId="13"/>
    <tableColumn id="2" xr3:uid="{00000000-0010-0000-0000-000002000000}" name="VEH" totalsRowFunction="countNums" dataDxfId="60" totalsRowDxfId="12"/>
    <tableColumn id="3" xr3:uid="{00000000-0010-0000-0000-000003000000}" name="CONDUCTOR" totalsRowLabel="Vehs " dataDxfId="59" totalsRowDxfId="11"/>
    <tableColumn id="4" xr3:uid="{00000000-0010-0000-0000-000004000000}" name="VIAJES" totalsRowFunction="sum" dataDxfId="58" totalsRowDxfId="10"/>
    <tableColumn id="5" xr3:uid="{00000000-0010-0000-0000-000005000000}" name="VIAJES PERD." totalsRowFunction="sum" dataDxfId="57" totalsRowDxfId="9"/>
    <tableColumn id="6" xr3:uid="{00000000-0010-0000-0000-000006000000}" name="USUARIOS" totalsRowFunction="sum" dataDxfId="56" totalsRowDxfId="8" dataCellStyle="Millares"/>
    <tableColumn id="12" xr3:uid="{00000000-0010-0000-0000-00000C000000}" name="PROM X VIAJE" totalsRowFunction="custom" dataDxfId="55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4" totalsRowDxfId="6" dataCellStyle="Millares"/>
    <tableColumn id="13" xr3:uid="{FCD2DCC9-9A34-483A-B1DC-9E398E7F3EDE}" name="RECIBE / ENTREGA" totalsRowFunction="sum" dataDxfId="53" totalsRowDxfId="5" dataCellStyle="Millares"/>
    <tableColumn id="8" xr3:uid="{00000000-0010-0000-0000-000008000000}" name="NOVEDADES" totalsRowLabel="PROMEDIO X VIAJE 20.5 USUARIOS" dataDxfId="52" totalsRowDxfId="4"/>
    <tableColumn id="9" xr3:uid="{00000000-0010-0000-0000-000009000000}" name="VALOR OPERACIÓN" dataDxfId="51" totalsRowDxfId="3"/>
    <tableColumn id="10" xr3:uid="{00000000-0010-0000-0000-00000A000000}" name="CLASIFIC." dataDxfId="50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+(SUMIFS(G:G,M:M,"MICRO",E:E,"&gt;0")*100)/COUNTIF($E$7:$E$47,"&gt;0")</calculatedColumnFormula>
    </tableColumn>
    <tableColumn id="14" xr3:uid="{87E8C68E-BF5B-4FE6-A0A3-834E1747935D}" name="FONDO (SIT) 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9" dataDxfId="48" totalsRowDxfId="4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6" totalsRowDxfId="45"/>
    <tableColumn id="2" xr3:uid="{7E9A4909-E53D-4F94-80A1-A675A394CC57}" name="VEH" totalsRowLabel="4" dataDxfId="44" totalsRowDxfId="43"/>
    <tableColumn id="3" xr3:uid="{32EB6A87-92EF-4CA2-B1E8-104D5D2326F5}" name="CONDUCTOR" totalsRowLabel="Vehs " dataDxfId="42" totalsRowDxfId="41"/>
    <tableColumn id="4" xr3:uid="{72FB169E-4910-4353-AF10-07DA297F0CD5}" name="VIAJES" totalsRowFunction="sum" dataDxfId="40" totalsRowDxfId="39"/>
    <tableColumn id="5" xr3:uid="{F323DE89-3087-4D39-B0ED-15680CB2FE01}" name="VIAJES PERD." totalsRowFunction="sum" dataDxfId="38" totalsRowDxfId="37"/>
    <tableColumn id="6" xr3:uid="{FF87B711-9A02-4FB5-B21F-73198A4385A8}" name="USUARIOS" totalsRowFunction="sum" dataDxfId="36" totalsRowDxfId="35" dataCellStyle="Millares"/>
    <tableColumn id="12" xr3:uid="{60E0DB3A-B7E4-44B6-BB26-D54278C24006}" name="PROM X VIAJE" totalsRowFunction="average" dataDxfId="34" totalsRowDxfId="33" dataCellStyle="Millares"/>
    <tableColumn id="7" xr3:uid="{12134CBA-AEEC-4025-BB5C-89B13D8F91D4}" name="PROM DE USUARIOS" totalsRowFunction="sum" dataDxfId="32" totalsRowDxfId="31" dataCellStyle="Millares"/>
    <tableColumn id="8" xr3:uid="{F35B2CED-DE3E-48D9-8E47-198F9B4F56C9}" name="NOVEDADES" dataDxfId="30" totalsRowDxfId="29"/>
    <tableColumn id="9" xr3:uid="{4BD57B08-79CF-4422-A880-91A289697DC2}" name="VALOR OPERACIÓN" dataDxfId="28" totalsRowDxfId="27" dataCellStyle="Millares"/>
    <tableColumn id="10" xr3:uid="{E8B6C5A5-759D-4901-BD5D-0ADA9540975C}" name="CLASIFIC." dataDxfId="26" totalsRowDxfId="25"/>
    <tableColumn id="11" xr3:uid="{CFA53866-4E21-473F-9C2D-8FB2962BACB5}" name="DIFER. MICRO - BUS " totalsRowFunction="sum" dataDxfId="24" totalsRowDxfId="2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8"/>
  <sheetViews>
    <sheetView showGridLines="0" tabSelected="1" showWhiteSpace="0" topLeftCell="A2" zoomScaleNormal="100" workbookViewId="0">
      <selection activeCell="A2"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58.375" bestFit="1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+SUM(G6:G1859)/2</f>
        <v>7562</v>
      </c>
      <c r="R3" s="55">
        <f>+SUM(E6:E1859)/2</f>
        <v>367.5</v>
      </c>
      <c r="S3" s="55">
        <f>+Q3-R3</f>
        <v>7194.5</v>
      </c>
      <c r="T3" s="56">
        <f>+S3/R3</f>
        <v>19.576870748299321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46056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193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122</v>
      </c>
      <c r="C7" s="166">
        <v>1</v>
      </c>
      <c r="D7" s="151" t="s">
        <v>159</v>
      </c>
      <c r="E7" s="150">
        <v>3.5</v>
      </c>
      <c r="F7" s="150">
        <v>0.5</v>
      </c>
      <c r="G7" s="165">
        <v>55</v>
      </c>
      <c r="H7" s="226">
        <f>+G7/E7</f>
        <v>15.714285714285714</v>
      </c>
      <c r="I7" s="227">
        <f>+(SUM($G$7:$G$1048576)/SUM($E$7:$E$1048576))*E7</f>
        <v>72.019047619047626</v>
      </c>
      <c r="J7" s="363">
        <f>+Tabla2[[#This Row],[PROM DE USUARIOS]]-Tabla2[[#This Row],[USUARIOS]]</f>
        <v>17.019047619047626</v>
      </c>
      <c r="K7" s="151"/>
      <c r="L7" s="163">
        <f>Q7*635</f>
        <v>43509.595238095244</v>
      </c>
      <c r="M7" s="162" t="str">
        <f>+VLOOKUP(C7,Lista!B:D,3,0)</f>
        <v>MICRO</v>
      </c>
      <c r="N7" s="164">
        <f t="shared" ref="N7:N47" si="0">+(SUMIFS(G:G,M:M,"MICRO",E:E,"&gt;0")*100)/COUNTIF($E$7:$E$47,"&gt;0")</f>
        <v>10414.634146341463</v>
      </c>
      <c r="O7" s="164">
        <f>Tabla2[[#This Row],[USUARIOS]]*150</f>
        <v>8250</v>
      </c>
      <c r="P7" s="50">
        <f>+(E7*1)-W7</f>
        <v>3.5</v>
      </c>
      <c r="Q7" s="47">
        <f>+I7-P7-X7</f>
        <v>68.519047619047626</v>
      </c>
      <c r="R7" s="49">
        <f>+G7-P7</f>
        <v>51.5</v>
      </c>
      <c r="S7" s="51">
        <f>+E7*$T$3</f>
        <v>68.519047619047626</v>
      </c>
      <c r="T7" s="46">
        <f t="shared" ref="T7:T40" si="1">+S7*550</f>
        <v>37685.476190476191</v>
      </c>
      <c r="U7" t="str">
        <f>+IF(K7&lt;&gt;"",K7,"")</f>
        <v/>
      </c>
      <c r="V7">
        <f>+RANK(H7,$H$6:$H$1048576,1)</f>
        <v>3</v>
      </c>
      <c r="W7"/>
      <c r="X7"/>
      <c r="Z7" t="str">
        <f>TRIM(Tabla2[[#This Row],[CONDUCTOR]])</f>
        <v>ROJAS ESCOBAR CRISTIAN ESNEIDER</v>
      </c>
    </row>
    <row r="8" spans="1:32" x14ac:dyDescent="0.2">
      <c r="B8" s="136" t="s">
        <v>121</v>
      </c>
      <c r="C8" s="166">
        <v>2</v>
      </c>
      <c r="D8" s="151" t="s">
        <v>180</v>
      </c>
      <c r="E8" s="150">
        <v>10</v>
      </c>
      <c r="F8" s="150">
        <v>0</v>
      </c>
      <c r="G8" s="165">
        <v>225</v>
      </c>
      <c r="H8" s="226">
        <f>+G8/E8</f>
        <v>22.5</v>
      </c>
      <c r="I8" s="227">
        <f>+(SUM($G$7:$G$1048576)/SUM($E$7:$E$1048576))*E8</f>
        <v>205.76870748299319</v>
      </c>
      <c r="J8" s="363">
        <f>+Tabla2[[#This Row],[PROM DE USUARIOS]]-Tabla2[[#This Row],[USUARIOS]]</f>
        <v>-19.231292517006807</v>
      </c>
      <c r="K8" s="151" t="s">
        <v>189</v>
      </c>
      <c r="L8" s="163">
        <f>Q8*635</f>
        <v>124313.12925170068</v>
      </c>
      <c r="M8" s="162">
        <f>+VLOOKUP(C8,Lista!B:D,3,0)</f>
        <v>0</v>
      </c>
      <c r="N8" s="164">
        <f t="shared" si="0"/>
        <v>10414.634146341463</v>
      </c>
      <c r="O8" s="164">
        <f>Tabla2[[#This Row],[USUARIOS]]*150</f>
        <v>33750</v>
      </c>
      <c r="P8" s="50">
        <f>+(E8*1)-W8</f>
        <v>10</v>
      </c>
      <c r="Q8" s="47">
        <f>+I8-P8-X8</f>
        <v>195.76870748299319</v>
      </c>
      <c r="R8" s="49">
        <f>+G8-P8</f>
        <v>215</v>
      </c>
      <c r="S8" s="51">
        <f>+E8*$T$3</f>
        <v>195.76870748299319</v>
      </c>
      <c r="T8" s="46">
        <f t="shared" si="1"/>
        <v>107672.78911564626</v>
      </c>
      <c r="U8" t="str">
        <f>+IF(K8&lt;&gt;"",K8,"")</f>
        <v xml:space="preserve">7 Descuentos (Despachadores, transbordo y usuarios desubicados) </v>
      </c>
      <c r="V8">
        <f>+RANK(H8,$H$6:$H$1048576,1)</f>
        <v>34</v>
      </c>
      <c r="Z8" t="str">
        <f>TRIM(Tabla2[[#This Row],[CONDUCTOR]])</f>
        <v>PARIAS MURIEL JHON FREDY</v>
      </c>
    </row>
    <row r="9" spans="1:32" x14ac:dyDescent="0.2">
      <c r="B9" s="136" t="s">
        <v>122</v>
      </c>
      <c r="C9" s="137">
        <v>4</v>
      </c>
      <c r="D9" s="151" t="s">
        <v>149</v>
      </c>
      <c r="E9" s="150">
        <v>6</v>
      </c>
      <c r="F9" s="150">
        <v>0</v>
      </c>
      <c r="G9" s="146">
        <v>133</v>
      </c>
      <c r="H9" s="226">
        <f>+G9/E9</f>
        <v>22.166666666666668</v>
      </c>
      <c r="I9" s="227">
        <f>+(SUM($G$7:$G$1048576)/SUM($E$7:$E$1048576))*E9</f>
        <v>123.46122448979592</v>
      </c>
      <c r="J9" s="363">
        <f>+Tabla2[[#This Row],[PROM DE USUARIOS]]-Tabla2[[#This Row],[USUARIOS]]</f>
        <v>-9.5387755102040757</v>
      </c>
      <c r="K9" s="151"/>
      <c r="L9" s="163">
        <f>Q9*635</f>
        <v>74587.877551020414</v>
      </c>
      <c r="M9" s="162" t="str">
        <f>+VLOOKUP(C9,Lista!B:D,3,0)</f>
        <v>MICRO</v>
      </c>
      <c r="N9" s="164">
        <f t="shared" si="0"/>
        <v>10414.634146341463</v>
      </c>
      <c r="O9" s="164">
        <f>Tabla2[[#This Row],[USUARIOS]]*150</f>
        <v>19950</v>
      </c>
      <c r="P9" s="50">
        <f>+(E9*1)-W9</f>
        <v>6</v>
      </c>
      <c r="Q9" s="47">
        <f>+I9-P9-X9</f>
        <v>117.46122448979592</v>
      </c>
      <c r="R9" s="49">
        <f>+G9-P9</f>
        <v>127</v>
      </c>
      <c r="S9" s="51">
        <f>+E9*$T$3</f>
        <v>117.46122448979592</v>
      </c>
      <c r="T9" s="46">
        <f t="shared" si="1"/>
        <v>64603.673469387759</v>
      </c>
      <c r="U9" t="str">
        <f>+IF(K9&lt;&gt;"",K9,"")</f>
        <v/>
      </c>
      <c r="V9">
        <f>+RANK(H9,$H$6:$H$1048576,1)</f>
        <v>32</v>
      </c>
      <c r="Z9" t="str">
        <f>TRIM(Tabla2[[#This Row],[CONDUCTOR]])</f>
        <v>SANCHEZ BETANCOURT FRANSCISCO</v>
      </c>
    </row>
    <row r="10" spans="1:32" x14ac:dyDescent="0.2">
      <c r="B10" s="136" t="s">
        <v>121</v>
      </c>
      <c r="C10" s="166">
        <v>6</v>
      </c>
      <c r="D10" s="151" t="s">
        <v>148</v>
      </c>
      <c r="E10" s="150">
        <v>10</v>
      </c>
      <c r="F10" s="150">
        <v>0</v>
      </c>
      <c r="G10" s="165">
        <v>202</v>
      </c>
      <c r="H10" s="226">
        <f>+G10/E10</f>
        <v>20.2</v>
      </c>
      <c r="I10" s="227">
        <f>+(SUM($G$7:$G$1048576)/SUM($E$7:$E$1048576))*E10</f>
        <v>205.76870748299319</v>
      </c>
      <c r="J10" s="363">
        <f>+Tabla2[[#This Row],[PROM DE USUARIOS]]-Tabla2[[#This Row],[USUARIOS]]</f>
        <v>3.768707482993193</v>
      </c>
      <c r="K10" s="151"/>
      <c r="L10" s="163">
        <f>Q10*635</f>
        <v>124313.12925170068</v>
      </c>
      <c r="M10" s="162" t="str">
        <f>+VLOOKUP(C10,Lista!B:D,3,0)</f>
        <v>MICRO</v>
      </c>
      <c r="N10" s="164">
        <f t="shared" si="0"/>
        <v>10414.634146341463</v>
      </c>
      <c r="O10" s="164">
        <f>Tabla2[[#This Row],[USUARIOS]]*150</f>
        <v>30300</v>
      </c>
      <c r="P10" s="50">
        <f>+(E10*1)-W10</f>
        <v>10</v>
      </c>
      <c r="Q10" s="47">
        <f>+I10-P10-X10</f>
        <v>195.76870748299319</v>
      </c>
      <c r="R10" s="49">
        <f>+G10-P10</f>
        <v>192</v>
      </c>
      <c r="S10" s="51">
        <f>+E10*$T$3</f>
        <v>195.76870748299319</v>
      </c>
      <c r="T10" s="46">
        <f t="shared" si="1"/>
        <v>107672.78911564626</v>
      </c>
      <c r="U10" t="str">
        <f>+IF(K10&lt;&gt;"",K10,"")</f>
        <v/>
      </c>
      <c r="V10">
        <f>+RANK(H10,$H$6:$H$1048576,1)</f>
        <v>19</v>
      </c>
      <c r="Z10" t="str">
        <f>TRIM(Tabla2[[#This Row],[CONDUCTOR]])</f>
        <v>SERNA GIOVANNY</v>
      </c>
    </row>
    <row r="11" spans="1:32" x14ac:dyDescent="0.2">
      <c r="B11" s="136" t="s">
        <v>122</v>
      </c>
      <c r="C11" s="166">
        <v>7</v>
      </c>
      <c r="D11" s="151" t="s">
        <v>171</v>
      </c>
      <c r="E11" s="150">
        <v>14</v>
      </c>
      <c r="F11" s="150">
        <v>0</v>
      </c>
      <c r="G11" s="146">
        <v>255</v>
      </c>
      <c r="H11" s="226">
        <f>+G11/E11</f>
        <v>18.214285714285715</v>
      </c>
      <c r="I11" s="364">
        <f>+(SUM($G$7:$G$1048576)/SUM($E$7:$E$1048576))*E11</f>
        <v>288.0761904761905</v>
      </c>
      <c r="J11" s="363">
        <f>+Tabla2[[#This Row],[PROM DE USUARIOS]]-Tabla2[[#This Row],[USUARIOS]]</f>
        <v>33.076190476190504</v>
      </c>
      <c r="K11" s="151" t="s">
        <v>190</v>
      </c>
      <c r="L11" s="163">
        <f>Q11*635</f>
        <v>174038.38095238098</v>
      </c>
      <c r="M11" s="162">
        <f>+VLOOKUP(C11,Lista!B:D,3,0)</f>
        <v>0</v>
      </c>
      <c r="N11" s="164">
        <f t="shared" si="0"/>
        <v>10414.634146341463</v>
      </c>
      <c r="O11" s="164">
        <f>Tabla2[[#This Row],[USUARIOS]]*150</f>
        <v>38250</v>
      </c>
      <c r="P11" s="50">
        <f>+(E11*1)-W11</f>
        <v>14</v>
      </c>
      <c r="Q11" s="47">
        <f>+I11-P11-X11</f>
        <v>274.0761904761905</v>
      </c>
      <c r="R11" s="49">
        <f>+G11-P11</f>
        <v>241</v>
      </c>
      <c r="S11" s="51">
        <f>+E11*$T$3</f>
        <v>274.0761904761905</v>
      </c>
      <c r="T11" s="46">
        <f t="shared" si="1"/>
        <v>150741.90476190476</v>
      </c>
      <c r="U11" t="str">
        <f>+IF(K11&lt;&gt;"",K11,"")</f>
        <v xml:space="preserve">3 Descuentos (Oficina y conduct) </v>
      </c>
      <c r="V11">
        <f>+RANK(H11,$H$6:$H$1048576,1)</f>
        <v>10</v>
      </c>
      <c r="Z11" t="str">
        <f>TRIM(Tabla2[[#This Row],[CONDUCTOR]])</f>
        <v>TUBERQUIA URREGO HAROL</v>
      </c>
    </row>
    <row r="12" spans="1:32" x14ac:dyDescent="0.2">
      <c r="B12" s="136" t="s">
        <v>121</v>
      </c>
      <c r="C12" s="166">
        <v>8</v>
      </c>
      <c r="D12" s="151" t="s">
        <v>152</v>
      </c>
      <c r="E12" s="150">
        <v>9</v>
      </c>
      <c r="F12" s="150">
        <v>0</v>
      </c>
      <c r="G12" s="165">
        <v>181</v>
      </c>
      <c r="H12" s="226">
        <f>+G12/E12</f>
        <v>20.111111111111111</v>
      </c>
      <c r="I12" s="227">
        <f>+(SUM($G$7:$G$1048576)/SUM($E$7:$E$1048576))*E12</f>
        <v>185.19183673469388</v>
      </c>
      <c r="J12" s="363">
        <f>+Tabla2[[#This Row],[PROM DE USUARIOS]]-Tabla2[[#This Row],[USUARIOS]]</f>
        <v>4.1918367346938794</v>
      </c>
      <c r="K12" s="151"/>
      <c r="L12" s="163">
        <f>Q12*635</f>
        <v>111881.81632653061</v>
      </c>
      <c r="M12" s="162">
        <f>+VLOOKUP(C12,Lista!B:D,3,0)</f>
        <v>0</v>
      </c>
      <c r="N12" s="164">
        <f t="shared" si="0"/>
        <v>10414.634146341463</v>
      </c>
      <c r="O12" s="164">
        <f>Tabla2[[#This Row],[USUARIOS]]*150</f>
        <v>27150</v>
      </c>
      <c r="P12" s="50">
        <f>+(E12*1)-W12</f>
        <v>9</v>
      </c>
      <c r="Q12" s="47">
        <f>+I12-P12-X12</f>
        <v>176.19183673469388</v>
      </c>
      <c r="R12" s="49">
        <f>+G12-P12</f>
        <v>172</v>
      </c>
      <c r="S12" s="51">
        <f>+E12*$T$3</f>
        <v>176.19183673469388</v>
      </c>
      <c r="T12" s="46">
        <f t="shared" si="1"/>
        <v>96905.510204081627</v>
      </c>
      <c r="U12" t="str">
        <f>+IF(K12&lt;&gt;"",K12,"")</f>
        <v/>
      </c>
      <c r="V12">
        <f>+RANK(H12,$H$6:$H$1048576,1)</f>
        <v>18</v>
      </c>
      <c r="Z12" t="str">
        <f>TRIM(Tabla2[[#This Row],[CONDUCTOR]])</f>
        <v>GONZALEZ PEREZ RAFAEL JOSE</v>
      </c>
    </row>
    <row r="13" spans="1:32" x14ac:dyDescent="0.2">
      <c r="B13" s="136" t="s">
        <v>122</v>
      </c>
      <c r="C13" s="166">
        <v>9</v>
      </c>
      <c r="D13" s="151" t="s">
        <v>176</v>
      </c>
      <c r="E13" s="150">
        <v>8</v>
      </c>
      <c r="F13" s="150">
        <v>0</v>
      </c>
      <c r="G13" s="165">
        <v>211</v>
      </c>
      <c r="H13" s="226">
        <f>+G13/E13</f>
        <v>26.375</v>
      </c>
      <c r="I13" s="227">
        <f>+(SUM($G$7:$G$1048576)/SUM($E$7:$E$1048576))*E13</f>
        <v>164.61496598639457</v>
      </c>
      <c r="J13" s="363">
        <f>+Tabla2[[#This Row],[PROM DE USUARIOS]]-Tabla2[[#This Row],[USUARIOS]]</f>
        <v>-46.385034013605434</v>
      </c>
      <c r="K13" s="151"/>
      <c r="L13" s="163">
        <f>Q13*635</f>
        <v>99450.503401360547</v>
      </c>
      <c r="M13" s="162" t="str">
        <f>+VLOOKUP(C13,Lista!B:D,3,0)</f>
        <v>MICRO</v>
      </c>
      <c r="N13" s="164">
        <f t="shared" si="0"/>
        <v>10414.634146341463</v>
      </c>
      <c r="O13" s="164">
        <f>Tabla2[[#This Row],[USUARIOS]]*150</f>
        <v>31650</v>
      </c>
      <c r="P13" s="50">
        <f>+(E13*1)-W13</f>
        <v>8</v>
      </c>
      <c r="Q13" s="47">
        <f>+I13-P13-X13</f>
        <v>156.61496598639457</v>
      </c>
      <c r="R13" s="49">
        <f>+G13-P13</f>
        <v>203</v>
      </c>
      <c r="S13" s="51">
        <f>+E13*$T$3</f>
        <v>156.61496598639457</v>
      </c>
      <c r="T13" s="46">
        <f t="shared" si="1"/>
        <v>86138.231292517012</v>
      </c>
      <c r="U13" t="str">
        <f>+IF(K13&lt;&gt;"",K13,"")</f>
        <v/>
      </c>
      <c r="V13">
        <f>+RANK(H13,$H$6:$H$1048576,1)</f>
        <v>41</v>
      </c>
      <c r="Z13" t="str">
        <f>TRIM(Tabla2[[#This Row],[CONDUCTOR]])</f>
        <v>CARTAGENA RAMIREZ FREDY ALONSO</v>
      </c>
    </row>
    <row r="14" spans="1:32" x14ac:dyDescent="0.2">
      <c r="B14" s="136" t="s">
        <v>122</v>
      </c>
      <c r="C14" s="137">
        <v>10</v>
      </c>
      <c r="D14" s="151" t="s">
        <v>120</v>
      </c>
      <c r="E14" s="150">
        <v>4</v>
      </c>
      <c r="F14" s="150">
        <v>0</v>
      </c>
      <c r="G14" s="146">
        <v>61</v>
      </c>
      <c r="H14" s="226">
        <f>+G14/E14</f>
        <v>15.25</v>
      </c>
      <c r="I14" s="227">
        <f>+(SUM($G$7:$G$1048576)/SUM($E$7:$E$1048576))*E14</f>
        <v>82.307482993197283</v>
      </c>
      <c r="J14" s="363">
        <f>+Tabla2[[#This Row],[PROM DE USUARIOS]]-Tabla2[[#This Row],[USUARIOS]]</f>
        <v>21.307482993197283</v>
      </c>
      <c r="K14" s="151"/>
      <c r="L14" s="163">
        <f>Q14*635</f>
        <v>49725.251700680274</v>
      </c>
      <c r="M14" s="162" t="str">
        <f>+VLOOKUP(C14,Lista!B:D,3,0)</f>
        <v>MICRO</v>
      </c>
      <c r="N14" s="164">
        <f t="shared" si="0"/>
        <v>10414.634146341463</v>
      </c>
      <c r="O14" s="164">
        <f>Tabla2[[#This Row],[USUARIOS]]*150</f>
        <v>9150</v>
      </c>
      <c r="P14" s="50">
        <f>+(E14*1)-W14</f>
        <v>4</v>
      </c>
      <c r="Q14" s="47">
        <f>+I14-P14-X14</f>
        <v>78.307482993197283</v>
      </c>
      <c r="R14" s="49">
        <f>+G14-P14</f>
        <v>57</v>
      </c>
      <c r="S14" s="51">
        <f>+E14*$T$3</f>
        <v>78.307482993197283</v>
      </c>
      <c r="T14" s="46">
        <f t="shared" si="1"/>
        <v>43069.115646258506</v>
      </c>
      <c r="U14" t="str">
        <f>+IF(K14&lt;&gt;"",K14,"")</f>
        <v/>
      </c>
      <c r="V14">
        <f>+RANK(H14,$H$6:$H$1048576,1)</f>
        <v>2</v>
      </c>
      <c r="Z14" t="str">
        <f>TRIM(Tabla2[[#This Row],[CONDUCTOR]])</f>
        <v>DURANGO PAEZ GILDARDO</v>
      </c>
    </row>
    <row r="15" spans="1:32" x14ac:dyDescent="0.2">
      <c r="B15" s="136" t="s">
        <v>122</v>
      </c>
      <c r="C15" s="166">
        <v>11</v>
      </c>
      <c r="D15" s="151" t="s">
        <v>177</v>
      </c>
      <c r="E15" s="150">
        <v>8</v>
      </c>
      <c r="F15" s="150">
        <v>0</v>
      </c>
      <c r="G15" s="146">
        <v>187</v>
      </c>
      <c r="H15" s="226">
        <f>+G15/E15</f>
        <v>23.375</v>
      </c>
      <c r="I15" s="364">
        <f>+(SUM($G$7:$G$1048576)/SUM($E$7:$E$1048576))*E15</f>
        <v>164.61496598639457</v>
      </c>
      <c r="J15" s="363">
        <f>+Tabla2[[#This Row],[PROM DE USUARIOS]]-Tabla2[[#This Row],[USUARIOS]]</f>
        <v>-22.385034013605434</v>
      </c>
      <c r="K15" s="151"/>
      <c r="L15" s="163">
        <f>Q15*635</f>
        <v>99450.503401360547</v>
      </c>
      <c r="M15" s="162" t="str">
        <f>+VLOOKUP(C15,Lista!B:D,3,0)</f>
        <v>MICRO</v>
      </c>
      <c r="N15" s="164">
        <f t="shared" si="0"/>
        <v>10414.634146341463</v>
      </c>
      <c r="O15" s="164">
        <f>Tabla2[[#This Row],[USUARIOS]]*150</f>
        <v>28050</v>
      </c>
      <c r="P15" s="50">
        <f>+(E15*1)-W15</f>
        <v>8</v>
      </c>
      <c r="Q15" s="47">
        <f>+I15-P15-X15</f>
        <v>156.61496598639457</v>
      </c>
      <c r="R15" s="49">
        <f>+G15-P15</f>
        <v>179</v>
      </c>
      <c r="S15" s="51">
        <f>+E15*$T$3</f>
        <v>156.61496598639457</v>
      </c>
      <c r="T15" s="46">
        <f t="shared" si="1"/>
        <v>86138.231292517012</v>
      </c>
      <c r="U15" t="str">
        <f>+IF(K15&lt;&gt;"",K15,"")</f>
        <v/>
      </c>
      <c r="V15">
        <f>+RANK(H15,$H$6:$H$1048576,1)</f>
        <v>39</v>
      </c>
      <c r="Z15" t="str">
        <f>TRIM(Tabla2[[#This Row],[CONDUCTOR]])</f>
        <v>YEPES TORRES JHON ALEXANDER</v>
      </c>
    </row>
    <row r="16" spans="1:32" x14ac:dyDescent="0.2">
      <c r="B16" s="136" t="s">
        <v>121</v>
      </c>
      <c r="C16" s="166">
        <v>12</v>
      </c>
      <c r="D16" s="151" t="s">
        <v>154</v>
      </c>
      <c r="E16" s="150">
        <v>7</v>
      </c>
      <c r="F16" s="150">
        <v>0</v>
      </c>
      <c r="G16" s="146">
        <v>153</v>
      </c>
      <c r="H16" s="226">
        <f>+G16/E16</f>
        <v>21.857142857142858</v>
      </c>
      <c r="I16" s="364">
        <f>+(SUM($G$7:$G$1048576)/SUM($E$7:$E$1048576))*E16</f>
        <v>144.03809523809525</v>
      </c>
      <c r="J16" s="363">
        <f>+Tabla2[[#This Row],[PROM DE USUARIOS]]-Tabla2[[#This Row],[USUARIOS]]</f>
        <v>-8.9619047619047478</v>
      </c>
      <c r="K16" s="151"/>
      <c r="L16" s="163">
        <f>Q16*635</f>
        <v>87019.190476190488</v>
      </c>
      <c r="M16" s="162">
        <f>+VLOOKUP(C16,Lista!B:D,3,0)</f>
        <v>0</v>
      </c>
      <c r="N16" s="164">
        <f t="shared" si="0"/>
        <v>10414.634146341463</v>
      </c>
      <c r="O16" s="164">
        <f>Tabla2[[#This Row],[USUARIOS]]*150</f>
        <v>22950</v>
      </c>
      <c r="P16" s="50">
        <f>+(E16*1)-W16</f>
        <v>7</v>
      </c>
      <c r="Q16" s="47">
        <f>+I16-P16-X16</f>
        <v>137.03809523809525</v>
      </c>
      <c r="R16" s="49">
        <f>+G16-P16</f>
        <v>146</v>
      </c>
      <c r="S16" s="51">
        <f>+E16*$T$3</f>
        <v>137.03809523809525</v>
      </c>
      <c r="T16" s="46">
        <f t="shared" si="1"/>
        <v>75370.952380952382</v>
      </c>
      <c r="U16" t="str">
        <f>+IF(K16&lt;&gt;"",K16,"")</f>
        <v/>
      </c>
      <c r="V16">
        <f>+RANK(H16,$H$6:$H$1048576,1)</f>
        <v>30</v>
      </c>
      <c r="Z16" t="str">
        <f>TRIM(Tabla2[[#This Row],[CONDUCTOR]])</f>
        <v>DAVID HENRY GIOVANNY</v>
      </c>
    </row>
    <row r="17" spans="2:26" x14ac:dyDescent="0.2">
      <c r="B17" s="136" t="s">
        <v>122</v>
      </c>
      <c r="C17" s="137">
        <v>13</v>
      </c>
      <c r="D17" s="151" t="s">
        <v>165</v>
      </c>
      <c r="E17" s="150">
        <v>9</v>
      </c>
      <c r="F17" s="150">
        <v>0</v>
      </c>
      <c r="G17" s="146">
        <v>151</v>
      </c>
      <c r="H17" s="226">
        <f>+G17/E17</f>
        <v>16.777777777777779</v>
      </c>
      <c r="I17" s="227">
        <f>+(SUM($G$7:$G$1048576)/SUM($E$7:$E$1048576))*E17</f>
        <v>185.19183673469388</v>
      </c>
      <c r="J17" s="363">
        <f>+Tabla2[[#This Row],[PROM DE USUARIOS]]-Tabla2[[#This Row],[USUARIOS]]</f>
        <v>34.191836734693879</v>
      </c>
      <c r="K17" s="151"/>
      <c r="L17" s="163">
        <f>Q17*635</f>
        <v>111881.81632653061</v>
      </c>
      <c r="M17" s="162" t="str">
        <f>+VLOOKUP(C17,Lista!B:D,3,0)</f>
        <v>MICRO</v>
      </c>
      <c r="N17" s="164">
        <f t="shared" si="0"/>
        <v>10414.634146341463</v>
      </c>
      <c r="O17" s="164">
        <f>Tabla2[[#This Row],[USUARIOS]]*150</f>
        <v>22650</v>
      </c>
      <c r="P17" s="50">
        <f>+(E17*1)-W17</f>
        <v>9</v>
      </c>
      <c r="Q17" s="47">
        <f>+I17-P17-X17</f>
        <v>176.19183673469388</v>
      </c>
      <c r="R17" s="49">
        <f>+G17-P17</f>
        <v>142</v>
      </c>
      <c r="S17" s="51">
        <f>+E17*$T$3</f>
        <v>176.19183673469388</v>
      </c>
      <c r="T17" s="46">
        <f t="shared" si="1"/>
        <v>96905.510204081627</v>
      </c>
      <c r="U17" t="str">
        <f>+IF(K17&lt;&gt;"",K17,"")</f>
        <v/>
      </c>
      <c r="V17">
        <f>+RANK(H17,$H$6:$H$1048576,1)</f>
        <v>4</v>
      </c>
      <c r="Z17" t="str">
        <f>TRIM(Tabla2[[#This Row],[CONDUCTOR]])</f>
        <v>MARIN JAIR</v>
      </c>
    </row>
    <row r="18" spans="2:26" x14ac:dyDescent="0.2">
      <c r="B18" s="136" t="s">
        <v>121</v>
      </c>
      <c r="C18" s="166">
        <v>14</v>
      </c>
      <c r="D18" s="151" t="s">
        <v>182</v>
      </c>
      <c r="E18" s="150">
        <v>8</v>
      </c>
      <c r="F18" s="150">
        <v>0</v>
      </c>
      <c r="G18" s="146">
        <v>156</v>
      </c>
      <c r="H18" s="226">
        <f>+G18/E18</f>
        <v>19.5</v>
      </c>
      <c r="I18" s="364">
        <f>+(SUM($G$7:$G$1048576)/SUM($E$7:$E$1048576))*E18</f>
        <v>164.61496598639457</v>
      </c>
      <c r="J18" s="363">
        <f>+Tabla2[[#This Row],[PROM DE USUARIOS]]-Tabla2[[#This Row],[USUARIOS]]</f>
        <v>8.6149659863945658</v>
      </c>
      <c r="K18" s="151"/>
      <c r="L18" s="163">
        <f>Q18*635</f>
        <v>99450.503401360547</v>
      </c>
      <c r="M18" s="162">
        <f>+VLOOKUP(C18,Lista!B:D,3,0)</f>
        <v>0</v>
      </c>
      <c r="N18" s="164">
        <f t="shared" si="0"/>
        <v>10414.634146341463</v>
      </c>
      <c r="O18" s="164">
        <f>Tabla2[[#This Row],[USUARIOS]]*150</f>
        <v>23400</v>
      </c>
      <c r="P18" s="50">
        <f>+(E18*1)-W18</f>
        <v>8</v>
      </c>
      <c r="Q18" s="47">
        <f>+I18-P18-X18</f>
        <v>156.61496598639457</v>
      </c>
      <c r="R18" s="49">
        <f>+G18-P18</f>
        <v>148</v>
      </c>
      <c r="S18" s="51">
        <f>+E18*$T$3</f>
        <v>156.61496598639457</v>
      </c>
      <c r="T18" s="46">
        <f t="shared" si="1"/>
        <v>86138.231292517012</v>
      </c>
      <c r="U18" t="str">
        <f>+IF(K18&lt;&gt;"",K18,"")</f>
        <v/>
      </c>
      <c r="V18">
        <f>+RANK(H18,$H$6:$H$1048576,1)</f>
        <v>16</v>
      </c>
      <c r="Z18" t="str">
        <f>TRIM(Tabla2[[#This Row],[CONDUCTOR]])</f>
        <v>VERENZUELA MARTINEZ ALEXANDER</v>
      </c>
    </row>
    <row r="19" spans="2:26" x14ac:dyDescent="0.2">
      <c r="B19" s="136" t="s">
        <v>122</v>
      </c>
      <c r="C19" s="166">
        <v>15</v>
      </c>
      <c r="D19" s="151" t="s">
        <v>158</v>
      </c>
      <c r="E19" s="150">
        <v>7</v>
      </c>
      <c r="F19" s="150">
        <v>0</v>
      </c>
      <c r="G19" s="165">
        <v>183</v>
      </c>
      <c r="H19" s="226">
        <f>+G19/E19</f>
        <v>26.142857142857142</v>
      </c>
      <c r="I19" s="227">
        <f>+(SUM($G$7:$G$1048576)/SUM($E$7:$E$1048576))*E19</f>
        <v>144.03809523809525</v>
      </c>
      <c r="J19" s="363">
        <f>+Tabla2[[#This Row],[PROM DE USUARIOS]]-Tabla2[[#This Row],[USUARIOS]]</f>
        <v>-38.961904761904748</v>
      </c>
      <c r="K19" s="151"/>
      <c r="L19" s="163">
        <f>Q19*635</f>
        <v>87019.190476190488</v>
      </c>
      <c r="M19" s="162">
        <f>+VLOOKUP(C19,Lista!B:D,3,0)</f>
        <v>0</v>
      </c>
      <c r="N19" s="164">
        <f t="shared" si="0"/>
        <v>10414.634146341463</v>
      </c>
      <c r="O19" s="164">
        <f>Tabla2[[#This Row],[USUARIOS]]*150</f>
        <v>27450</v>
      </c>
      <c r="P19" s="50">
        <f>+(E19*1)-W19</f>
        <v>7</v>
      </c>
      <c r="Q19" s="47">
        <f>+I19-P19-X19</f>
        <v>137.03809523809525</v>
      </c>
      <c r="R19" s="49">
        <f>+G19-P19</f>
        <v>176</v>
      </c>
      <c r="S19" s="51">
        <f>+E19*$T$3</f>
        <v>137.03809523809525</v>
      </c>
      <c r="T19" s="46">
        <f t="shared" si="1"/>
        <v>75370.952380952382</v>
      </c>
      <c r="U19" t="str">
        <f>+IF(K19&lt;&gt;"",K19,"")</f>
        <v/>
      </c>
      <c r="V19">
        <f>+RANK(H19,$H$6:$H$1048576,1)</f>
        <v>40</v>
      </c>
      <c r="Z19" t="str">
        <f>TRIM(Tabla2[[#This Row],[CONDUCTOR]])</f>
        <v>MACIAS HERNANDEZ JULIAN DAVID</v>
      </c>
    </row>
    <row r="20" spans="2:26" x14ac:dyDescent="0.2">
      <c r="B20" s="136" t="s">
        <v>121</v>
      </c>
      <c r="C20" s="137">
        <v>16</v>
      </c>
      <c r="D20" s="151" t="s">
        <v>156</v>
      </c>
      <c r="E20" s="150">
        <v>10</v>
      </c>
      <c r="F20" s="150">
        <v>0</v>
      </c>
      <c r="G20" s="146">
        <v>273</v>
      </c>
      <c r="H20" s="226">
        <f>+G20/E20</f>
        <v>27.3</v>
      </c>
      <c r="I20" s="227">
        <f>+(SUM($G$7:$G$1048576)/SUM($E$7:$E$1048576))*E20</f>
        <v>205.76870748299319</v>
      </c>
      <c r="J20" s="363">
        <f>+Tabla2[[#This Row],[PROM DE USUARIOS]]-Tabla2[[#This Row],[USUARIOS]]</f>
        <v>-67.231292517006807</v>
      </c>
      <c r="K20" s="151" t="s">
        <v>188</v>
      </c>
      <c r="L20" s="163">
        <f>Q20*635</f>
        <v>124313.12925170068</v>
      </c>
      <c r="M20" s="162" t="str">
        <f>+VLOOKUP(C20,Lista!B:D,3,0)</f>
        <v>MICRO</v>
      </c>
      <c r="N20" s="164">
        <f t="shared" si="0"/>
        <v>10414.634146341463</v>
      </c>
      <c r="O20" s="164">
        <f>Tabla2[[#This Row],[USUARIOS]]*150</f>
        <v>40950</v>
      </c>
      <c r="P20" s="50">
        <f>+(E20*1)-W20</f>
        <v>10</v>
      </c>
      <c r="Q20" s="47">
        <f>+I20-P20-X20</f>
        <v>195.76870748299319</v>
      </c>
      <c r="R20" s="49">
        <f>+G20-P20</f>
        <v>263</v>
      </c>
      <c r="S20" s="51">
        <f>+E20*$T$3</f>
        <v>195.76870748299319</v>
      </c>
      <c r="T20" s="46">
        <f t="shared" si="1"/>
        <v>107672.78911564626</v>
      </c>
      <c r="U20" t="str">
        <f>+IF(K20&lt;&gt;"",K20,"")</f>
        <v xml:space="preserve">1 Descuento (Despachador) </v>
      </c>
      <c r="V20">
        <f>+RANK(H20,$H$6:$H$1048576,1)</f>
        <v>42</v>
      </c>
      <c r="Z20" t="str">
        <f>TRIM(Tabla2[[#This Row],[CONDUCTOR]])</f>
        <v>MURILLO YOIMAR ANDRES</v>
      </c>
    </row>
    <row r="21" spans="2:26" x14ac:dyDescent="0.2">
      <c r="B21" s="136" t="s">
        <v>121</v>
      </c>
      <c r="C21" s="166">
        <v>18</v>
      </c>
      <c r="D21" s="151" t="s">
        <v>181</v>
      </c>
      <c r="E21" s="150">
        <v>9</v>
      </c>
      <c r="F21" s="150">
        <v>0</v>
      </c>
      <c r="G21" s="165">
        <v>171</v>
      </c>
      <c r="H21" s="226">
        <f>+G21/E21</f>
        <v>19</v>
      </c>
      <c r="I21" s="227">
        <f>+(SUM($G$7:$G$1048576)/SUM($E$7:$E$1048576))*E21</f>
        <v>185.19183673469388</v>
      </c>
      <c r="J21" s="363">
        <f>+Tabla2[[#This Row],[PROM DE USUARIOS]]-Tabla2[[#This Row],[USUARIOS]]</f>
        <v>14.191836734693879</v>
      </c>
      <c r="K21" s="151"/>
      <c r="L21" s="163">
        <f>Q21*635</f>
        <v>111881.81632653061</v>
      </c>
      <c r="M21" s="162" t="str">
        <f>+VLOOKUP(C21,Lista!B:D,3,0)</f>
        <v>MICRO</v>
      </c>
      <c r="N21" s="164">
        <f t="shared" si="0"/>
        <v>10414.634146341463</v>
      </c>
      <c r="O21" s="164">
        <f>Tabla2[[#This Row],[USUARIOS]]*150</f>
        <v>25650</v>
      </c>
      <c r="P21" s="50">
        <f>+(E21*1)-W21</f>
        <v>9</v>
      </c>
      <c r="Q21" s="47">
        <f>+I21-P21-X21</f>
        <v>176.19183673469388</v>
      </c>
      <c r="R21" s="49">
        <f>+G21-P21</f>
        <v>162</v>
      </c>
      <c r="S21" s="51">
        <f>+E21*$T$3</f>
        <v>176.19183673469388</v>
      </c>
      <c r="T21" s="46">
        <f t="shared" si="1"/>
        <v>96905.510204081627</v>
      </c>
      <c r="U21" t="str">
        <f>+IF(K21&lt;&gt;"",K21,"")</f>
        <v/>
      </c>
      <c r="V21">
        <f>+RANK(H21,$H$6:$H$1048576,1)</f>
        <v>12</v>
      </c>
      <c r="Z21" t="str">
        <f>TRIM(Tabla2[[#This Row],[CONDUCTOR]])</f>
        <v>ALBERTO ARISTIZABAL RAFAEL</v>
      </c>
    </row>
    <row r="22" spans="2:26" x14ac:dyDescent="0.2">
      <c r="B22" s="136" t="s">
        <v>122</v>
      </c>
      <c r="C22" s="166">
        <v>19</v>
      </c>
      <c r="D22" s="151" t="s">
        <v>170</v>
      </c>
      <c r="E22" s="150">
        <v>11</v>
      </c>
      <c r="F22" s="150">
        <v>0</v>
      </c>
      <c r="G22" s="146">
        <v>211</v>
      </c>
      <c r="H22" s="226">
        <f>+G22/E22</f>
        <v>19.181818181818183</v>
      </c>
      <c r="I22" s="364">
        <f>+(SUM($G$7:$G$1048576)/SUM($E$7:$E$1048576))*E22</f>
        <v>226.34557823129254</v>
      </c>
      <c r="J22" s="363">
        <f>+Tabla2[[#This Row],[PROM DE USUARIOS]]-Tabla2[[#This Row],[USUARIOS]]</f>
        <v>15.345578231292535</v>
      </c>
      <c r="K22" s="151"/>
      <c r="L22" s="163">
        <f>Q22*635</f>
        <v>136744.44217687077</v>
      </c>
      <c r="M22" s="162" t="str">
        <f>+VLOOKUP(C22,Lista!B:D,3,0)</f>
        <v>MICRO</v>
      </c>
      <c r="N22" s="164">
        <f t="shared" si="0"/>
        <v>10414.634146341463</v>
      </c>
      <c r="O22" s="164">
        <f>Tabla2[[#This Row],[USUARIOS]]*150</f>
        <v>31650</v>
      </c>
      <c r="P22" s="50">
        <f>+(E22*1)-W22</f>
        <v>11</v>
      </c>
      <c r="Q22" s="47">
        <f>+I22-P22-X22</f>
        <v>215.34557823129254</v>
      </c>
      <c r="R22" s="49">
        <f>+G22-P22</f>
        <v>200</v>
      </c>
      <c r="S22" s="51">
        <f>+E22*$T$3</f>
        <v>215.34557823129254</v>
      </c>
      <c r="T22" s="46">
        <f t="shared" si="1"/>
        <v>118440.06802721089</v>
      </c>
      <c r="U22" t="str">
        <f>+IF(K22&lt;&gt;"",K22,"")</f>
        <v/>
      </c>
      <c r="V22">
        <f>+RANK(H22,$H$6:$H$1048576,1)</f>
        <v>14</v>
      </c>
      <c r="Z22" t="str">
        <f>TRIM(Tabla2[[#This Row],[CONDUCTOR]])</f>
        <v>MACEA ARBELAEZ MATEO</v>
      </c>
    </row>
    <row r="23" spans="2:26" x14ac:dyDescent="0.2">
      <c r="B23" s="136" t="s">
        <v>121</v>
      </c>
      <c r="C23" s="166">
        <v>20</v>
      </c>
      <c r="D23" s="151" t="s">
        <v>153</v>
      </c>
      <c r="E23" s="150">
        <v>9</v>
      </c>
      <c r="F23" s="150">
        <v>0</v>
      </c>
      <c r="G23" s="146">
        <v>210</v>
      </c>
      <c r="H23" s="226">
        <f>+G23/E23</f>
        <v>23.333333333333332</v>
      </c>
      <c r="I23" s="364">
        <f>+(SUM($G$7:$G$1048576)/SUM($E$7:$E$1048576))*E23</f>
        <v>185.19183673469388</v>
      </c>
      <c r="J23" s="363">
        <f>+Tabla2[[#This Row],[PROM DE USUARIOS]]-Tabla2[[#This Row],[USUARIOS]]</f>
        <v>-24.808163265306121</v>
      </c>
      <c r="K23" s="151"/>
      <c r="L23" s="163">
        <f>Q23*635</f>
        <v>111881.81632653061</v>
      </c>
      <c r="M23" s="162" t="str">
        <f>+VLOOKUP(C23,Lista!B:D,3,0)</f>
        <v>MICRO</v>
      </c>
      <c r="N23" s="164">
        <f t="shared" si="0"/>
        <v>10414.634146341463</v>
      </c>
      <c r="O23" s="164">
        <f>Tabla2[[#This Row],[USUARIOS]]*150</f>
        <v>31500</v>
      </c>
      <c r="P23" s="50">
        <f>+(E23*1)-W23</f>
        <v>9</v>
      </c>
      <c r="Q23" s="47">
        <f>+I23-P23-X23</f>
        <v>176.19183673469388</v>
      </c>
      <c r="R23" s="49">
        <f>+G23-P23</f>
        <v>201</v>
      </c>
      <c r="S23" s="51">
        <f>+E23*$T$3</f>
        <v>176.19183673469388</v>
      </c>
      <c r="T23" s="46">
        <f t="shared" si="1"/>
        <v>96905.510204081627</v>
      </c>
      <c r="U23" t="str">
        <f>+IF(K23&lt;&gt;"",K23,"")</f>
        <v/>
      </c>
      <c r="V23">
        <f>+RANK(H23,$H$6:$H$1048576,1)</f>
        <v>38</v>
      </c>
      <c r="Z23" t="str">
        <f>TRIM(Tabla2[[#This Row],[CONDUCTOR]])</f>
        <v>VALENCIA MENDOZA JHON</v>
      </c>
    </row>
    <row r="24" spans="2:26" x14ac:dyDescent="0.2">
      <c r="B24" s="136" t="s">
        <v>122</v>
      </c>
      <c r="C24" s="166">
        <v>21</v>
      </c>
      <c r="D24" s="151" t="s">
        <v>172</v>
      </c>
      <c r="E24" s="150">
        <v>5.5</v>
      </c>
      <c r="F24" s="150">
        <v>0.5</v>
      </c>
      <c r="G24" s="165">
        <v>107</v>
      </c>
      <c r="H24" s="226">
        <f>+G24/E24</f>
        <v>19.454545454545453</v>
      </c>
      <c r="I24" s="227">
        <f>+(SUM($G$7:$G$1048576)/SUM($E$7:$E$1048576))*E24</f>
        <v>113.17278911564627</v>
      </c>
      <c r="J24" s="363">
        <f>+Tabla2[[#This Row],[PROM DE USUARIOS]]-Tabla2[[#This Row],[USUARIOS]]</f>
        <v>6.1727891156462675</v>
      </c>
      <c r="K24" s="151"/>
      <c r="L24" s="163">
        <f>Q24*635</f>
        <v>68372.221088435384</v>
      </c>
      <c r="M24" s="162" t="str">
        <f>+VLOOKUP(C24,Lista!B:D,3,0)</f>
        <v>MICRO</v>
      </c>
      <c r="N24" s="164">
        <f t="shared" si="0"/>
        <v>10414.634146341463</v>
      </c>
      <c r="O24" s="164">
        <f>Tabla2[[#This Row],[USUARIOS]]*150</f>
        <v>16050</v>
      </c>
      <c r="P24" s="50">
        <f>+(E24*1)-W24</f>
        <v>5.5</v>
      </c>
      <c r="Q24" s="47">
        <f>+I24-P24-X24</f>
        <v>107.67278911564627</v>
      </c>
      <c r="R24" s="49">
        <f>+G24-P24</f>
        <v>101.5</v>
      </c>
      <c r="S24" s="51">
        <f>+E24*$T$3</f>
        <v>107.67278911564627</v>
      </c>
      <c r="T24" s="46">
        <f t="shared" si="1"/>
        <v>59220.034013605444</v>
      </c>
      <c r="U24" t="str">
        <f>+IF(K24&lt;&gt;"",K24,"")</f>
        <v/>
      </c>
      <c r="V24">
        <f>+RANK(H24,$H$6:$H$1048576,1)</f>
        <v>15</v>
      </c>
      <c r="Z24" t="str">
        <f>TRIM(Tabla2[[#This Row],[CONDUCTOR]])</f>
        <v>DURANGO DAVID JOSE</v>
      </c>
    </row>
    <row r="25" spans="2:26" x14ac:dyDescent="0.2">
      <c r="B25" s="136" t="s">
        <v>121</v>
      </c>
      <c r="C25" s="166">
        <v>22</v>
      </c>
      <c r="D25" s="151" t="s">
        <v>164</v>
      </c>
      <c r="E25" s="150">
        <v>10</v>
      </c>
      <c r="F25" s="150">
        <v>0</v>
      </c>
      <c r="G25" s="165">
        <v>229</v>
      </c>
      <c r="H25" s="226">
        <f>+G25/E25</f>
        <v>22.9</v>
      </c>
      <c r="I25" s="227">
        <f>+(SUM($G$7:$G$1048576)/SUM($E$7:$E$1048576))*E25</f>
        <v>205.76870748299319</v>
      </c>
      <c r="J25" s="363">
        <f>+Tabla2[[#This Row],[PROM DE USUARIOS]]-Tabla2[[#This Row],[USUARIOS]]</f>
        <v>-23.231292517006807</v>
      </c>
      <c r="K25" s="151"/>
      <c r="L25" s="163">
        <f>Q25*635</f>
        <v>124313.12925170068</v>
      </c>
      <c r="M25" s="162">
        <f>+VLOOKUP(C25,Lista!B:D,3,0)</f>
        <v>0</v>
      </c>
      <c r="N25" s="164">
        <f t="shared" si="0"/>
        <v>10414.634146341463</v>
      </c>
      <c r="O25" s="164">
        <f>Tabla2[[#This Row],[USUARIOS]]*150</f>
        <v>34350</v>
      </c>
      <c r="P25" s="50">
        <f>+(E25*1)-W25</f>
        <v>10</v>
      </c>
      <c r="Q25" s="47">
        <f>+I25-P25-X25</f>
        <v>195.76870748299319</v>
      </c>
      <c r="R25" s="49">
        <f>+G25-P25</f>
        <v>219</v>
      </c>
      <c r="S25" s="51">
        <f>+E25*$T$3</f>
        <v>195.76870748299319</v>
      </c>
      <c r="T25" s="46">
        <f t="shared" si="1"/>
        <v>107672.78911564626</v>
      </c>
      <c r="U25" t="str">
        <f>+IF(K25&lt;&gt;"",K25,"")</f>
        <v/>
      </c>
      <c r="V25">
        <f>+RANK(H25,$H$6:$H$1048576,1)</f>
        <v>36</v>
      </c>
      <c r="Z25" t="str">
        <f>TRIM(Tabla2[[#This Row],[CONDUCTOR]])</f>
        <v>QUIRAMA CASTAÑEDA JHON JADER</v>
      </c>
    </row>
    <row r="26" spans="2:26" x14ac:dyDescent="0.2">
      <c r="B26" s="136" t="s">
        <v>122</v>
      </c>
      <c r="C26" s="166">
        <v>23</v>
      </c>
      <c r="D26" s="151" t="s">
        <v>173</v>
      </c>
      <c r="E26" s="150">
        <v>9</v>
      </c>
      <c r="F26" s="150">
        <v>0</v>
      </c>
      <c r="G26" s="146">
        <v>187</v>
      </c>
      <c r="H26" s="226">
        <f>+G26/E26</f>
        <v>20.777777777777779</v>
      </c>
      <c r="I26" s="364">
        <f>+(SUM($G$7:$G$1048576)/SUM($E$7:$E$1048576))*E26</f>
        <v>185.19183673469388</v>
      </c>
      <c r="J26" s="363">
        <f>+Tabla2[[#This Row],[PROM DE USUARIOS]]-Tabla2[[#This Row],[USUARIOS]]</f>
        <v>-1.8081632653061206</v>
      </c>
      <c r="K26" s="151"/>
      <c r="L26" s="163">
        <f>Q26*635</f>
        <v>111881.81632653061</v>
      </c>
      <c r="M26" s="162" t="str">
        <f>+VLOOKUP(C26,Lista!B:D,3,0)</f>
        <v xml:space="preserve">MICRO </v>
      </c>
      <c r="N26" s="164">
        <f t="shared" si="0"/>
        <v>10414.634146341463</v>
      </c>
      <c r="O26" s="164">
        <f>Tabla2[[#This Row],[USUARIOS]]*150</f>
        <v>28050</v>
      </c>
      <c r="P26" s="50">
        <f>+(E26*1)-W26</f>
        <v>9</v>
      </c>
      <c r="Q26" s="47">
        <f>+I26-P26-X26</f>
        <v>176.19183673469388</v>
      </c>
      <c r="R26" s="49">
        <f>+G26-P26</f>
        <v>178</v>
      </c>
      <c r="S26" s="51">
        <f>+E26*$T$3</f>
        <v>176.19183673469388</v>
      </c>
      <c r="T26" s="46">
        <f t="shared" si="1"/>
        <v>96905.510204081627</v>
      </c>
      <c r="U26" t="str">
        <f>+IF(K26&lt;&gt;"",K26,"")</f>
        <v/>
      </c>
      <c r="V26">
        <f>+RANK(H26,$H$6:$H$1048576,1)</f>
        <v>22</v>
      </c>
      <c r="Z26" t="str">
        <f>TRIM(Tabla2[[#This Row],[CONDUCTOR]])</f>
        <v>SALDARRIAGA PARRA LUIS ALBERTO</v>
      </c>
    </row>
    <row r="27" spans="2:26" x14ac:dyDescent="0.2">
      <c r="B27" s="136" t="s">
        <v>121</v>
      </c>
      <c r="C27" s="137">
        <v>24</v>
      </c>
      <c r="D27" s="151" t="s">
        <v>183</v>
      </c>
      <c r="E27" s="150">
        <v>8</v>
      </c>
      <c r="F27" s="150">
        <v>0</v>
      </c>
      <c r="G27" s="165">
        <v>183</v>
      </c>
      <c r="H27" s="226">
        <f>+G27/E27</f>
        <v>22.875</v>
      </c>
      <c r="I27" s="227">
        <f>+(SUM($G$7:$G$1048576)/SUM($E$7:$E$1048576))*E27</f>
        <v>164.61496598639457</v>
      </c>
      <c r="J27" s="363">
        <f>+Tabla2[[#This Row],[PROM DE USUARIOS]]-Tabla2[[#This Row],[USUARIOS]]</f>
        <v>-18.385034013605434</v>
      </c>
      <c r="K27" s="151"/>
      <c r="L27" s="163">
        <f>Q27*635</f>
        <v>99450.503401360547</v>
      </c>
      <c r="M27" s="162" t="str">
        <f>+VLOOKUP(C27,Lista!B:D,3,0)</f>
        <v>MICRO</v>
      </c>
      <c r="N27" s="164">
        <f t="shared" si="0"/>
        <v>10414.634146341463</v>
      </c>
      <c r="O27" s="164">
        <f>Tabla2[[#This Row],[USUARIOS]]*150</f>
        <v>27450</v>
      </c>
      <c r="P27" s="50">
        <f>+(E27*1)-W27</f>
        <v>8</v>
      </c>
      <c r="Q27" s="47">
        <f>+I27-P27-X27</f>
        <v>156.61496598639457</v>
      </c>
      <c r="R27" s="49">
        <f>+G27-P27</f>
        <v>175</v>
      </c>
      <c r="S27" s="51">
        <f>+E27*$T$3</f>
        <v>156.61496598639457</v>
      </c>
      <c r="T27" s="46">
        <f t="shared" si="1"/>
        <v>86138.231292517012</v>
      </c>
      <c r="U27" t="str">
        <f>+IF(K27&lt;&gt;"",K27,"")</f>
        <v/>
      </c>
      <c r="V27">
        <f>+RANK(H27,$H$6:$H$1048576,1)</f>
        <v>35</v>
      </c>
      <c r="Z27" t="str">
        <f>TRIM(Tabla2[[#This Row],[CONDUCTOR]])</f>
        <v>CALLE RICARDO</v>
      </c>
    </row>
    <row r="28" spans="2:26" x14ac:dyDescent="0.2">
      <c r="B28" s="136" t="s">
        <v>122</v>
      </c>
      <c r="C28" s="166">
        <v>25</v>
      </c>
      <c r="D28" s="151" t="s">
        <v>169</v>
      </c>
      <c r="E28" s="150">
        <v>9</v>
      </c>
      <c r="F28" s="150">
        <v>0</v>
      </c>
      <c r="G28" s="146">
        <v>188</v>
      </c>
      <c r="H28" s="226">
        <f>+G28/E28</f>
        <v>20.888888888888889</v>
      </c>
      <c r="I28" s="364">
        <f>+(SUM($G$7:$G$1048576)/SUM($E$7:$E$1048576))*E28</f>
        <v>185.19183673469388</v>
      </c>
      <c r="J28" s="363">
        <f>+Tabla2[[#This Row],[PROM DE USUARIOS]]-Tabla2[[#This Row],[USUARIOS]]</f>
        <v>-2.8081632653061206</v>
      </c>
      <c r="K28" s="151"/>
      <c r="L28" s="163">
        <f>Q28*635</f>
        <v>111881.81632653061</v>
      </c>
      <c r="M28" s="162">
        <f>+VLOOKUP(C28,Lista!B:D,3,0)</f>
        <v>0</v>
      </c>
      <c r="N28" s="164">
        <f t="shared" si="0"/>
        <v>10414.634146341463</v>
      </c>
      <c r="O28" s="164">
        <f>Tabla2[[#This Row],[USUARIOS]]*150</f>
        <v>28200</v>
      </c>
      <c r="P28" s="50">
        <f>+(E28*1)-W28</f>
        <v>9</v>
      </c>
      <c r="Q28" s="47">
        <f>+I28-P28-X28</f>
        <v>176.19183673469388</v>
      </c>
      <c r="R28" s="49">
        <f>+G28-P28</f>
        <v>179</v>
      </c>
      <c r="S28" s="51">
        <f>+E28*$T$3</f>
        <v>176.19183673469388</v>
      </c>
      <c r="T28" s="46">
        <f t="shared" si="1"/>
        <v>96905.510204081627</v>
      </c>
      <c r="U28" t="str">
        <f>+IF(K28&lt;&gt;"",K28,"")</f>
        <v/>
      </c>
      <c r="V28">
        <f>+RANK(H28,$H$6:$H$1048576,1)</f>
        <v>24</v>
      </c>
      <c r="Z28" t="str">
        <f>TRIM(Tabla2[[#This Row],[CONDUCTOR]])</f>
        <v>JIMENEZ HURTADO CARLOS ESTIVEN</v>
      </c>
    </row>
    <row r="29" spans="2:26" x14ac:dyDescent="0.2">
      <c r="B29" s="136" t="s">
        <v>121</v>
      </c>
      <c r="C29" s="166">
        <v>26</v>
      </c>
      <c r="D29" s="151" t="s">
        <v>184</v>
      </c>
      <c r="E29" s="150">
        <v>9</v>
      </c>
      <c r="F29" s="150">
        <v>0</v>
      </c>
      <c r="G29" s="146">
        <v>168</v>
      </c>
      <c r="H29" s="226">
        <f>+G29/E29</f>
        <v>18.666666666666668</v>
      </c>
      <c r="I29" s="364">
        <f>+(SUM($G$7:$G$1048576)/SUM($E$7:$E$1048576))*E29</f>
        <v>185.19183673469388</v>
      </c>
      <c r="J29" s="363">
        <f>+Tabla2[[#This Row],[PROM DE USUARIOS]]-Tabla2[[#This Row],[USUARIOS]]</f>
        <v>17.191836734693879</v>
      </c>
      <c r="K29" s="151"/>
      <c r="L29" s="163">
        <f>Q29*635</f>
        <v>111881.81632653061</v>
      </c>
      <c r="M29" s="366" t="str">
        <f>+VLOOKUP(C29,Lista!B:D,3,0)</f>
        <v>MICRO</v>
      </c>
      <c r="N29" s="164">
        <f t="shared" si="0"/>
        <v>10414.634146341463</v>
      </c>
      <c r="O29" s="164">
        <f>Tabla2[[#This Row],[USUARIOS]]*150</f>
        <v>25200</v>
      </c>
      <c r="P29" s="50">
        <f>+(E29*1)-W29</f>
        <v>9</v>
      </c>
      <c r="Q29" s="47">
        <f>+I29-P29-X29</f>
        <v>176.19183673469388</v>
      </c>
      <c r="R29" s="49">
        <f>+G29-P29</f>
        <v>159</v>
      </c>
      <c r="S29" s="51">
        <f>+E29*$T$3</f>
        <v>176.19183673469388</v>
      </c>
      <c r="T29" s="46">
        <f t="shared" si="1"/>
        <v>96905.510204081627</v>
      </c>
      <c r="U29" t="str">
        <f>+IF(K29&lt;&gt;"",K29,"")</f>
        <v/>
      </c>
      <c r="V29">
        <f>+RANK(H29,$H$6:$H$1048576,1)</f>
        <v>11</v>
      </c>
      <c r="Z29" t="str">
        <f>TRIM(Tabla2[[#This Row],[CONDUCTOR]])</f>
        <v>CIRO MARIN RODRIGO ALBERTO</v>
      </c>
    </row>
    <row r="30" spans="2:26" s="2" customFormat="1" x14ac:dyDescent="0.2">
      <c r="B30" s="136" t="s">
        <v>122</v>
      </c>
      <c r="C30" s="166">
        <v>27</v>
      </c>
      <c r="D30" s="151" t="s">
        <v>167</v>
      </c>
      <c r="E30" s="150">
        <v>8</v>
      </c>
      <c r="F30" s="150">
        <v>0</v>
      </c>
      <c r="G30" s="146">
        <v>179</v>
      </c>
      <c r="H30" s="226">
        <f>+G30/E30</f>
        <v>22.375</v>
      </c>
      <c r="I30" s="227">
        <f>+(SUM($G$7:$G$1048576)/SUM($E$7:$E$1048576))*E30</f>
        <v>164.61496598639457</v>
      </c>
      <c r="J30" s="363">
        <f>+Tabla2[[#This Row],[PROM DE USUARIOS]]-Tabla2[[#This Row],[USUARIOS]]</f>
        <v>-14.385034013605434</v>
      </c>
      <c r="K30" s="151"/>
      <c r="L30" s="163">
        <f>Q30*635</f>
        <v>99450.503401360547</v>
      </c>
      <c r="M30" s="366">
        <f>+VLOOKUP(C30,Lista!B:D,3,0)</f>
        <v>0</v>
      </c>
      <c r="N30" s="164">
        <f t="shared" si="0"/>
        <v>10414.634146341463</v>
      </c>
      <c r="O30" s="164">
        <f>Tabla2[[#This Row],[USUARIOS]]*150</f>
        <v>26850</v>
      </c>
      <c r="P30" s="50">
        <f>+(E30*1)-W30</f>
        <v>8</v>
      </c>
      <c r="Q30" s="47">
        <f>+I30-P30-X30</f>
        <v>156.61496598639457</v>
      </c>
      <c r="R30" s="49">
        <f>+G30-P30</f>
        <v>171</v>
      </c>
      <c r="S30" s="51">
        <f>+E30*$T$3</f>
        <v>156.61496598639457</v>
      </c>
      <c r="T30" s="46">
        <f t="shared" si="1"/>
        <v>86138.231292517012</v>
      </c>
      <c r="U30" t="str">
        <f>+IF(K30&lt;&gt;"",K30,"")</f>
        <v/>
      </c>
      <c r="V30">
        <f>+RANK(H30,$H$6:$H$1048576,1)</f>
        <v>33</v>
      </c>
      <c r="Z30" t="str">
        <f>TRIM(Tabla2[[#This Row],[CONDUCTOR]])</f>
        <v>FLORES RINCON JORGE ALBERTO</v>
      </c>
    </row>
    <row r="31" spans="2:26" x14ac:dyDescent="0.2">
      <c r="B31" s="136" t="s">
        <v>121</v>
      </c>
      <c r="C31" s="166">
        <v>28</v>
      </c>
      <c r="D31" s="151" t="s">
        <v>150</v>
      </c>
      <c r="E31" s="150">
        <v>10</v>
      </c>
      <c r="F31" s="150">
        <v>0</v>
      </c>
      <c r="G31" s="165">
        <v>172</v>
      </c>
      <c r="H31" s="226">
        <f>+G31/E31</f>
        <v>17.2</v>
      </c>
      <c r="I31" s="227">
        <f>+(SUM($G$7:$G$1048576)/SUM($E$7:$E$1048576))*E31</f>
        <v>205.76870748299319</v>
      </c>
      <c r="J31" s="363">
        <f>+Tabla2[[#This Row],[PROM DE USUARIOS]]-Tabla2[[#This Row],[USUARIOS]]</f>
        <v>33.768707482993193</v>
      </c>
      <c r="K31" s="151"/>
      <c r="L31" s="163">
        <f>Q31*635</f>
        <v>124313.12925170068</v>
      </c>
      <c r="M31" s="366" t="str">
        <f>+VLOOKUP(C31,Lista!B:D,3,0)</f>
        <v>MICRO</v>
      </c>
      <c r="N31" s="164">
        <f t="shared" si="0"/>
        <v>10414.634146341463</v>
      </c>
      <c r="O31" s="164">
        <f>Tabla2[[#This Row],[USUARIOS]]*150</f>
        <v>25800</v>
      </c>
      <c r="P31" s="50">
        <f>+(E31*1)-W31</f>
        <v>10</v>
      </c>
      <c r="Q31" s="47">
        <f>+I31-P31-X31</f>
        <v>195.76870748299319</v>
      </c>
      <c r="R31" s="49">
        <f>+G31-P31</f>
        <v>162</v>
      </c>
      <c r="S31" s="51">
        <f>+E31*$T$3</f>
        <v>195.76870748299319</v>
      </c>
      <c r="T31" s="46">
        <f t="shared" si="1"/>
        <v>107672.78911564626</v>
      </c>
      <c r="U31" t="str">
        <f>+IF(K31&lt;&gt;"",K31,"")</f>
        <v/>
      </c>
      <c r="V31">
        <f>+RANK(H31,$H$6:$H$1048576,1)</f>
        <v>6</v>
      </c>
      <c r="Z31" t="str">
        <f>TRIM(Tabla2[[#This Row],[CONDUCTOR]])</f>
        <v>SUAREZ ESCUDERO JONATAN</v>
      </c>
    </row>
    <row r="32" spans="2:26" x14ac:dyDescent="0.2">
      <c r="B32" s="136" t="s">
        <v>122</v>
      </c>
      <c r="C32" s="166">
        <v>29</v>
      </c>
      <c r="D32" s="151" t="s">
        <v>160</v>
      </c>
      <c r="E32" s="150">
        <v>12</v>
      </c>
      <c r="F32" s="150">
        <v>0</v>
      </c>
      <c r="G32" s="146">
        <v>213</v>
      </c>
      <c r="H32" s="226">
        <f>+G32/E32</f>
        <v>17.75</v>
      </c>
      <c r="I32" s="364">
        <f>+(SUM($G$7:$G$1048576)/SUM($E$7:$E$1048576))*E32</f>
        <v>246.92244897959185</v>
      </c>
      <c r="J32" s="363">
        <f>+Tabla2[[#This Row],[PROM DE USUARIOS]]-Tabla2[[#This Row],[USUARIOS]]</f>
        <v>33.922448979591849</v>
      </c>
      <c r="K32" s="151"/>
      <c r="L32" s="163">
        <f>Q32*635</f>
        <v>149175.75510204083</v>
      </c>
      <c r="M32" s="366" t="str">
        <f>+VLOOKUP(C32,Lista!B:D,3,0)</f>
        <v>MICRO</v>
      </c>
      <c r="N32" s="164">
        <f t="shared" si="0"/>
        <v>10414.634146341463</v>
      </c>
      <c r="O32" s="164">
        <f>Tabla2[[#This Row],[USUARIOS]]*150</f>
        <v>31950</v>
      </c>
      <c r="P32" s="50">
        <f>+(E32*1)-W32</f>
        <v>12</v>
      </c>
      <c r="Q32" s="47">
        <f>+I32-P32-X32</f>
        <v>234.92244897959185</v>
      </c>
      <c r="R32" s="49">
        <f>+G32-P32</f>
        <v>201</v>
      </c>
      <c r="S32" s="51">
        <f>+E32*$T$3</f>
        <v>234.92244897959185</v>
      </c>
      <c r="T32" s="46">
        <f t="shared" si="1"/>
        <v>129207.34693877552</v>
      </c>
      <c r="U32" t="str">
        <f>+IF(K32&lt;&gt;"",K32,"")</f>
        <v/>
      </c>
      <c r="V32">
        <f>+RANK(H32,$H$6:$H$1048576,1)</f>
        <v>7</v>
      </c>
      <c r="Z32" t="str">
        <f>TRIM(Tabla2[[#This Row],[CONDUCTOR]])</f>
        <v>LEON PEREZ RAUL ENRIQUE</v>
      </c>
    </row>
    <row r="33" spans="2:26" x14ac:dyDescent="0.2">
      <c r="B33" s="136" t="s">
        <v>121</v>
      </c>
      <c r="C33" s="166">
        <v>30</v>
      </c>
      <c r="D33" s="151" t="s">
        <v>166</v>
      </c>
      <c r="E33" s="150">
        <v>8</v>
      </c>
      <c r="F33" s="150"/>
      <c r="G33" s="165">
        <v>175</v>
      </c>
      <c r="H33" s="226">
        <f>+G33/E33</f>
        <v>21.875</v>
      </c>
      <c r="I33" s="227">
        <f>+(SUM($G$7:$G$1048576)/SUM($E$7:$E$1048576))*E33</f>
        <v>164.61496598639457</v>
      </c>
      <c r="J33" s="363">
        <f>+Tabla2[[#This Row],[PROM DE USUARIOS]]-Tabla2[[#This Row],[USUARIOS]]</f>
        <v>-10.385034013605434</v>
      </c>
      <c r="K33" s="151"/>
      <c r="L33" s="163">
        <f>Q33*635</f>
        <v>99450.503401360547</v>
      </c>
      <c r="M33" s="366">
        <f>+VLOOKUP(C33,Lista!B:D,3,0)</f>
        <v>0</v>
      </c>
      <c r="N33" s="164">
        <f t="shared" si="0"/>
        <v>10414.634146341463</v>
      </c>
      <c r="O33" s="164">
        <f>Tabla2[[#This Row],[USUARIOS]]*150</f>
        <v>26250</v>
      </c>
      <c r="P33" s="50">
        <f>+(E33*1)-W33</f>
        <v>8</v>
      </c>
      <c r="Q33" s="47">
        <f>+I33-P33-X33</f>
        <v>156.61496598639457</v>
      </c>
      <c r="R33" s="49">
        <f>+G33-P33</f>
        <v>167</v>
      </c>
      <c r="S33" s="51">
        <f>+E33*$T$3</f>
        <v>156.61496598639457</v>
      </c>
      <c r="T33" s="46">
        <f t="shared" si="1"/>
        <v>86138.231292517012</v>
      </c>
      <c r="U33" t="str">
        <f>+IF(K33&lt;&gt;"",K33,"")</f>
        <v/>
      </c>
      <c r="V33">
        <f>+RANK(H33,$H$6:$H$1048576,1)</f>
        <v>31</v>
      </c>
      <c r="Z33" t="str">
        <f>TRIM(Tabla2[[#This Row],[CONDUCTOR]])</f>
        <v>AGUDELO GARCIA LLORDIN ELIAS</v>
      </c>
    </row>
    <row r="34" spans="2:26" x14ac:dyDescent="0.2">
      <c r="B34" s="136" t="s">
        <v>122</v>
      </c>
      <c r="C34" s="166">
        <v>31</v>
      </c>
      <c r="D34" s="151" t="s">
        <v>175</v>
      </c>
      <c r="E34" s="150">
        <v>10</v>
      </c>
      <c r="F34" s="150">
        <v>0</v>
      </c>
      <c r="G34" s="165">
        <v>208</v>
      </c>
      <c r="H34" s="226">
        <f>+G34/E34</f>
        <v>20.8</v>
      </c>
      <c r="I34" s="227">
        <f>+(SUM($G$7:$G$1048576)/SUM($E$7:$E$1048576))*E34</f>
        <v>205.76870748299319</v>
      </c>
      <c r="J34" s="363">
        <f>+Tabla2[[#This Row],[PROM DE USUARIOS]]-Tabla2[[#This Row],[USUARIOS]]</f>
        <v>-2.231292517006807</v>
      </c>
      <c r="K34" s="151" t="s">
        <v>188</v>
      </c>
      <c r="L34" s="163">
        <f>Q34*635</f>
        <v>124313.12925170068</v>
      </c>
      <c r="M34" s="366" t="str">
        <f>+VLOOKUP(C34,Lista!B:D,3,0)</f>
        <v>MICRO</v>
      </c>
      <c r="N34" s="164">
        <f t="shared" si="0"/>
        <v>10414.634146341463</v>
      </c>
      <c r="O34" s="164">
        <f>Tabla2[[#This Row],[USUARIOS]]*150</f>
        <v>31200</v>
      </c>
      <c r="P34" s="50">
        <f>+(E34*1)-W34</f>
        <v>10</v>
      </c>
      <c r="Q34" s="47">
        <f>+I34-P34-X34</f>
        <v>195.76870748299319</v>
      </c>
      <c r="R34" s="49">
        <f>+G34-P34</f>
        <v>198</v>
      </c>
      <c r="S34" s="51">
        <f>+E34*$T$3</f>
        <v>195.76870748299319</v>
      </c>
      <c r="T34" s="46">
        <f t="shared" si="1"/>
        <v>107672.78911564626</v>
      </c>
      <c r="U34" t="str">
        <f>+IF(K34&lt;&gt;"",K34,"")</f>
        <v xml:space="preserve">1 Descuento (Despachador) </v>
      </c>
      <c r="V34">
        <f>+RANK(H34,$H$6:$H$1048576,1)</f>
        <v>23</v>
      </c>
      <c r="Z34" t="str">
        <f>TRIM(Tabla2[[#This Row],[CONDUCTOR]])</f>
        <v>FRANCO CARVAJAL GERARDO ANTONIO</v>
      </c>
    </row>
    <row r="35" spans="2:26" x14ac:dyDescent="0.2">
      <c r="B35" s="136" t="s">
        <v>121</v>
      </c>
      <c r="C35" s="166">
        <v>32</v>
      </c>
      <c r="D35" s="151" t="s">
        <v>168</v>
      </c>
      <c r="E35" s="150">
        <v>10</v>
      </c>
      <c r="F35" s="150">
        <v>0</v>
      </c>
      <c r="G35" s="146">
        <v>215</v>
      </c>
      <c r="H35" s="226">
        <f>+G35/E35</f>
        <v>21.5</v>
      </c>
      <c r="I35" s="364">
        <f>+(SUM($G$7:$G$1048576)/SUM($E$7:$E$1048576))*E35</f>
        <v>205.76870748299319</v>
      </c>
      <c r="J35" s="363">
        <f>+Tabla2[[#This Row],[PROM DE USUARIOS]]-Tabla2[[#This Row],[USUARIOS]]</f>
        <v>-9.231292517006807</v>
      </c>
      <c r="K35" s="151"/>
      <c r="L35" s="163">
        <f>Q35*635</f>
        <v>124313.12925170068</v>
      </c>
      <c r="M35" s="366" t="str">
        <f>+VLOOKUP(C35,Lista!B:D,3,0)</f>
        <v>MICRO</v>
      </c>
      <c r="N35" s="164">
        <f t="shared" si="0"/>
        <v>10414.634146341463</v>
      </c>
      <c r="O35" s="164">
        <f>Tabla2[[#This Row],[USUARIOS]]*150</f>
        <v>32250</v>
      </c>
      <c r="P35" s="50">
        <f>+(E35*1)-W35</f>
        <v>10</v>
      </c>
      <c r="Q35" s="47">
        <f>+I35-P35-X35</f>
        <v>195.76870748299319</v>
      </c>
      <c r="R35" s="49">
        <f>+G35-P35</f>
        <v>205</v>
      </c>
      <c r="S35" s="51">
        <f>+E35*$T$3</f>
        <v>195.76870748299319</v>
      </c>
      <c r="T35" s="46">
        <f t="shared" si="1"/>
        <v>107672.78911564626</v>
      </c>
      <c r="U35" t="str">
        <f>+IF(K35&lt;&gt;"",K35,"")</f>
        <v/>
      </c>
      <c r="V35">
        <f>+RANK(H35,$H$6:$H$1048576,1)</f>
        <v>27</v>
      </c>
      <c r="Z35" t="str">
        <f>TRIM(Tabla2[[#This Row],[CONDUCTOR]])</f>
        <v>TORRES JUAN DIEGO</v>
      </c>
    </row>
    <row r="36" spans="2:26" x14ac:dyDescent="0.2">
      <c r="B36" s="136" t="s">
        <v>122</v>
      </c>
      <c r="C36" s="166">
        <v>33</v>
      </c>
      <c r="D36" s="151" t="s">
        <v>185</v>
      </c>
      <c r="E36" s="150">
        <v>8</v>
      </c>
      <c r="F36" s="150">
        <v>0</v>
      </c>
      <c r="G36" s="146">
        <v>137</v>
      </c>
      <c r="H36" s="226">
        <f>+G36/E36</f>
        <v>17.125</v>
      </c>
      <c r="I36" s="364">
        <f>+(SUM($G$7:$G$1048576)/SUM($E$7:$E$1048576))*E36</f>
        <v>164.61496598639457</v>
      </c>
      <c r="J36" s="363">
        <f>+Tabla2[[#This Row],[PROM DE USUARIOS]]-Tabla2[[#This Row],[USUARIOS]]</f>
        <v>27.614965986394566</v>
      </c>
      <c r="K36" s="151" t="s">
        <v>188</v>
      </c>
      <c r="L36" s="163">
        <f>Q36*635</f>
        <v>99450.503401360547</v>
      </c>
      <c r="M36" s="366" t="str">
        <f>+VLOOKUP(C36,Lista!B:D,3,0)</f>
        <v>MICRO</v>
      </c>
      <c r="N36" s="164">
        <f t="shared" si="0"/>
        <v>10414.634146341463</v>
      </c>
      <c r="O36" s="164">
        <f>Tabla2[[#This Row],[USUARIOS]]*150</f>
        <v>20550</v>
      </c>
      <c r="P36" s="50">
        <f>+(E36*1)-W36</f>
        <v>8</v>
      </c>
      <c r="Q36" s="47">
        <f>+I36-P36-X36</f>
        <v>156.61496598639457</v>
      </c>
      <c r="R36" s="49">
        <f>+G36-P36</f>
        <v>129</v>
      </c>
      <c r="S36" s="51">
        <f>+E36*$T$3</f>
        <v>156.61496598639457</v>
      </c>
      <c r="T36" s="46">
        <f t="shared" si="1"/>
        <v>86138.231292517012</v>
      </c>
      <c r="U36" t="str">
        <f>+IF(K36&lt;&gt;"",K36,"")</f>
        <v xml:space="preserve">1 Descuento (Despachador) </v>
      </c>
      <c r="V36">
        <f>+RANK(H36,$H$6:$H$1048576,1)</f>
        <v>5</v>
      </c>
      <c r="Z36" t="str">
        <f>TRIM(Tabla2[[#This Row],[CONDUCTOR]])</f>
        <v>MARULANDA JARAMILLO DAWER ANDRES</v>
      </c>
    </row>
    <row r="37" spans="2:26" x14ac:dyDescent="0.2">
      <c r="B37" s="136" t="s">
        <v>121</v>
      </c>
      <c r="C37" s="166">
        <v>34</v>
      </c>
      <c r="D37" s="151" t="s">
        <v>178</v>
      </c>
      <c r="E37" s="150">
        <v>12</v>
      </c>
      <c r="F37" s="150">
        <v>0</v>
      </c>
      <c r="G37" s="165">
        <v>254</v>
      </c>
      <c r="H37" s="226">
        <f>+G37/E37</f>
        <v>21.166666666666668</v>
      </c>
      <c r="I37" s="227">
        <f>+(SUM($G$7:$G$1048576)/SUM($E$7:$E$1048576))*E37</f>
        <v>246.92244897959185</v>
      </c>
      <c r="J37" s="363">
        <f>+Tabla2[[#This Row],[PROM DE USUARIOS]]-Tabla2[[#This Row],[USUARIOS]]</f>
        <v>-7.0775510204081513</v>
      </c>
      <c r="K37" s="151" t="s">
        <v>188</v>
      </c>
      <c r="L37" s="163">
        <f>Q37*635</f>
        <v>149175.75510204083</v>
      </c>
      <c r="M37" s="366" t="str">
        <f>+VLOOKUP(C37,Lista!B:D,3,0)</f>
        <v>MICRO</v>
      </c>
      <c r="N37" s="164">
        <f t="shared" si="0"/>
        <v>10414.634146341463</v>
      </c>
      <c r="O37" s="164">
        <f>Tabla2[[#This Row],[USUARIOS]]*150</f>
        <v>38100</v>
      </c>
      <c r="P37" s="50">
        <f>+(E37*1)-W37</f>
        <v>12</v>
      </c>
      <c r="Q37" s="47">
        <f>+I37-P37-X37</f>
        <v>234.92244897959185</v>
      </c>
      <c r="R37" s="49">
        <f>+G37-P37</f>
        <v>242</v>
      </c>
      <c r="S37" s="51">
        <f>+E37*$T$3</f>
        <v>234.92244897959185</v>
      </c>
      <c r="T37" s="46">
        <f t="shared" si="1"/>
        <v>129207.34693877552</v>
      </c>
      <c r="U37" t="str">
        <f>+IF(K37&lt;&gt;"",K37,"")</f>
        <v xml:space="preserve">1 Descuento (Despachador) </v>
      </c>
      <c r="V37">
        <f>+RANK(H37,$H$6:$H$1048576,1)</f>
        <v>25</v>
      </c>
      <c r="Z37" t="str">
        <f>TRIM(Tabla2[[#This Row],[CONDUCTOR]])</f>
        <v>MONTOYA OSPINA GILBERTO ANTONIO</v>
      </c>
    </row>
    <row r="38" spans="2:26" x14ac:dyDescent="0.2">
      <c r="B38" s="136" t="s">
        <v>122</v>
      </c>
      <c r="C38" s="166">
        <v>35</v>
      </c>
      <c r="D38" s="151" t="s">
        <v>155</v>
      </c>
      <c r="E38" s="150">
        <v>11</v>
      </c>
      <c r="F38" s="150">
        <v>0</v>
      </c>
      <c r="G38" s="146">
        <v>236</v>
      </c>
      <c r="H38" s="226">
        <f>+G38/E38</f>
        <v>21.454545454545453</v>
      </c>
      <c r="I38" s="364">
        <f>+(SUM($G$7:$G$1048576)/SUM($E$7:$E$1048576))*E38</f>
        <v>226.34557823129254</v>
      </c>
      <c r="J38" s="363">
        <f>+Tabla2[[#This Row],[PROM DE USUARIOS]]-Tabla2[[#This Row],[USUARIOS]]</f>
        <v>-9.6544217687074649</v>
      </c>
      <c r="K38" s="151" t="s">
        <v>191</v>
      </c>
      <c r="L38" s="163">
        <f>Q38*635</f>
        <v>136744.44217687077</v>
      </c>
      <c r="M38" s="366">
        <f>+VLOOKUP(C38,Lista!B:D,3,0)</f>
        <v>0</v>
      </c>
      <c r="N38" s="164">
        <f t="shared" si="0"/>
        <v>10414.634146341463</v>
      </c>
      <c r="O38" s="164">
        <f>Tabla2[[#This Row],[USUARIOS]]*150</f>
        <v>35400</v>
      </c>
      <c r="P38" s="50">
        <f>+(E38*1)-W38</f>
        <v>11</v>
      </c>
      <c r="Q38" s="47">
        <f>+I38-P38-X38</f>
        <v>215.34557823129254</v>
      </c>
      <c r="R38" s="49">
        <f>+G38-P38</f>
        <v>225</v>
      </c>
      <c r="S38" s="51">
        <f>+E38*$T$3</f>
        <v>215.34557823129254</v>
      </c>
      <c r="T38" s="46">
        <f t="shared" si="1"/>
        <v>118440.06802721089</v>
      </c>
      <c r="U38" t="str">
        <f>+IF(K38&lt;&gt;"",K38,"")</f>
        <v xml:space="preserve">2 Descuentos (Usuarios desubicados) </v>
      </c>
      <c r="V38">
        <f>+RANK(H38,$H$6:$H$1048576,1)</f>
        <v>26</v>
      </c>
      <c r="Z38" t="str">
        <f>TRIM(Tabla2[[#This Row],[CONDUCTOR]])</f>
        <v>AGUDELO GARCIA DENIN ANGELO</v>
      </c>
    </row>
    <row r="39" spans="2:26" x14ac:dyDescent="0.2">
      <c r="B39" s="136" t="s">
        <v>121</v>
      </c>
      <c r="C39" s="166">
        <v>36</v>
      </c>
      <c r="D39" s="151" t="s">
        <v>161</v>
      </c>
      <c r="E39" s="150">
        <v>10</v>
      </c>
      <c r="F39" s="150">
        <v>0</v>
      </c>
      <c r="G39" s="146">
        <v>233</v>
      </c>
      <c r="H39" s="226">
        <f>+G39/E39</f>
        <v>23.3</v>
      </c>
      <c r="I39" s="364">
        <f>+(SUM($G$7:$G$1048576)/SUM($E$7:$E$1048576))*E39</f>
        <v>205.76870748299319</v>
      </c>
      <c r="J39" s="363">
        <f>+Tabla2[[#This Row],[PROM DE USUARIOS]]-Tabla2[[#This Row],[USUARIOS]]</f>
        <v>-27.231292517006807</v>
      </c>
      <c r="K39" s="151"/>
      <c r="L39" s="163">
        <f>Q39*635</f>
        <v>124313.12925170068</v>
      </c>
      <c r="M39" s="366" t="str">
        <f>+VLOOKUP(C39,Lista!B:D,3,0)</f>
        <v>MICRO</v>
      </c>
      <c r="N39" s="164">
        <f t="shared" si="0"/>
        <v>10414.634146341463</v>
      </c>
      <c r="O39" s="164">
        <f>Tabla2[[#This Row],[USUARIOS]]*150</f>
        <v>34950</v>
      </c>
      <c r="P39" s="50">
        <f>+(E39*1)-W39</f>
        <v>10</v>
      </c>
      <c r="Q39" s="47">
        <f>+I39-P39-X39</f>
        <v>195.76870748299319</v>
      </c>
      <c r="R39" s="49">
        <f>+G39-P39</f>
        <v>223</v>
      </c>
      <c r="S39" s="51">
        <f>+E39*$T$3</f>
        <v>195.76870748299319</v>
      </c>
      <c r="T39" s="46">
        <f t="shared" si="1"/>
        <v>107672.78911564626</v>
      </c>
      <c r="U39" t="str">
        <f>+IF(K39&lt;&gt;"",K39,"")</f>
        <v/>
      </c>
      <c r="V39">
        <f>+RANK(H39,$H$6:$H$1048576,1)</f>
        <v>37</v>
      </c>
      <c r="Z39" t="str">
        <f>TRIM(Tabla2[[#This Row],[CONDUCTOR]])</f>
        <v>MARTINEZ CHAVERRA LUIS NORBERTO</v>
      </c>
    </row>
    <row r="40" spans="2:26" x14ac:dyDescent="0.2">
      <c r="B40" s="136" t="s">
        <v>122</v>
      </c>
      <c r="C40" s="166">
        <v>37</v>
      </c>
      <c r="D40" s="151" t="s">
        <v>157</v>
      </c>
      <c r="E40" s="150">
        <v>9</v>
      </c>
      <c r="F40" s="150">
        <v>0</v>
      </c>
      <c r="G40" s="165">
        <v>176</v>
      </c>
      <c r="H40" s="226">
        <f>+G40/E40</f>
        <v>19.555555555555557</v>
      </c>
      <c r="I40" s="227">
        <f>+(SUM($G$7:$G$1048576)/SUM($E$7:$E$1048576))*E40</f>
        <v>185.19183673469388</v>
      </c>
      <c r="J40" s="363">
        <f>+Tabla2[[#This Row],[PROM DE USUARIOS]]-Tabla2[[#This Row],[USUARIOS]]</f>
        <v>9.1918367346938794</v>
      </c>
      <c r="K40" s="151"/>
      <c r="L40" s="163">
        <f>Q40*635</f>
        <v>111881.81632653061</v>
      </c>
      <c r="M40" s="366">
        <f>+VLOOKUP(C40,Lista!B:D,3,0)</f>
        <v>0</v>
      </c>
      <c r="N40" s="164">
        <f t="shared" si="0"/>
        <v>10414.634146341463</v>
      </c>
      <c r="O40" s="164">
        <f>Tabla2[[#This Row],[USUARIOS]]*150</f>
        <v>26400</v>
      </c>
      <c r="P40" s="50">
        <f>+(E40*1)-W40</f>
        <v>9</v>
      </c>
      <c r="Q40" s="47">
        <f>+I40-P40-X40</f>
        <v>176.19183673469388</v>
      </c>
      <c r="R40" s="49">
        <f>+G40-P40</f>
        <v>167</v>
      </c>
      <c r="S40" s="51">
        <f>+E40*$T$3</f>
        <v>176.19183673469388</v>
      </c>
      <c r="T40" s="46">
        <f t="shared" si="1"/>
        <v>96905.510204081627</v>
      </c>
      <c r="U40" t="str">
        <f>+IF(K40&lt;&gt;"",K40,"")</f>
        <v/>
      </c>
      <c r="V40">
        <f>+RANK(H40,$H$6:$H$1048576,1)</f>
        <v>17</v>
      </c>
      <c r="Z40" t="str">
        <f>TRIM(Tabla2[[#This Row],[CONDUCTOR]])</f>
        <v>TABORDA ROJAS DIEGO ALEJANDRO</v>
      </c>
    </row>
    <row r="41" spans="2:26" x14ac:dyDescent="0.2">
      <c r="B41" s="136" t="s">
        <v>122</v>
      </c>
      <c r="C41" s="166">
        <v>38</v>
      </c>
      <c r="D41" s="151" t="s">
        <v>186</v>
      </c>
      <c r="E41" s="150">
        <v>9</v>
      </c>
      <c r="F41" s="150">
        <v>0</v>
      </c>
      <c r="G41" s="146">
        <v>182</v>
      </c>
      <c r="H41" s="226">
        <f t="shared" ref="H41:H47" si="2">+G41/E41</f>
        <v>20.222222222222221</v>
      </c>
      <c r="I41" s="227">
        <f t="shared" ref="I41:I47" si="3">+(SUM($G$7:$G$1048576)/SUM($E$7:$E$1048576))*E41</f>
        <v>185.19183673469388</v>
      </c>
      <c r="J41" s="363">
        <f>+Tabla2[[#This Row],[PROM DE USUARIOS]]-Tabla2[[#This Row],[USUARIOS]]</f>
        <v>3.1918367346938794</v>
      </c>
      <c r="K41" s="151"/>
      <c r="L41" s="163">
        <f t="shared" ref="L41:L47" si="4">Q41*635</f>
        <v>111881.81632653061</v>
      </c>
      <c r="M41" s="366" t="str">
        <f>+VLOOKUP(C41,Lista!B:D,3,0)</f>
        <v>MICRO</v>
      </c>
      <c r="N41" s="164">
        <f t="shared" si="0"/>
        <v>10414.634146341463</v>
      </c>
      <c r="O41" s="164">
        <f>Tabla2[[#This Row],[USUARIOS]]*150</f>
        <v>27300</v>
      </c>
      <c r="P41" s="50">
        <f>+(E41*1)-W41</f>
        <v>9</v>
      </c>
      <c r="Q41" s="47">
        <f>+I41-P41-X41</f>
        <v>176.19183673469388</v>
      </c>
      <c r="R41" s="49">
        <f>+G41-P41</f>
        <v>173</v>
      </c>
      <c r="S41" s="51">
        <f>+E41*$T$3</f>
        <v>176.19183673469388</v>
      </c>
      <c r="T41" s="46">
        <f t="shared" ref="T41:T47" si="5">+S41*550</f>
        <v>96905.510204081627</v>
      </c>
      <c r="U41" t="str">
        <f>+IF(K41&lt;&gt;"",K41,"")</f>
        <v/>
      </c>
      <c r="V41">
        <f>+RANK(H41,$H$6:$H$1048576,1)</f>
        <v>20</v>
      </c>
      <c r="Z41" t="str">
        <f>TRIM(Tabla2[[#This Row],[CONDUCTOR]])</f>
        <v>GONZALEZ IPUANA RENE</v>
      </c>
    </row>
    <row r="42" spans="2:26" x14ac:dyDescent="0.2">
      <c r="B42" s="136" t="s">
        <v>121</v>
      </c>
      <c r="C42" s="166">
        <v>39</v>
      </c>
      <c r="D42" s="151" t="s">
        <v>151</v>
      </c>
      <c r="E42" s="150">
        <v>9</v>
      </c>
      <c r="F42" s="150">
        <v>0</v>
      </c>
      <c r="G42" s="146">
        <v>161</v>
      </c>
      <c r="H42" s="226">
        <f t="shared" si="2"/>
        <v>17.888888888888889</v>
      </c>
      <c r="I42" s="227">
        <f t="shared" si="3"/>
        <v>185.19183673469388</v>
      </c>
      <c r="J42" s="363">
        <f>+Tabla2[[#This Row],[PROM DE USUARIOS]]-Tabla2[[#This Row],[USUARIOS]]</f>
        <v>24.191836734693879</v>
      </c>
      <c r="K42" s="151"/>
      <c r="L42" s="163">
        <f t="shared" si="4"/>
        <v>111881.81632653061</v>
      </c>
      <c r="M42" s="366" t="str">
        <f>+VLOOKUP(C42,Lista!B:D,3,0)</f>
        <v>MICRO</v>
      </c>
      <c r="N42" s="164">
        <f t="shared" si="0"/>
        <v>10414.634146341463</v>
      </c>
      <c r="O42" s="164">
        <f>Tabla2[[#This Row],[USUARIOS]]*150</f>
        <v>24150</v>
      </c>
      <c r="P42" s="50">
        <f>+(E42*1)-W42</f>
        <v>9</v>
      </c>
      <c r="Q42" s="47">
        <f>+I42-P42-X42</f>
        <v>176.19183673469388</v>
      </c>
      <c r="R42" s="49">
        <f>+G42-P42</f>
        <v>152</v>
      </c>
      <c r="S42" s="51">
        <f>+E42*$T$3</f>
        <v>176.19183673469388</v>
      </c>
      <c r="T42" s="46">
        <f t="shared" si="5"/>
        <v>96905.510204081627</v>
      </c>
      <c r="U42" t="str">
        <f>+IF(K42&lt;&gt;"",K42,"")</f>
        <v/>
      </c>
      <c r="V42">
        <f>+RANK(H42,$H$6:$H$1048576,1)</f>
        <v>8</v>
      </c>
      <c r="Z42" t="str">
        <f>TRIM(Tabla2[[#This Row],[CONDUCTOR]])</f>
        <v>PALMAR PANA EDIXON JOSUE</v>
      </c>
    </row>
    <row r="43" spans="2:26" x14ac:dyDescent="0.2">
      <c r="B43" s="136" t="s">
        <v>122</v>
      </c>
      <c r="C43" s="166">
        <v>40</v>
      </c>
      <c r="D43" s="151" t="s">
        <v>162</v>
      </c>
      <c r="E43" s="150">
        <v>9</v>
      </c>
      <c r="F43" s="150">
        <v>0</v>
      </c>
      <c r="G43" s="146">
        <v>172</v>
      </c>
      <c r="H43" s="226">
        <f t="shared" si="2"/>
        <v>19.111111111111111</v>
      </c>
      <c r="I43" s="227">
        <f t="shared" si="3"/>
        <v>185.19183673469388</v>
      </c>
      <c r="J43" s="363">
        <f>+Tabla2[[#This Row],[PROM DE USUARIOS]]-Tabla2[[#This Row],[USUARIOS]]</f>
        <v>13.191836734693879</v>
      </c>
      <c r="K43" s="151"/>
      <c r="L43" s="163">
        <f t="shared" si="4"/>
        <v>111881.81632653061</v>
      </c>
      <c r="M43" s="366" t="str">
        <f>+VLOOKUP(C43,Lista!B:D,3,0)</f>
        <v>MICRO</v>
      </c>
      <c r="N43" s="164">
        <f t="shared" si="0"/>
        <v>10414.634146341463</v>
      </c>
      <c r="O43" s="164">
        <f>Tabla2[[#This Row],[USUARIOS]]*150</f>
        <v>25800</v>
      </c>
      <c r="P43" s="50">
        <f>+(E43*1)-W43</f>
        <v>9</v>
      </c>
      <c r="Q43" s="47">
        <f>+I43-P43-X43</f>
        <v>176.19183673469388</v>
      </c>
      <c r="R43" s="49">
        <f>+G43-P43</f>
        <v>163</v>
      </c>
      <c r="S43" s="51">
        <f>+E43*$T$3</f>
        <v>176.19183673469388</v>
      </c>
      <c r="T43" s="46">
        <f t="shared" si="5"/>
        <v>96905.510204081627</v>
      </c>
      <c r="U43" t="str">
        <f>+IF(K43&lt;&gt;"",K43,"")</f>
        <v/>
      </c>
      <c r="V43">
        <f>+RANK(H43,$H$6:$H$1048576,1)</f>
        <v>13</v>
      </c>
      <c r="Z43" t="str">
        <f>TRIM(Tabla2[[#This Row],[CONDUCTOR]])</f>
        <v>JARAMILLO JARAMILLO FRANCISCO WBEIMAR</v>
      </c>
    </row>
    <row r="44" spans="2:26" x14ac:dyDescent="0.2">
      <c r="B44" s="136" t="s">
        <v>121</v>
      </c>
      <c r="C44" s="166">
        <v>41</v>
      </c>
      <c r="D44" s="151" t="s">
        <v>174</v>
      </c>
      <c r="E44" s="150">
        <v>9.5</v>
      </c>
      <c r="F44" s="150">
        <v>0.5</v>
      </c>
      <c r="G44" s="146">
        <v>206</v>
      </c>
      <c r="H44" s="226">
        <f t="shared" si="2"/>
        <v>21.684210526315791</v>
      </c>
      <c r="I44" s="227">
        <f t="shared" si="3"/>
        <v>195.48027210884354</v>
      </c>
      <c r="J44" s="363">
        <f>+Tabla2[[#This Row],[PROM DE USUARIOS]]-Tabla2[[#This Row],[USUARIOS]]</f>
        <v>-10.519727891156464</v>
      </c>
      <c r="K44" s="151" t="s">
        <v>192</v>
      </c>
      <c r="L44" s="163">
        <f t="shared" si="4"/>
        <v>118097.47278911565</v>
      </c>
      <c r="M44" s="366">
        <f>+VLOOKUP(C44,Lista!B:D,3,0)</f>
        <v>0</v>
      </c>
      <c r="N44" s="164">
        <f t="shared" si="0"/>
        <v>10414.634146341463</v>
      </c>
      <c r="O44" s="164">
        <f>Tabla2[[#This Row],[USUARIOS]]*150</f>
        <v>30900</v>
      </c>
      <c r="P44" s="50">
        <f>+(E44*1)-W44</f>
        <v>9.5</v>
      </c>
      <c r="Q44" s="47">
        <f>+I44-P44-X44</f>
        <v>185.98027210884354</v>
      </c>
      <c r="R44" s="49">
        <f>+G44-P44</f>
        <v>196.5</v>
      </c>
      <c r="S44" s="51">
        <f>+E44*$T$3</f>
        <v>185.98027210884354</v>
      </c>
      <c r="T44" s="46">
        <f t="shared" si="5"/>
        <v>102289.14965986395</v>
      </c>
      <c r="U44" t="str">
        <f>+IF(K44&lt;&gt;"",K44,"")</f>
        <v xml:space="preserve">4 Descuentos (Aseguradora) </v>
      </c>
      <c r="V44">
        <f>+RANK(H44,$H$6:$H$1048576,1)</f>
        <v>28</v>
      </c>
      <c r="Z44" t="str">
        <f>TRIM(Tabla2[[#This Row],[CONDUCTOR]])</f>
        <v>RUA CHAVARRIA YEFERSON ANDREY</v>
      </c>
    </row>
    <row r="45" spans="2:26" x14ac:dyDescent="0.2">
      <c r="B45" s="136" t="s">
        <v>122</v>
      </c>
      <c r="C45" s="166">
        <v>42</v>
      </c>
      <c r="D45" s="151" t="s">
        <v>163</v>
      </c>
      <c r="E45" s="150">
        <v>6</v>
      </c>
      <c r="F45" s="150">
        <v>0</v>
      </c>
      <c r="G45" s="165">
        <v>86</v>
      </c>
      <c r="H45" s="226">
        <f t="shared" si="2"/>
        <v>14.333333333333334</v>
      </c>
      <c r="I45" s="227">
        <f t="shared" si="3"/>
        <v>123.46122448979592</v>
      </c>
      <c r="J45" s="363">
        <f>+Tabla2[[#This Row],[PROM DE USUARIOS]]-Tabla2[[#This Row],[USUARIOS]]</f>
        <v>37.461224489795924</v>
      </c>
      <c r="K45" s="151"/>
      <c r="L45" s="163">
        <f t="shared" si="4"/>
        <v>74587.877551020414</v>
      </c>
      <c r="M45" s="366">
        <f>+VLOOKUP(C45,Lista!B:D,3,0)</f>
        <v>0</v>
      </c>
      <c r="N45" s="164">
        <f t="shared" si="0"/>
        <v>10414.634146341463</v>
      </c>
      <c r="O45" s="164">
        <f>Tabla2[[#This Row],[USUARIOS]]*150</f>
        <v>12900</v>
      </c>
      <c r="P45" s="50">
        <f>+(E45*1)-W45</f>
        <v>6</v>
      </c>
      <c r="Q45" s="47">
        <f>+I45-P45-X45</f>
        <v>117.46122448979592</v>
      </c>
      <c r="R45" s="49">
        <f>+G45-P45</f>
        <v>80</v>
      </c>
      <c r="S45" s="51">
        <f>+E45*$T$3</f>
        <v>117.46122448979592</v>
      </c>
      <c r="T45" s="46">
        <f t="shared" si="5"/>
        <v>64603.673469387759</v>
      </c>
      <c r="U45" t="str">
        <f>+IF(K45&lt;&gt;"",K45,"")</f>
        <v/>
      </c>
      <c r="V45">
        <f>+RANK(H45,$H$6:$H$1048576,1)</f>
        <v>1</v>
      </c>
      <c r="Z45" t="str">
        <f>TRIM(Tabla2[[#This Row],[CONDUCTOR]])</f>
        <v>BETANCUR GUZMAN JHON FERNANDO</v>
      </c>
    </row>
    <row r="46" spans="2:26" x14ac:dyDescent="0.2">
      <c r="B46" s="136" t="s">
        <v>121</v>
      </c>
      <c r="C46" s="166">
        <v>43</v>
      </c>
      <c r="D46" s="151" t="s">
        <v>187</v>
      </c>
      <c r="E46" s="150">
        <v>12</v>
      </c>
      <c r="F46" s="150">
        <v>0</v>
      </c>
      <c r="G46" s="146">
        <v>262</v>
      </c>
      <c r="H46" s="226">
        <f t="shared" si="2"/>
        <v>21.833333333333332</v>
      </c>
      <c r="I46" s="227">
        <f t="shared" si="3"/>
        <v>246.92244897959185</v>
      </c>
      <c r="J46" s="363">
        <f>+Tabla2[[#This Row],[PROM DE USUARIOS]]-Tabla2[[#This Row],[USUARIOS]]</f>
        <v>-15.077551020408151</v>
      </c>
      <c r="K46" s="151"/>
      <c r="L46" s="163">
        <f t="shared" si="4"/>
        <v>149175.75510204083</v>
      </c>
      <c r="M46" s="366">
        <f>+VLOOKUP(C46,Lista!B:D,3,0)</f>
        <v>0</v>
      </c>
      <c r="N46" s="164">
        <f t="shared" si="0"/>
        <v>10414.634146341463</v>
      </c>
      <c r="O46" s="164">
        <f>Tabla2[[#This Row],[USUARIOS]]*150</f>
        <v>39300</v>
      </c>
      <c r="P46" s="50">
        <f>+(E46*1)-W46</f>
        <v>12</v>
      </c>
      <c r="Q46" s="47">
        <f>+I46-P46-X46</f>
        <v>234.92244897959185</v>
      </c>
      <c r="R46" s="49">
        <f>+G46-P46</f>
        <v>250</v>
      </c>
      <c r="S46" s="51">
        <f>+E46*$T$3</f>
        <v>234.92244897959185</v>
      </c>
      <c r="T46" s="46">
        <f t="shared" si="5"/>
        <v>129207.34693877552</v>
      </c>
      <c r="U46" t="str">
        <f>+IF(K46&lt;&gt;"",K46,"")</f>
        <v/>
      </c>
      <c r="V46">
        <f>+RANK(H46,$H$6:$H$1048576,1)</f>
        <v>29</v>
      </c>
      <c r="Z46" t="str">
        <f>TRIM(Tabla2[[#This Row],[CONDUCTOR]])</f>
        <v>MARIN GARCIA JUAN DANIEL</v>
      </c>
    </row>
    <row r="47" spans="2:26" x14ac:dyDescent="0.2">
      <c r="B47" s="136" t="s">
        <v>121</v>
      </c>
      <c r="C47" s="166">
        <v>44</v>
      </c>
      <c r="D47" s="151" t="s">
        <v>179</v>
      </c>
      <c r="E47" s="150">
        <v>12</v>
      </c>
      <c r="F47" s="150">
        <v>0</v>
      </c>
      <c r="G47" s="165">
        <v>215</v>
      </c>
      <c r="H47" s="226">
        <f t="shared" si="2"/>
        <v>17.916666666666668</v>
      </c>
      <c r="I47" s="227">
        <f t="shared" si="3"/>
        <v>246.92244897959185</v>
      </c>
      <c r="J47" s="363">
        <f>+Tabla2[[#This Row],[PROM DE USUARIOS]]-Tabla2[[#This Row],[USUARIOS]]</f>
        <v>31.922448979591849</v>
      </c>
      <c r="K47" s="151" t="s">
        <v>188</v>
      </c>
      <c r="L47" s="163">
        <f t="shared" si="4"/>
        <v>149175.75510204083</v>
      </c>
      <c r="M47" s="366">
        <f>+VLOOKUP(C47,Lista!B:D,3,0)</f>
        <v>0</v>
      </c>
      <c r="N47" s="164">
        <f t="shared" si="0"/>
        <v>10414.634146341463</v>
      </c>
      <c r="O47" s="164">
        <f>Tabla2[[#This Row],[USUARIOS]]*150</f>
        <v>32250</v>
      </c>
      <c r="P47" s="50">
        <f>+(E47*1)-W47</f>
        <v>12</v>
      </c>
      <c r="Q47" s="47">
        <f>+I47-P47-X47</f>
        <v>234.92244897959185</v>
      </c>
      <c r="R47" s="49">
        <f>+G47-P47</f>
        <v>203</v>
      </c>
      <c r="S47" s="51">
        <f>+E47*$T$3</f>
        <v>234.92244897959185</v>
      </c>
      <c r="T47" s="46">
        <f t="shared" si="5"/>
        <v>129207.34693877552</v>
      </c>
      <c r="U47" t="str">
        <f>+IF(K47&lt;&gt;"",K47,"")</f>
        <v xml:space="preserve">1 Descuento (Despachador) </v>
      </c>
      <c r="V47">
        <f>+RANK(H47,$H$6:$H$1048576,1)</f>
        <v>9</v>
      </c>
      <c r="Z47" t="str">
        <f>TRIM(Tabla2[[#This Row],[CONDUCTOR]])</f>
        <v>MARIN ALZATE KEVIN ANDRES</v>
      </c>
    </row>
    <row r="48" spans="2:26" x14ac:dyDescent="0.2">
      <c r="B48" s="232"/>
      <c r="C48" s="239">
        <f>SUBTOTAL(102,Tabla2[VEH])</f>
        <v>41</v>
      </c>
      <c r="D48" s="233" t="s">
        <v>127</v>
      </c>
      <c r="E48" s="234">
        <f>SUBTOTAL(109,Tabla2[VIAJES])</f>
        <v>367.5</v>
      </c>
      <c r="F48" s="234">
        <f>SUBTOTAL(109,Tabla2[VIAJES PERD.])</f>
        <v>1.5</v>
      </c>
      <c r="G48" s="240">
        <f>SUBTOTAL(109,Tabla2[USUARIOS])</f>
        <v>7562</v>
      </c>
      <c r="H48" s="374">
        <f>+Tabla2[[#Totals],[USUARIOS]]/Tabla2[[#Totals],[VIAJES]]</f>
        <v>20.576870748299321</v>
      </c>
      <c r="I48" s="240">
        <f>SUBTOTAL(109,Tabla2[PROM DE USUARIOS])</f>
        <v>7561.9999999999964</v>
      </c>
      <c r="J48" s="373">
        <f>SUBTOTAL(109,Tabla2[RECIBE / ENTREGA])</f>
        <v>2.1316282072803006E-13</v>
      </c>
      <c r="K48" s="235" t="s">
        <v>194</v>
      </c>
      <c r="L48" s="236"/>
      <c r="M48" s="237"/>
      <c r="N48" s="238">
        <f>SUBTOTAL(109,Tabla2[DIFER. MICRO - BUS ])</f>
        <v>427000.00000000017</v>
      </c>
      <c r="O48" s="238">
        <f>SUBTOTAL(109,Tabla2[FONDO (SIT) ])</f>
        <v>1134300</v>
      </c>
      <c r="P48" t="e">
        <f>+(#REF!*1)-W48</f>
        <v>#REF!</v>
      </c>
      <c r="Q48" s="134" t="e">
        <f>+#REF!-P48-X48</f>
        <v>#REF!</v>
      </c>
      <c r="R48" s="11" t="e">
        <f>+#REF!-P48</f>
        <v>#REF!</v>
      </c>
      <c r="S48" t="e">
        <f>+#REF!*$T$3</f>
        <v>#REF!</v>
      </c>
      <c r="T48" t="e">
        <f t="shared" ref="T48" si="6">+S48*550</f>
        <v>#REF!</v>
      </c>
      <c r="U48" t="e">
        <f>+IF(#REF!&lt;&gt;"",#REF!,"")</f>
        <v>#REF!</v>
      </c>
      <c r="V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7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 t="shared" ref="O50:O55" si="8">+(E111*1)-V50</f>
        <v>0</v>
      </c>
      <c r="P50" s="134">
        <f t="shared" ref="P50:P55" si="9">+I111-O50-W50</f>
        <v>0</v>
      </c>
      <c r="Q50" s="11">
        <f t="shared" ref="Q50:Q55" si="10">+G111-O50</f>
        <v>0</v>
      </c>
      <c r="R50">
        <f t="shared" ref="R50:R55" si="11">+E111*$T$3</f>
        <v>0</v>
      </c>
      <c r="S50">
        <f t="shared" ref="S50:S55" si="12">+R50*550</f>
        <v>0</v>
      </c>
      <c r="T50" t="str">
        <f t="shared" ref="T50:T55" si="13">+IF(K111&lt;&gt;"",K111,"")</f>
        <v/>
      </c>
      <c r="U50" t="e">
        <f t="shared" ref="U50:U55" si="14">+RANK(H111,$H$6:$H$1048576,1)</f>
        <v>#N/A</v>
      </c>
    </row>
    <row r="51" spans="2:21" x14ac:dyDescent="0.2">
      <c r="B51" s="245"/>
      <c r="C51" s="246"/>
      <c r="D51" s="247"/>
      <c r="E51" s="248"/>
      <c r="F51" s="248"/>
      <c r="G51" s="249"/>
      <c r="H51" s="250"/>
      <c r="I51" s="251"/>
      <c r="J51" s="341"/>
      <c r="K51" s="247"/>
      <c r="L51" s="252"/>
      <c r="M51" s="253"/>
      <c r="N51" s="203"/>
      <c r="O51">
        <f t="shared" si="8"/>
        <v>0</v>
      </c>
      <c r="P51" s="134">
        <f t="shared" si="9"/>
        <v>0</v>
      </c>
      <c r="Q51" s="11">
        <f t="shared" si="10"/>
        <v>0</v>
      </c>
      <c r="R51">
        <f t="shared" si="11"/>
        <v>0</v>
      </c>
      <c r="S51">
        <f t="shared" si="12"/>
        <v>0</v>
      </c>
      <c r="T51" t="str">
        <f t="shared" si="13"/>
        <v/>
      </c>
      <c r="U51" t="e">
        <f t="shared" si="14"/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 t="shared" si="8"/>
        <v>0</v>
      </c>
      <c r="P52" s="134">
        <f t="shared" si="9"/>
        <v>0</v>
      </c>
      <c r="Q52" s="11">
        <f t="shared" si="10"/>
        <v>0</v>
      </c>
      <c r="R52">
        <f t="shared" si="11"/>
        <v>0</v>
      </c>
      <c r="S52">
        <f t="shared" si="12"/>
        <v>0</v>
      </c>
      <c r="T52" t="str">
        <f t="shared" si="13"/>
        <v/>
      </c>
      <c r="U52" t="e">
        <f t="shared" si="14"/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 t="shared" si="8"/>
        <v>0</v>
      </c>
      <c r="P53" s="134">
        <f t="shared" si="9"/>
        <v>0</v>
      </c>
      <c r="Q53" s="11">
        <f t="shared" si="10"/>
        <v>0</v>
      </c>
      <c r="R53">
        <f t="shared" si="11"/>
        <v>0</v>
      </c>
      <c r="S53">
        <f t="shared" si="12"/>
        <v>0</v>
      </c>
      <c r="T53" t="str">
        <f t="shared" si="13"/>
        <v/>
      </c>
      <c r="U53" t="e">
        <f t="shared" si="14"/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 t="shared" si="8"/>
        <v>0</v>
      </c>
      <c r="P54" s="134">
        <f t="shared" si="9"/>
        <v>0</v>
      </c>
      <c r="Q54" s="11">
        <f t="shared" si="10"/>
        <v>0</v>
      </c>
      <c r="R54">
        <f t="shared" si="11"/>
        <v>0</v>
      </c>
      <c r="S54">
        <f t="shared" si="12"/>
        <v>0</v>
      </c>
      <c r="T54" t="str">
        <f t="shared" si="13"/>
        <v/>
      </c>
      <c r="U54" t="e">
        <f t="shared" si="14"/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 t="shared" si="8"/>
        <v>0</v>
      </c>
      <c r="P55" s="134">
        <f t="shared" si="9"/>
        <v>0</v>
      </c>
      <c r="Q55" s="11">
        <f t="shared" si="10"/>
        <v>0</v>
      </c>
      <c r="R55">
        <f t="shared" si="11"/>
        <v>0</v>
      </c>
      <c r="S55">
        <f t="shared" si="12"/>
        <v>0</v>
      </c>
      <c r="T55" t="str">
        <f t="shared" si="13"/>
        <v/>
      </c>
      <c r="U55" t="e">
        <f t="shared" si="14"/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55"/>
      <c r="D57" s="247"/>
      <c r="E57" s="248"/>
      <c r="F57" s="248"/>
      <c r="G57" s="199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5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5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5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5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+(E80*1)-V65</f>
        <v>0</v>
      </c>
      <c r="P65" s="134">
        <f>+I80-O65-W65</f>
        <v>0</v>
      </c>
      <c r="Q65" s="11">
        <f>+G80-O65</f>
        <v>0</v>
      </c>
      <c r="R65">
        <f>+E80*$T$3</f>
        <v>0</v>
      </c>
      <c r="S65">
        <f t="shared" si="15"/>
        <v>0</v>
      </c>
      <c r="T65" t="str">
        <f>+IF(K80&lt;&gt;"",K80,"")</f>
        <v/>
      </c>
      <c r="U65" t="e">
        <f>+RANK(H80,$H$6:$H$1048576,1)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+(E81*1)-V66</f>
        <v>0</v>
      </c>
      <c r="P66" s="134">
        <f>+I81-O66-W66</f>
        <v>0</v>
      </c>
      <c r="Q66" s="11">
        <f>+G81-O66</f>
        <v>0</v>
      </c>
      <c r="R66">
        <f>+E81*$T$3</f>
        <v>0</v>
      </c>
      <c r="S66">
        <f t="shared" si="15"/>
        <v>0</v>
      </c>
      <c r="T66" t="str">
        <f>+IF(K81&lt;&gt;"",K81,"")</f>
        <v/>
      </c>
      <c r="U66" t="e">
        <f>+RANK(H81,$H$6:$H$1048576,1)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+(E82*1)-V67</f>
        <v>0</v>
      </c>
      <c r="P67" s="134">
        <f>+I82-O67-W67</f>
        <v>0</v>
      </c>
      <c r="Q67" s="11">
        <f>+G82-O67</f>
        <v>0</v>
      </c>
      <c r="R67">
        <f>+E82*$T$3</f>
        <v>0</v>
      </c>
      <c r="S67">
        <f t="shared" si="15"/>
        <v>0</v>
      </c>
      <c r="T67" t="str">
        <f>+IF(K82&lt;&gt;"",K82,"")</f>
        <v/>
      </c>
      <c r="U67" t="e">
        <f>+RANK(H82,$H$6:$H$1048576,1)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+(E83*1)-V68</f>
        <v>0</v>
      </c>
      <c r="P68" s="134">
        <f>+I83-O68-W68</f>
        <v>0</v>
      </c>
      <c r="Q68" s="11">
        <f>+G83-O68</f>
        <v>0</v>
      </c>
      <c r="R68">
        <f>+E83*$T$3</f>
        <v>0</v>
      </c>
      <c r="S68">
        <f t="shared" si="15"/>
        <v>0</v>
      </c>
      <c r="T68" t="str">
        <f>+IF(K83&lt;&gt;"",K83,"")</f>
        <v/>
      </c>
      <c r="U68" t="e">
        <f>+RANK(H83,$H$6:$H$1048576,1)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+(E84*1)-V69</f>
        <v>0</v>
      </c>
      <c r="P69" s="134">
        <f>+I84-O69-W69</f>
        <v>0</v>
      </c>
      <c r="Q69" s="11">
        <f>+G84-O69</f>
        <v>0</v>
      </c>
      <c r="R69">
        <f>+E84*$T$3</f>
        <v>0</v>
      </c>
      <c r="S69">
        <f t="shared" si="15"/>
        <v>0</v>
      </c>
      <c r="T69" t="str">
        <f>+IF(K84&lt;&gt;"",K84,"")</f>
        <v/>
      </c>
      <c r="U69" t="e">
        <f>+RANK(H84,$H$6:$H$1048576,1)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51"/>
      <c r="J72" s="341"/>
      <c r="K72" s="247"/>
      <c r="L72" s="252"/>
      <c r="M72" s="253"/>
      <c r="N72" s="203"/>
    </row>
    <row r="73" spans="2:21" x14ac:dyDescent="0.2">
      <c r="B73" s="245"/>
      <c r="C73" s="255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6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03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03"/>
    </row>
    <row r="80" spans="2:21" x14ac:dyDescent="0.2">
      <c r="B80" s="245"/>
      <c r="C80" s="255"/>
      <c r="D80" s="247"/>
      <c r="E80" s="248"/>
      <c r="F80" s="248"/>
      <c r="G80" s="199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55"/>
      <c r="D81" s="247"/>
      <c r="E81" s="248"/>
      <c r="F81" s="248"/>
      <c r="G81" s="254"/>
      <c r="H81" s="257"/>
      <c r="I81" s="222"/>
      <c r="J81" s="343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55"/>
      <c r="D85" s="247"/>
      <c r="E85" s="248"/>
      <c r="F85" s="248"/>
      <c r="G85" s="199"/>
      <c r="H85" s="257"/>
      <c r="I85" s="222"/>
      <c r="J85" s="343"/>
      <c r="K85" s="247"/>
      <c r="L85" s="203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6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6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03"/>
      <c r="M93" s="253"/>
      <c r="N93" s="258"/>
    </row>
    <row r="94" spans="2:14" x14ac:dyDescent="0.2">
      <c r="B94" s="245"/>
      <c r="C94" s="255"/>
      <c r="D94" s="247"/>
      <c r="E94" s="248"/>
      <c r="F94" s="248"/>
      <c r="G94" s="199"/>
      <c r="H94" s="257"/>
      <c r="I94" s="222"/>
      <c r="J94" s="343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55"/>
      <c r="D99" s="247"/>
      <c r="E99" s="248"/>
      <c r="F99" s="248"/>
      <c r="G99" s="254"/>
      <c r="H99" s="259"/>
      <c r="I99" s="260"/>
      <c r="J99" s="344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03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6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55"/>
      <c r="D104" s="247"/>
      <c r="E104" s="248"/>
      <c r="F104" s="248"/>
      <c r="G104" s="199"/>
      <c r="H104" s="257"/>
      <c r="I104" s="222"/>
      <c r="J104" s="343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6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6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55"/>
      <c r="D118" s="247"/>
      <c r="E118" s="248"/>
      <c r="F118" s="248"/>
      <c r="G118" s="199"/>
      <c r="H118" s="257"/>
      <c r="I118" s="222"/>
      <c r="J118" s="343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6"/>
      <c r="H120" s="250"/>
      <c r="I120" s="221"/>
      <c r="J120" s="342"/>
      <c r="K120" s="247"/>
      <c r="L120" s="252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03"/>
      <c r="M121" s="253"/>
      <c r="N121" s="258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5"/>
      <c r="E124" s="248"/>
      <c r="F124" s="248"/>
      <c r="G124" s="261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7"/>
      <c r="I129" s="222"/>
      <c r="J129" s="343"/>
      <c r="K129" s="262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55"/>
      <c r="D131" s="247"/>
      <c r="E131" s="248"/>
      <c r="F131" s="248"/>
      <c r="G131" s="199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46"/>
      <c r="D137" s="247"/>
      <c r="E137" s="248"/>
      <c r="F137" s="248"/>
      <c r="G137" s="254"/>
      <c r="H137" s="25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58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03"/>
      <c r="M140" s="253"/>
      <c r="N140" s="258"/>
    </row>
    <row r="141" spans="2:14" x14ac:dyDescent="0.2">
      <c r="B141" s="245"/>
      <c r="C141" s="246"/>
      <c r="D141" s="247"/>
      <c r="E141" s="248"/>
      <c r="F141" s="248"/>
      <c r="G141" s="254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7"/>
      <c r="E143" s="248"/>
      <c r="F143" s="248"/>
      <c r="G143" s="199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55"/>
      <c r="D144" s="245"/>
      <c r="E144" s="248"/>
      <c r="F144" s="248"/>
      <c r="G144" s="201"/>
      <c r="H144" s="20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51"/>
      <c r="J158" s="341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7"/>
      <c r="E160" s="248"/>
      <c r="F160" s="248"/>
      <c r="G160" s="199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5"/>
      <c r="E163" s="248"/>
      <c r="F163" s="248"/>
      <c r="G163" s="201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55"/>
      <c r="D164" s="247"/>
      <c r="E164" s="248"/>
      <c r="F164" s="248"/>
      <c r="G164" s="199"/>
      <c r="H164" s="25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50"/>
      <c r="I165" s="221"/>
      <c r="J165" s="342"/>
      <c r="K165" s="247"/>
      <c r="L165" s="252"/>
      <c r="M165" s="253"/>
      <c r="N165" s="258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55"/>
      <c r="D175" s="247"/>
      <c r="E175" s="248"/>
      <c r="F175" s="248"/>
      <c r="G175" s="199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55"/>
      <c r="D179" s="247"/>
      <c r="E179" s="248"/>
      <c r="F179" s="248"/>
      <c r="G179" s="199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55"/>
      <c r="D184" s="247"/>
      <c r="E184" s="248"/>
      <c r="F184" s="248"/>
      <c r="G184" s="199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55"/>
      <c r="D194" s="247"/>
      <c r="E194" s="248"/>
      <c r="F194" s="248"/>
      <c r="G194" s="199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03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50"/>
      <c r="I196" s="221"/>
      <c r="J196" s="342"/>
      <c r="K196" s="247"/>
      <c r="L196" s="252"/>
      <c r="M196" s="253"/>
      <c r="N196" s="258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52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55"/>
      <c r="D207" s="247"/>
      <c r="E207" s="248"/>
      <c r="F207" s="248"/>
      <c r="G207" s="199"/>
      <c r="H207" s="244"/>
      <c r="I207" s="222"/>
      <c r="J207" s="343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55"/>
      <c r="D213" s="247"/>
      <c r="E213" s="248"/>
      <c r="F213" s="248"/>
      <c r="G213" s="199"/>
      <c r="H213" s="244"/>
      <c r="I213" s="222"/>
      <c r="J213" s="343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55"/>
      <c r="D218" s="247"/>
      <c r="E218" s="248"/>
      <c r="F218" s="248"/>
      <c r="G218" s="199"/>
      <c r="H218" s="244"/>
      <c r="I218" s="222"/>
      <c r="J218" s="343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03"/>
      <c r="M219" s="253"/>
      <c r="N219" s="203"/>
    </row>
    <row r="220" spans="2:14" x14ac:dyDescent="0.2">
      <c r="B220" s="245"/>
      <c r="C220" s="246"/>
      <c r="D220" s="245"/>
      <c r="E220" s="248"/>
      <c r="F220" s="248"/>
      <c r="G220" s="261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03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5"/>
      <c r="E226" s="248"/>
      <c r="F226" s="248"/>
      <c r="G226" s="261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55"/>
      <c r="D229" s="247"/>
      <c r="E229" s="248"/>
      <c r="F229" s="248"/>
      <c r="G229" s="261"/>
      <c r="H229" s="263"/>
      <c r="I229" s="260"/>
      <c r="J229" s="344"/>
      <c r="K229" s="247"/>
      <c r="L229" s="252"/>
      <c r="M229" s="253"/>
      <c r="N229" s="203"/>
    </row>
    <row r="230" spans="2:14" x14ac:dyDescent="0.2">
      <c r="B230" s="245"/>
      <c r="C230" s="246"/>
      <c r="D230" s="245"/>
      <c r="E230" s="248"/>
      <c r="F230" s="248"/>
      <c r="G230" s="261"/>
      <c r="H230" s="200"/>
      <c r="I230" s="221"/>
      <c r="J230" s="342"/>
      <c r="K230" s="245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44"/>
      <c r="I239" s="222"/>
      <c r="J239" s="343"/>
      <c r="K239" s="247"/>
      <c r="L239" s="252"/>
      <c r="M239" s="253"/>
      <c r="N239" s="203"/>
    </row>
    <row r="240" spans="2:14" x14ac:dyDescent="0.2">
      <c r="B240" s="245"/>
      <c r="C240" s="255"/>
      <c r="D240" s="247"/>
      <c r="E240" s="248"/>
      <c r="F240" s="248"/>
      <c r="G240" s="199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03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55"/>
      <c r="D263" s="247"/>
      <c r="E263" s="248"/>
      <c r="F263" s="248"/>
      <c r="G263" s="261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55"/>
      <c r="D265" s="245"/>
      <c r="E265" s="248"/>
      <c r="F265" s="248"/>
      <c r="G265" s="201"/>
      <c r="H265" s="200"/>
      <c r="I265" s="221"/>
      <c r="J265" s="342"/>
      <c r="K265" s="262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5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5"/>
      <c r="E269" s="248"/>
      <c r="F269" s="248"/>
      <c r="G269" s="261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55"/>
      <c r="D270" s="247"/>
      <c r="E270" s="248"/>
      <c r="F270" s="248"/>
      <c r="G270" s="199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0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55"/>
      <c r="D276" s="245"/>
      <c r="E276" s="248"/>
      <c r="F276" s="248"/>
      <c r="G276" s="261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7"/>
      <c r="E280" s="248"/>
      <c r="F280" s="248"/>
      <c r="G280" s="199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5"/>
      <c r="E281" s="248"/>
      <c r="F281" s="248"/>
      <c r="G281" s="26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5"/>
      <c r="E283" s="248"/>
      <c r="F283" s="248"/>
      <c r="G283" s="20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5"/>
      <c r="E286" s="248"/>
      <c r="F286" s="248"/>
      <c r="G286" s="261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55"/>
      <c r="D287" s="247"/>
      <c r="E287" s="248"/>
      <c r="F287" s="248"/>
      <c r="G287" s="199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0"/>
      <c r="I288" s="221"/>
      <c r="J288" s="342"/>
      <c r="K288" s="247"/>
      <c r="L288" s="252"/>
      <c r="M288" s="253"/>
      <c r="N288" s="203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4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4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5"/>
      <c r="E304" s="248"/>
      <c r="F304" s="248"/>
      <c r="G304" s="261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4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7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55"/>
      <c r="D377" s="247"/>
      <c r="E377" s="248"/>
      <c r="F377" s="248"/>
      <c r="G377" s="199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55"/>
      <c r="D383" s="247"/>
      <c r="E383" s="248"/>
      <c r="F383" s="248"/>
      <c r="G383" s="199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55"/>
      <c r="D388" s="247"/>
      <c r="E388" s="248"/>
      <c r="F388" s="248"/>
      <c r="G388" s="199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55"/>
      <c r="D395" s="247"/>
      <c r="E395" s="248"/>
      <c r="F395" s="248"/>
      <c r="G395" s="199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5"/>
      <c r="E409" s="248"/>
      <c r="F409" s="248"/>
      <c r="G409" s="261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55"/>
      <c r="D412" s="247"/>
      <c r="E412" s="248"/>
      <c r="F412" s="248"/>
      <c r="G412" s="199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55"/>
      <c r="D419" s="247"/>
      <c r="E419" s="248"/>
      <c r="F419" s="248"/>
      <c r="G419" s="199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5"/>
      <c r="E424" s="248"/>
      <c r="F424" s="248"/>
      <c r="G424" s="261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5"/>
      <c r="E431" s="248"/>
      <c r="F431" s="248"/>
      <c r="G431" s="261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4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5"/>
      <c r="E439" s="248"/>
      <c r="F439" s="248"/>
      <c r="G439" s="261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55"/>
      <c r="D448" s="247"/>
      <c r="E448" s="248"/>
      <c r="F448" s="248"/>
      <c r="G448" s="199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68"/>
      <c r="F452" s="268"/>
      <c r="G452" s="269"/>
      <c r="H452" s="270"/>
      <c r="I452" s="271"/>
      <c r="J452" s="346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55"/>
      <c r="D455" s="247"/>
      <c r="E455" s="248"/>
      <c r="F455" s="248"/>
      <c r="G455" s="199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5"/>
      <c r="E456" s="248"/>
      <c r="F456" s="248"/>
      <c r="G456" s="261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4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55"/>
      <c r="D468" s="247"/>
      <c r="E468" s="248"/>
      <c r="F468" s="248"/>
      <c r="G468" s="199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5"/>
      <c r="E491" s="248"/>
      <c r="F491" s="248"/>
      <c r="G491" s="261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4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4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55"/>
      <c r="D504" s="247"/>
      <c r="E504" s="248"/>
      <c r="F504" s="248"/>
      <c r="G504" s="199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4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7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5"/>
      <c r="E524" s="248"/>
      <c r="F524" s="272"/>
      <c r="G524" s="261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55"/>
      <c r="D531" s="247"/>
      <c r="E531" s="248"/>
      <c r="F531" s="248"/>
      <c r="G531" s="199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5"/>
      <c r="E541" s="248"/>
      <c r="F541" s="248"/>
      <c r="G541" s="261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55"/>
      <c r="D544" s="247"/>
      <c r="E544" s="248"/>
      <c r="F544" s="248"/>
      <c r="G544" s="199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5"/>
      <c r="E547" s="248"/>
      <c r="F547" s="248"/>
      <c r="G547" s="261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55"/>
      <c r="D550" s="247"/>
      <c r="E550" s="248"/>
      <c r="F550" s="248"/>
      <c r="G550" s="199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5"/>
      <c r="E559" s="248"/>
      <c r="F559" s="248"/>
      <c r="G559" s="261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55"/>
      <c r="D567" s="245"/>
      <c r="E567" s="248"/>
      <c r="F567" s="248"/>
      <c r="G567" s="201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5"/>
      <c r="E573" s="248"/>
      <c r="F573" s="248"/>
      <c r="G573" s="201"/>
      <c r="H573" s="202"/>
      <c r="I573" s="223"/>
      <c r="J573" s="345"/>
      <c r="K573" s="264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55"/>
      <c r="D586" s="247"/>
      <c r="E586" s="248"/>
      <c r="F586" s="248"/>
      <c r="G586" s="199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5"/>
      <c r="E595" s="248"/>
      <c r="F595" s="248"/>
      <c r="G595" s="261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55"/>
      <c r="D600" s="247"/>
      <c r="E600" s="248"/>
      <c r="F600" s="248"/>
      <c r="G600" s="199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55"/>
      <c r="D605" s="245"/>
      <c r="E605" s="248"/>
      <c r="F605" s="248"/>
      <c r="G605" s="201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4"/>
      <c r="L615" s="252"/>
      <c r="M615" s="253"/>
      <c r="N615" s="265"/>
    </row>
    <row r="616" spans="2:14" x14ac:dyDescent="0.2">
      <c r="B616" s="245"/>
      <c r="C616" s="255"/>
      <c r="D616" s="247"/>
      <c r="E616" s="248"/>
      <c r="F616" s="248"/>
      <c r="G616" s="199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5"/>
      <c r="E617" s="248"/>
      <c r="F617" s="248"/>
      <c r="G617" s="261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4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55"/>
      <c r="D624" s="245"/>
      <c r="E624" s="248"/>
      <c r="F624" s="248"/>
      <c r="G624" s="201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55"/>
      <c r="D635" s="247"/>
      <c r="E635" s="248"/>
      <c r="F635" s="248"/>
      <c r="G635" s="199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4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55"/>
      <c r="D643" s="247"/>
      <c r="E643" s="248"/>
      <c r="F643" s="248"/>
      <c r="G643" s="199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55"/>
      <c r="D658" s="247"/>
      <c r="E658" s="248"/>
      <c r="F658" s="248"/>
      <c r="G658" s="199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55"/>
      <c r="D674" s="247"/>
      <c r="E674" s="248"/>
      <c r="F674" s="248"/>
      <c r="G674" s="199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5"/>
      <c r="E678" s="248"/>
      <c r="F678" s="248"/>
      <c r="G678" s="261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55"/>
      <c r="D683" s="247"/>
      <c r="E683" s="248"/>
      <c r="F683" s="248"/>
      <c r="G683" s="199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5"/>
      <c r="E686" s="248"/>
      <c r="F686" s="248"/>
      <c r="G686" s="261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4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55"/>
      <c r="D702" s="245"/>
      <c r="E702" s="248"/>
      <c r="F702" s="248"/>
      <c r="G702" s="201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55"/>
      <c r="D709" s="247"/>
      <c r="E709" s="248"/>
      <c r="F709" s="248"/>
      <c r="G709" s="199"/>
      <c r="H709" s="202"/>
      <c r="I709" s="223"/>
      <c r="J709" s="345"/>
      <c r="K709" s="264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4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55"/>
      <c r="D729" s="247"/>
      <c r="E729" s="248"/>
      <c r="F729" s="248"/>
      <c r="G729" s="199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65"/>
    </row>
    <row r="741" spans="2:14" x14ac:dyDescent="0.2">
      <c r="B741" s="245"/>
      <c r="C741" s="255"/>
      <c r="D741" s="247"/>
      <c r="E741" s="248"/>
      <c r="F741" s="248"/>
      <c r="G741" s="199"/>
      <c r="H741" s="202"/>
      <c r="I741" s="223"/>
      <c r="J741" s="345"/>
      <c r="K741" s="266"/>
      <c r="L741" s="252"/>
      <c r="M741" s="253"/>
      <c r="N741" s="273"/>
    </row>
    <row r="742" spans="2:14" x14ac:dyDescent="0.2">
      <c r="B742" s="245"/>
      <c r="C742" s="255"/>
      <c r="D742" s="245"/>
      <c r="E742" s="248"/>
      <c r="F742" s="248"/>
      <c r="G742" s="201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55"/>
      <c r="D746" s="247"/>
      <c r="E746" s="248"/>
      <c r="F746" s="248"/>
      <c r="G746" s="199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4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55"/>
      <c r="D758" s="247"/>
      <c r="E758" s="248"/>
      <c r="F758" s="248"/>
      <c r="G758" s="199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5"/>
      <c r="E761" s="248"/>
      <c r="F761" s="248"/>
      <c r="G761" s="261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5"/>
      <c r="E766" s="248"/>
      <c r="F766" s="248"/>
      <c r="G766" s="26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55"/>
      <c r="D767" s="245"/>
      <c r="E767" s="248"/>
      <c r="F767" s="248"/>
      <c r="G767" s="201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55"/>
      <c r="D779" s="247"/>
      <c r="E779" s="248"/>
      <c r="F779" s="248"/>
      <c r="G779" s="254"/>
      <c r="H779" s="202"/>
      <c r="I779" s="223"/>
      <c r="J779" s="345"/>
      <c r="K779" s="264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5"/>
      <c r="E784" s="248"/>
      <c r="F784" s="248"/>
      <c r="G784" s="261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55"/>
      <c r="D787" s="247"/>
      <c r="E787" s="248"/>
      <c r="F787" s="248"/>
      <c r="G787" s="199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55"/>
      <c r="D793" s="247"/>
      <c r="E793" s="248"/>
      <c r="F793" s="248"/>
      <c r="G793" s="199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4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4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55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5"/>
      <c r="E809" s="248"/>
      <c r="F809" s="248"/>
      <c r="G809" s="261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55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55"/>
      <c r="D827" s="247"/>
      <c r="E827" s="248"/>
      <c r="F827" s="248"/>
      <c r="G827" s="199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5"/>
      <c r="E838" s="248"/>
      <c r="F838" s="248"/>
      <c r="G838" s="261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4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5"/>
      <c r="E847" s="248"/>
      <c r="F847" s="248"/>
      <c r="G847" s="261"/>
      <c r="H847" s="202"/>
      <c r="I847" s="223"/>
      <c r="J847" s="345"/>
      <c r="K847" s="264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7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55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55"/>
      <c r="D870" s="247"/>
      <c r="E870" s="248"/>
      <c r="F870" s="248"/>
      <c r="G870" s="199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199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55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74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5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199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46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7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199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199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46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199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55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46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199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46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199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199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199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199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199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199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199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199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5"/>
      <c r="E1016" s="248"/>
      <c r="F1016" s="248"/>
      <c r="G1016" s="26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01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4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01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01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5"/>
      <c r="E1049" s="248"/>
      <c r="F1049" s="248"/>
      <c r="G1049" s="261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5"/>
      <c r="E1062" s="248"/>
      <c r="F1062" s="248"/>
      <c r="G1062" s="261"/>
      <c r="H1062" s="202"/>
      <c r="I1062" s="223"/>
      <c r="J1062" s="345"/>
      <c r="K1062" s="264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03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5"/>
      <c r="E1090" s="275"/>
      <c r="F1090" s="275"/>
      <c r="G1090" s="205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199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5"/>
      <c r="E1098" s="248"/>
      <c r="F1098" s="248"/>
      <c r="G1098" s="205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199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199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03"/>
      <c r="M1119" s="253"/>
      <c r="N1119" s="203"/>
    </row>
    <row r="1120" spans="2:14" x14ac:dyDescent="0.2">
      <c r="B1120" s="245"/>
      <c r="C1120" s="255"/>
      <c r="D1120" s="245"/>
      <c r="E1120" s="248"/>
      <c r="F1120" s="248"/>
      <c r="G1120" s="205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199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5"/>
      <c r="E1129" s="248"/>
      <c r="F1129" s="248"/>
      <c r="G1129" s="206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76"/>
      <c r="D1140" s="276"/>
      <c r="E1140" s="248"/>
      <c r="F1140" s="277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5"/>
      <c r="E1142" s="248"/>
      <c r="F1142" s="248"/>
      <c r="G1142" s="201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4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5"/>
      <c r="E1149" s="248"/>
      <c r="F1149" s="248"/>
      <c r="G1149" s="261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74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199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61"/>
      <c r="H1156" s="202"/>
      <c r="I1156" s="223"/>
      <c r="J1156" s="345"/>
      <c r="K1156" s="266"/>
      <c r="L1156" s="252"/>
      <c r="M1156" s="253"/>
      <c r="N1156" s="203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5"/>
      <c r="E1164" s="275"/>
      <c r="F1164" s="275"/>
      <c r="G1164" s="205"/>
      <c r="H1164" s="202"/>
      <c r="I1164" s="223"/>
      <c r="J1164" s="345"/>
      <c r="K1164" s="274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199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74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199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5"/>
      <c r="E1191" s="248"/>
      <c r="F1191" s="248"/>
      <c r="G1191" s="261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199"/>
      <c r="H1192" s="202"/>
      <c r="I1192" s="223"/>
      <c r="J1192" s="345"/>
      <c r="K1192" s="274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66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199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199"/>
      <c r="H1202" s="202"/>
      <c r="I1202" s="223"/>
      <c r="J1202" s="345"/>
      <c r="K1202" s="278"/>
      <c r="L1202" s="252"/>
      <c r="M1202" s="253"/>
      <c r="N1202" s="204"/>
    </row>
    <row r="1203" spans="2:14" x14ac:dyDescent="0.2">
      <c r="B1203" s="245"/>
      <c r="C1203" s="255"/>
      <c r="D1203" s="245"/>
      <c r="E1203" s="275"/>
      <c r="F1203" s="275"/>
      <c r="G1203" s="205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199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5"/>
      <c r="E1211" s="248"/>
      <c r="F1211" s="248"/>
      <c r="G1211" s="205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01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48"/>
      <c r="F1217" s="248"/>
      <c r="G1217" s="206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5"/>
      <c r="E1219" s="275"/>
      <c r="F1219" s="275"/>
      <c r="G1219" s="205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199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199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80"/>
      <c r="D1234" s="281"/>
      <c r="E1234" s="275"/>
      <c r="F1234" s="275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03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199"/>
      <c r="H1238" s="202"/>
      <c r="I1238" s="223"/>
      <c r="J1238" s="345"/>
      <c r="K1238" s="279"/>
      <c r="L1238" s="252"/>
      <c r="M1238" s="253"/>
      <c r="N1238" s="204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46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76"/>
      <c r="D1244" s="276"/>
      <c r="E1244" s="277"/>
      <c r="F1244" s="277"/>
      <c r="G1244" s="209"/>
      <c r="H1244" s="207"/>
      <c r="I1244" s="221"/>
      <c r="J1244" s="342"/>
      <c r="K1244" s="282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5"/>
      <c r="E1248" s="248"/>
      <c r="F1248" s="248"/>
      <c r="G1248" s="261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05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46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10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46"/>
      <c r="D1258" s="247"/>
      <c r="E1258" s="248"/>
      <c r="F1258" s="248"/>
      <c r="G1258" s="261"/>
      <c r="H1258" s="207"/>
      <c r="I1258" s="221"/>
      <c r="J1258" s="342"/>
      <c r="K1258" s="279"/>
      <c r="L1258" s="252"/>
      <c r="M1258" s="253"/>
      <c r="N1258" s="208"/>
    </row>
    <row r="1259" spans="2:14" x14ac:dyDescent="0.2">
      <c r="B1259" s="245"/>
      <c r="C1259" s="255"/>
      <c r="D1259" s="247"/>
      <c r="E1259" s="248"/>
      <c r="F1259" s="248"/>
      <c r="G1259" s="254"/>
      <c r="H1259" s="207"/>
      <c r="I1259" s="221"/>
      <c r="J1259" s="342"/>
      <c r="K1259" s="279"/>
      <c r="L1259" s="252"/>
      <c r="M1259" s="253"/>
      <c r="N1259" s="208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0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x14ac:dyDescent="0.2">
      <c r="B1267" s="37"/>
      <c r="C1267" s="286"/>
      <c r="D1267" s="37"/>
      <c r="E1267" s="60"/>
      <c r="F1267" s="60"/>
      <c r="G1267" s="213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78"/>
      <c r="D1268" s="109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283"/>
      <c r="D1270" s="109"/>
      <c r="E1270" s="68"/>
      <c r="F1270" s="68"/>
      <c r="G1270" s="28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7"/>
      <c r="C1271" s="66"/>
      <c r="D1271" s="287"/>
      <c r="E1271" s="68"/>
      <c r="F1271" s="68"/>
      <c r="G1271" s="214"/>
      <c r="H1271" s="211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8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30"/>
      <c r="C1277" s="78"/>
      <c r="D1277" s="109"/>
      <c r="E1277" s="68"/>
      <c r="F1277" s="68"/>
      <c r="G1277" s="21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78"/>
      <c r="D1284" s="109"/>
      <c r="E1284" s="68"/>
      <c r="F1284" s="68"/>
      <c r="G1284" s="21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30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1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16"/>
      <c r="M1291" s="116"/>
      <c r="N1291" s="212"/>
    </row>
    <row r="1292" spans="2:14" ht="15" x14ac:dyDescent="0.25">
      <c r="B1292" s="65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283"/>
      <c r="D1296" s="109"/>
      <c r="E1296" s="68"/>
      <c r="F1296" s="68"/>
      <c r="G1296" s="284"/>
      <c r="H1296" s="215"/>
      <c r="I1296" s="224"/>
      <c r="J1296" s="347"/>
      <c r="K1296" s="69"/>
      <c r="L1296" s="216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1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16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3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9"/>
      <c r="D1305" s="290"/>
      <c r="E1305" s="291"/>
      <c r="F1305" s="291"/>
      <c r="G1305" s="284"/>
      <c r="H1305" s="215"/>
      <c r="I1305" s="224"/>
      <c r="J1305" s="347"/>
      <c r="K1305" s="69"/>
      <c r="L1305" s="216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x14ac:dyDescent="0.2">
      <c r="B1309" s="30"/>
      <c r="C1309" s="78"/>
      <c r="D1309" s="109"/>
      <c r="E1309" s="68"/>
      <c r="F1309" s="68"/>
      <c r="G1309" s="288"/>
      <c r="H1309" s="211"/>
      <c r="I1309" s="224"/>
      <c r="J1309" s="347"/>
      <c r="K1309" s="80"/>
      <c r="L1309" s="285"/>
      <c r="M1309" s="116"/>
      <c r="N1309" s="212"/>
    </row>
    <row r="1310" spans="2:14" ht="15" x14ac:dyDescent="0.25">
      <c r="B1310" s="30"/>
      <c r="C1310" s="283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16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1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16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65"/>
      <c r="C1328" s="78"/>
      <c r="D1328" s="109"/>
      <c r="E1328" s="68"/>
      <c r="F1328" s="68"/>
      <c r="G1328" s="21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30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292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1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84"/>
      <c r="H1346" s="215"/>
      <c r="I1346" s="224"/>
      <c r="J1346" s="347"/>
      <c r="K1346" s="69"/>
      <c r="L1346" s="285"/>
      <c r="M1346" s="116"/>
      <c r="N1346" s="212"/>
    </row>
    <row r="1347" spans="2:14" ht="15" x14ac:dyDescent="0.25">
      <c r="B1347" s="65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1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8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13"/>
      <c r="H1354" s="215"/>
      <c r="I1354" s="293"/>
      <c r="J1354" s="348"/>
      <c r="K1354" s="69"/>
      <c r="L1354" s="285"/>
      <c r="M1354" s="116"/>
      <c r="N1354" s="212"/>
    </row>
    <row r="1355" spans="2:14" x14ac:dyDescent="0.2">
      <c r="B1355" s="292"/>
      <c r="C1355" s="78"/>
      <c r="D1355" s="109"/>
      <c r="E1355" s="68"/>
      <c r="F1355" s="68"/>
      <c r="G1355" s="288"/>
      <c r="H1355" s="211"/>
      <c r="I1355" s="224"/>
      <c r="J1355" s="347"/>
      <c r="K1355" s="80"/>
      <c r="L1355" s="216"/>
      <c r="M1355" s="116"/>
      <c r="N1355" s="212"/>
    </row>
    <row r="1356" spans="2:14" ht="15" x14ac:dyDescent="0.25">
      <c r="B1356" s="292"/>
      <c r="C1356" s="78"/>
      <c r="D1356" s="109"/>
      <c r="E1356" s="68"/>
      <c r="F1356" s="68"/>
      <c r="G1356" s="288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289"/>
      <c r="D1357" s="290"/>
      <c r="E1357" s="294"/>
      <c r="F1357" s="295"/>
      <c r="G1357" s="296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65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297"/>
      <c r="F1360" s="298"/>
      <c r="G1360" s="299"/>
      <c r="H1360" s="300"/>
      <c r="I1360" s="301"/>
      <c r="J1360" s="349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14"/>
      <c r="H1363" s="215"/>
      <c r="I1363" s="293"/>
      <c r="J1363" s="348"/>
      <c r="K1363" s="69"/>
      <c r="L1363" s="216"/>
      <c r="M1363" s="116"/>
      <c r="N1363" s="212"/>
    </row>
    <row r="1364" spans="2:14" ht="15" x14ac:dyDescent="0.25">
      <c r="B1364" s="292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289"/>
      <c r="D1366" s="290"/>
      <c r="E1366" s="291"/>
      <c r="F1366" s="284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66"/>
      <c r="D1367" s="109"/>
      <c r="E1367" s="68"/>
      <c r="F1367" s="77"/>
      <c r="G1367" s="296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88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66"/>
      <c r="D1375" s="109"/>
      <c r="E1375" s="68"/>
      <c r="F1375" s="77"/>
      <c r="G1375" s="296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1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292"/>
      <c r="C1381" s="78"/>
      <c r="D1381" s="109"/>
      <c r="E1381" s="68"/>
      <c r="F1381" s="77"/>
      <c r="G1381" s="288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91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1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84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77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66"/>
      <c r="D1387" s="109"/>
      <c r="E1387" s="68"/>
      <c r="F1387" s="68"/>
      <c r="G1387" s="296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14"/>
      <c r="H1388" s="215"/>
      <c r="I1388" s="293"/>
      <c r="J1388" s="348"/>
      <c r="K1388" s="69"/>
      <c r="L1388" s="285"/>
      <c r="M1388" s="116"/>
      <c r="N1388" s="212"/>
    </row>
    <row r="1389" spans="2:14" x14ac:dyDescent="0.2">
      <c r="B1389" s="65"/>
      <c r="C1389" s="78"/>
      <c r="D1389" s="109"/>
      <c r="E1389" s="68"/>
      <c r="F1389" s="77"/>
      <c r="G1389" s="302"/>
      <c r="H1389" s="211"/>
      <c r="I1389" s="224"/>
      <c r="J1389" s="347"/>
      <c r="K1389" s="80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78"/>
      <c r="D1393" s="109"/>
      <c r="E1393" s="68"/>
      <c r="F1393" s="77"/>
      <c r="G1393" s="284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215"/>
      <c r="I1394" s="293"/>
      <c r="J1394" s="348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289"/>
      <c r="D1396" s="290"/>
      <c r="E1396" s="291"/>
      <c r="F1396" s="304"/>
      <c r="G1396" s="284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65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78"/>
      <c r="D1402" s="109"/>
      <c r="E1402" s="68"/>
      <c r="F1402" s="68"/>
      <c r="G1402" s="214"/>
      <c r="H1402" s="215"/>
      <c r="I1402" s="293"/>
      <c r="J1402" s="348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91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289"/>
      <c r="D1413" s="290"/>
      <c r="E1413" s="291"/>
      <c r="F1413" s="304"/>
      <c r="G1413" s="28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78"/>
      <c r="D1416" s="109"/>
      <c r="E1416" s="68"/>
      <c r="F1416" s="77"/>
      <c r="G1416" s="214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68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91"/>
      <c r="C1427" s="66"/>
      <c r="D1427" s="109"/>
      <c r="E1427" s="68"/>
      <c r="F1427" s="77"/>
      <c r="G1427" s="2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78"/>
      <c r="D1431" s="109"/>
      <c r="E1431" s="68"/>
      <c r="F1431" s="77"/>
      <c r="G1431" s="214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23"/>
      <c r="D1434" s="37"/>
      <c r="E1434" s="60"/>
      <c r="F1434" s="26"/>
      <c r="G1434" s="2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65"/>
      <c r="C1436" s="78"/>
      <c r="D1436" s="109"/>
      <c r="E1436" s="68"/>
      <c r="F1436" s="77"/>
      <c r="G1436" s="305"/>
      <c r="H1436" s="215"/>
      <c r="I1436" s="293"/>
      <c r="J1436" s="348"/>
      <c r="K1436" s="69"/>
      <c r="L1436" s="216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302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78"/>
      <c r="D1441" s="109"/>
      <c r="E1441" s="68"/>
      <c r="F1441" s="77"/>
      <c r="G1441" s="21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91"/>
      <c r="C1444" s="23"/>
      <c r="D1444" s="37"/>
      <c r="E1444" s="60"/>
      <c r="F1444" s="26"/>
      <c r="G1444" s="10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23"/>
      <c r="D1447" s="290"/>
      <c r="E1447" s="291"/>
      <c r="F1447" s="304"/>
      <c r="G1447" s="284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80"/>
      <c r="L1450" s="285"/>
      <c r="M1450" s="116"/>
      <c r="N1450" s="212"/>
    </row>
    <row r="1451" spans="2:14" ht="15" x14ac:dyDescent="0.25">
      <c r="B1451" s="91"/>
      <c r="C1451" s="23"/>
      <c r="D1451" s="37"/>
      <c r="E1451" s="60"/>
      <c r="F1451" s="26"/>
      <c r="G1451" s="10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27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78"/>
      <c r="D1457" s="109"/>
      <c r="E1457" s="68"/>
      <c r="F1457" s="77"/>
      <c r="G1457" s="21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91"/>
      <c r="C1459" s="66"/>
      <c r="D1459" s="109"/>
      <c r="E1459" s="68"/>
      <c r="F1459" s="77"/>
      <c r="G1459" s="296"/>
      <c r="H1459" s="303"/>
      <c r="I1459" s="225"/>
      <c r="J1459" s="350"/>
      <c r="K1459" s="290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104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286"/>
      <c r="D1462" s="286"/>
      <c r="E1462" s="306"/>
      <c r="F1462" s="307"/>
      <c r="G1462" s="307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78"/>
      <c r="D1463" s="109"/>
      <c r="E1463" s="68"/>
      <c r="F1463" s="77"/>
      <c r="G1463" s="214"/>
      <c r="H1463" s="215"/>
      <c r="I1463" s="293"/>
      <c r="J1463" s="348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296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78"/>
      <c r="D1472" s="109"/>
      <c r="E1472" s="68"/>
      <c r="F1472" s="77"/>
      <c r="G1472" s="308"/>
      <c r="H1472" s="215"/>
      <c r="I1472" s="293"/>
      <c r="J1472" s="348"/>
      <c r="K1472" s="69"/>
      <c r="L1472" s="216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09"/>
      <c r="H1474" s="303"/>
      <c r="I1474" s="225"/>
      <c r="J1474" s="350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310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65"/>
      <c r="C1480" s="66"/>
      <c r="D1480" s="109"/>
      <c r="E1480" s="68"/>
      <c r="F1480" s="77"/>
      <c r="G1480" s="296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78"/>
      <c r="D1481" s="109"/>
      <c r="E1481" s="68"/>
      <c r="F1481" s="77"/>
      <c r="G1481" s="311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68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296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78"/>
      <c r="D1488" s="109"/>
      <c r="E1488" s="68"/>
      <c r="F1488" s="77"/>
      <c r="G1488" s="311"/>
      <c r="H1488" s="312"/>
      <c r="I1488" s="313"/>
      <c r="J1488" s="352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312"/>
      <c r="I1494" s="313"/>
      <c r="J1494" s="352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91"/>
      <c r="C1499" s="78"/>
      <c r="D1499" s="109"/>
      <c r="E1499" s="68"/>
      <c r="F1499" s="77"/>
      <c r="G1499" s="311"/>
      <c r="H1499" s="121"/>
      <c r="I1499" s="107"/>
      <c r="J1499" s="351"/>
      <c r="K1499" s="69"/>
      <c r="L1499" s="285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.75" x14ac:dyDescent="0.25">
      <c r="B1502" s="315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.75" x14ac:dyDescent="0.25">
      <c r="B1503" s="31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126"/>
      <c r="M1503" s="116"/>
      <c r="N1503" s="217"/>
    </row>
    <row r="1504" spans="2:14" ht="15.75" x14ac:dyDescent="0.25">
      <c r="B1504" s="314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316"/>
      <c r="D1506" s="65"/>
      <c r="E1506" s="68"/>
      <c r="F1506" s="117"/>
      <c r="G1506" s="117"/>
      <c r="H1506" s="121"/>
      <c r="I1506" s="107"/>
      <c r="J1506" s="351"/>
      <c r="K1506" s="69"/>
      <c r="L1506" s="126"/>
      <c r="M1506" s="116"/>
      <c r="N1506" s="217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78"/>
      <c r="D1513" s="109"/>
      <c r="E1513" s="68"/>
      <c r="F1513" s="77"/>
      <c r="G1513" s="311"/>
      <c r="H1513" s="312"/>
      <c r="I1513" s="313"/>
      <c r="J1513" s="352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66"/>
      <c r="D1518" s="109"/>
      <c r="E1518" s="68"/>
      <c r="F1518" s="77"/>
      <c r="G1518" s="104"/>
      <c r="H1518" s="121"/>
      <c r="I1518" s="107"/>
      <c r="J1518" s="351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107"/>
      <c r="J1519" s="351"/>
      <c r="K1519" s="69"/>
      <c r="L1519" s="285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3"/>
      <c r="I1527" s="107"/>
      <c r="J1527" s="351"/>
      <c r="K1527" s="69"/>
      <c r="L1527" s="126"/>
      <c r="M1527" s="116"/>
      <c r="N1527" s="217"/>
    </row>
    <row r="1528" spans="2:14" ht="15" x14ac:dyDescent="0.25">
      <c r="B1528" s="91"/>
      <c r="C1528" s="66"/>
      <c r="D1528" s="109"/>
      <c r="E1528" s="68"/>
      <c r="F1528" s="77"/>
      <c r="G1528" s="104"/>
      <c r="H1528" s="121"/>
      <c r="I1528" s="107"/>
      <c r="J1528" s="351"/>
      <c r="K1528" s="80"/>
      <c r="L1528" s="126"/>
      <c r="M1528" s="117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3"/>
      <c r="I1529" s="107"/>
      <c r="J1529" s="351"/>
      <c r="K1529" s="80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68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316"/>
      <c r="D1531" s="65"/>
      <c r="E1531" s="68"/>
      <c r="F1531" s="117"/>
      <c r="G1531" s="117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37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78"/>
      <c r="D1540" s="109"/>
      <c r="E1540" s="68"/>
      <c r="F1540" s="77"/>
      <c r="G1540" s="311"/>
      <c r="H1540" s="312"/>
      <c r="I1540" s="313"/>
      <c r="J1540" s="352"/>
      <c r="K1540" s="69"/>
      <c r="L1540" s="216"/>
      <c r="M1540" s="116"/>
      <c r="N1540" s="212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66"/>
      <c r="D1542" s="109"/>
      <c r="E1542" s="68"/>
      <c r="F1542" s="77"/>
      <c r="G1542" s="104"/>
      <c r="H1542" s="121"/>
      <c r="I1542" s="107"/>
      <c r="J1542" s="351"/>
      <c r="K1542" s="69"/>
      <c r="L1542" s="126"/>
      <c r="M1542" s="116"/>
      <c r="N1542" s="217"/>
    </row>
    <row r="1543" spans="2:14" ht="15" x14ac:dyDescent="0.25">
      <c r="B1543" s="91"/>
      <c r="C1543" s="78"/>
      <c r="D1543" s="109"/>
      <c r="E1543" s="68"/>
      <c r="F1543" s="77"/>
      <c r="G1543" s="311"/>
      <c r="H1543" s="312"/>
      <c r="I1543" s="107"/>
      <c r="J1543" s="351"/>
      <c r="K1543" s="69"/>
      <c r="L1543" s="126"/>
      <c r="M1543" s="116"/>
      <c r="N1543" s="217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65"/>
      <c r="C1548" s="78"/>
      <c r="D1548" s="109"/>
      <c r="E1548" s="68"/>
      <c r="F1548" s="77"/>
      <c r="G1548" s="311"/>
      <c r="H1548" s="312"/>
      <c r="I1548" s="313"/>
      <c r="J1548" s="352"/>
      <c r="K1548" s="69"/>
      <c r="L1548" s="216"/>
      <c r="M1548" s="116"/>
      <c r="N1548" s="212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91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78"/>
      <c r="D1553" s="109"/>
      <c r="E1553" s="68"/>
      <c r="F1553" s="77"/>
      <c r="G1553" s="311"/>
      <c r="H1553" s="312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68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123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x14ac:dyDescent="0.2">
      <c r="B1563" s="91"/>
      <c r="C1563" s="66"/>
      <c r="D1563" s="109"/>
      <c r="E1563" s="68"/>
      <c r="F1563" s="77"/>
      <c r="G1563" s="104"/>
      <c r="H1563" s="121"/>
      <c r="I1563" s="129"/>
      <c r="J1563" s="353"/>
      <c r="K1563" s="80"/>
      <c r="L1563" s="126"/>
      <c r="M1563" s="116"/>
      <c r="N1563" s="2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317"/>
    </row>
    <row r="1566" spans="2:14" ht="15" x14ac:dyDescent="0.25">
      <c r="B1566" s="65"/>
      <c r="C1566" s="78"/>
      <c r="D1566" s="109"/>
      <c r="E1566" s="68"/>
      <c r="F1566" s="77"/>
      <c r="G1566" s="311"/>
      <c r="H1566" s="312"/>
      <c r="I1566" s="313"/>
      <c r="J1566" s="352"/>
      <c r="K1566" s="69"/>
      <c r="L1566" s="216"/>
      <c r="M1566" s="116"/>
      <c r="N1566" s="317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66"/>
      <c r="D1570" s="109"/>
      <c r="E1570" s="68"/>
      <c r="F1570" s="77"/>
      <c r="G1570" s="104"/>
      <c r="H1570" s="121"/>
      <c r="I1570" s="107"/>
      <c r="J1570" s="351"/>
      <c r="K1570" s="69"/>
      <c r="L1570" s="12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65"/>
      <c r="C1574" s="78"/>
      <c r="D1574" s="109"/>
      <c r="E1574" s="68"/>
      <c r="F1574" s="77"/>
      <c r="G1574" s="311"/>
      <c r="H1574" s="312"/>
      <c r="I1574" s="313"/>
      <c r="J1574" s="352"/>
      <c r="K1574" s="69"/>
      <c r="L1574" s="216"/>
      <c r="M1574" s="116"/>
      <c r="N1574" s="212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1"/>
      <c r="K1579" s="79"/>
      <c r="L1579" s="126"/>
      <c r="M1579" s="115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78"/>
      <c r="D1585" s="109"/>
      <c r="E1585" s="68"/>
      <c r="F1585" s="77"/>
      <c r="G1585" s="311"/>
      <c r="H1585" s="312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3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6"/>
      <c r="M1592" s="116"/>
      <c r="N1592" s="217"/>
    </row>
    <row r="1593" spans="2:14" ht="15" x14ac:dyDescent="0.25">
      <c r="B1593" s="65"/>
      <c r="C1593" s="78"/>
      <c r="D1593" s="109"/>
      <c r="E1593" s="68"/>
      <c r="F1593" s="77"/>
      <c r="G1593" s="311"/>
      <c r="H1593" s="312"/>
      <c r="I1593" s="313"/>
      <c r="J1593" s="352"/>
      <c r="K1593" s="69"/>
      <c r="L1593" s="216"/>
      <c r="M1593" s="116"/>
      <c r="N1593" s="212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68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91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20"/>
      <c r="M1600" s="116"/>
      <c r="N1600" s="2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118"/>
      <c r="M1602" s="116"/>
      <c r="N1602" s="318"/>
    </row>
    <row r="1603" spans="2:14" ht="15" x14ac:dyDescent="0.25">
      <c r="B1603" s="65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1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ht="15" x14ac:dyDescent="0.25">
      <c r="B1607" s="65"/>
      <c r="C1607" s="66"/>
      <c r="D1607" s="109"/>
      <c r="E1607" s="68"/>
      <c r="F1607" s="68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78"/>
      <c r="D1608" s="109"/>
      <c r="E1608" s="68"/>
      <c r="F1608" s="77"/>
      <c r="G1608" s="311"/>
      <c r="H1608" s="312"/>
      <c r="I1608" s="313"/>
      <c r="J1608" s="352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1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65"/>
      <c r="C1613" s="66"/>
      <c r="D1613" s="109"/>
      <c r="E1613" s="68"/>
      <c r="F1613" s="77"/>
      <c r="G1613" s="311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120"/>
      <c r="M1622" s="116"/>
      <c r="N1622" s="218"/>
    </row>
    <row r="1623" spans="2:14" ht="15" x14ac:dyDescent="0.25">
      <c r="B1623" s="91"/>
      <c r="C1623" s="66"/>
      <c r="D1623" s="109"/>
      <c r="E1623" s="68"/>
      <c r="F1623" s="77"/>
      <c r="G1623" s="104"/>
      <c r="H1623" s="121"/>
      <c r="I1623" s="107"/>
      <c r="J1623" s="351"/>
      <c r="K1623" s="69"/>
      <c r="L1623" s="318"/>
      <c r="M1623" s="116"/>
      <c r="N1623" s="318"/>
    </row>
    <row r="1624" spans="2:14" ht="15" x14ac:dyDescent="0.25">
      <c r="B1624" s="91"/>
      <c r="C1624" s="66"/>
      <c r="D1624" s="109"/>
      <c r="E1624" s="68"/>
      <c r="F1624" s="68"/>
      <c r="G1624" s="104"/>
      <c r="H1624" s="121"/>
      <c r="I1624" s="107"/>
      <c r="J1624" s="351"/>
      <c r="K1624" s="69"/>
      <c r="L1624" s="1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78"/>
      <c r="D1626" s="109"/>
      <c r="E1626" s="68"/>
      <c r="F1626" s="77"/>
      <c r="G1626" s="311"/>
      <c r="H1626" s="312"/>
      <c r="I1626" s="313"/>
      <c r="J1626" s="352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1"/>
      <c r="I1627" s="107"/>
      <c r="J1627" s="351"/>
      <c r="K1627" s="69"/>
      <c r="L1627" s="3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8"/>
    </row>
    <row r="1631" spans="2:14" ht="15" x14ac:dyDescent="0.25">
      <c r="B1631" s="65"/>
      <c r="C1631" s="78"/>
      <c r="D1631" s="109"/>
      <c r="E1631" s="68"/>
      <c r="F1631" s="77"/>
      <c r="G1631" s="311"/>
      <c r="H1631" s="312"/>
      <c r="I1631" s="313"/>
      <c r="J1631" s="352"/>
      <c r="K1631" s="69"/>
      <c r="L1631" s="318"/>
      <c r="M1631" s="116"/>
      <c r="N1631" s="319"/>
    </row>
    <row r="1632" spans="2:14" ht="15" x14ac:dyDescent="0.25">
      <c r="B1632" s="91"/>
      <c r="C1632" s="66"/>
      <c r="D1632" s="109"/>
      <c r="E1632" s="68"/>
      <c r="F1632" s="68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91"/>
      <c r="C1634" s="78"/>
      <c r="D1634" s="109"/>
      <c r="E1634" s="68"/>
      <c r="F1634" s="77"/>
      <c r="G1634" s="311"/>
      <c r="H1634" s="123"/>
      <c r="I1634" s="107"/>
      <c r="J1634" s="351"/>
      <c r="K1634" s="69"/>
      <c r="L1634" s="120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65"/>
      <c r="C1637" s="78"/>
      <c r="D1637" s="109"/>
      <c r="E1637" s="68"/>
      <c r="F1637" s="77"/>
      <c r="G1637" s="311"/>
      <c r="H1637" s="312"/>
      <c r="I1637" s="313"/>
      <c r="J1637" s="352"/>
      <c r="K1637" s="69"/>
      <c r="L1637" s="318"/>
      <c r="M1637" s="116"/>
      <c r="N1637" s="3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311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1"/>
      <c r="I1645" s="107"/>
      <c r="J1645" s="351"/>
      <c r="K1645" s="69"/>
      <c r="L1645" s="120"/>
      <c r="M1645" s="116"/>
      <c r="N1645" s="219"/>
    </row>
    <row r="1646" spans="2:14" ht="15" x14ac:dyDescent="0.25">
      <c r="B1646" s="91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311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68"/>
      <c r="G1652" s="311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120"/>
      <c r="M1653" s="116"/>
      <c r="N1653" s="2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3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37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37"/>
      <c r="C1657" s="66"/>
      <c r="D1657" s="109"/>
      <c r="E1657" s="68"/>
      <c r="F1657" s="77"/>
      <c r="G1657" s="104"/>
      <c r="H1657" s="123"/>
      <c r="I1657" s="107"/>
      <c r="J1657" s="351"/>
      <c r="K1657" s="69"/>
      <c r="L1657" s="1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3"/>
      <c r="I1661" s="107"/>
      <c r="J1661" s="351"/>
      <c r="K1661" s="69"/>
      <c r="L1661" s="120"/>
      <c r="M1661" s="116"/>
      <c r="N1661" s="219"/>
    </row>
    <row r="1662" spans="2:14" ht="15" x14ac:dyDescent="0.25">
      <c r="B1662" s="65"/>
      <c r="C1662" s="78"/>
      <c r="D1662" s="109"/>
      <c r="E1662" s="68"/>
      <c r="F1662" s="77"/>
      <c r="G1662" s="311"/>
      <c r="H1662" s="312"/>
      <c r="I1662" s="313"/>
      <c r="J1662" s="352"/>
      <c r="K1662" s="69"/>
      <c r="L1662" s="318"/>
      <c r="M1662" s="116"/>
      <c r="N1662" s="319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77"/>
      <c r="G1664" s="104"/>
      <c r="H1664" s="121"/>
      <c r="I1664" s="107"/>
      <c r="J1664" s="351"/>
      <c r="K1664" s="69"/>
      <c r="L1664" s="120"/>
      <c r="M1664" s="116"/>
      <c r="N1664" s="219"/>
    </row>
    <row r="1665" spans="2:14" ht="15" x14ac:dyDescent="0.25">
      <c r="B1665" s="37"/>
      <c r="C1665" s="66"/>
      <c r="D1665" s="109"/>
      <c r="E1665" s="68"/>
      <c r="F1665" s="68"/>
      <c r="G1665" s="104"/>
      <c r="H1665" s="121"/>
      <c r="I1665" s="107"/>
      <c r="J1665" s="351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318"/>
      <c r="M1671" s="116"/>
      <c r="N1671" s="3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79"/>
      <c r="L1672" s="120"/>
      <c r="M1672" s="115"/>
      <c r="N1672" s="219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114"/>
      <c r="L1675" s="118"/>
      <c r="M1675" s="117"/>
      <c r="N1675" s="320"/>
    </row>
    <row r="1676" spans="2:14" ht="15" x14ac:dyDescent="0.25">
      <c r="B1676" s="37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20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118"/>
      <c r="M1682" s="116"/>
      <c r="N1682" s="319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1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78"/>
      <c r="D1685" s="109"/>
      <c r="E1685" s="68"/>
      <c r="F1685" s="77"/>
      <c r="G1685" s="311"/>
      <c r="H1685" s="312"/>
      <c r="I1685" s="313"/>
      <c r="J1685" s="352"/>
      <c r="K1685" s="69"/>
      <c r="L1685" s="318"/>
      <c r="M1685" s="116"/>
      <c r="N1685" s="319"/>
    </row>
    <row r="1686" spans="2:14" ht="15" x14ac:dyDescent="0.25">
      <c r="B1686" s="91"/>
      <c r="C1686" s="66"/>
      <c r="D1686" s="109"/>
      <c r="E1686" s="68"/>
      <c r="F1686" s="68"/>
      <c r="G1686" s="104"/>
      <c r="H1686" s="121"/>
      <c r="I1686" s="107"/>
      <c r="J1686" s="351"/>
      <c r="K1686" s="69"/>
      <c r="L1686" s="118"/>
      <c r="M1686" s="116"/>
      <c r="N1686" s="320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91"/>
      <c r="C1688" s="66"/>
      <c r="D1688" s="109"/>
      <c r="E1688" s="68"/>
      <c r="F1688" s="77"/>
      <c r="G1688" s="104"/>
      <c r="H1688" s="121"/>
      <c r="I1688" s="107"/>
      <c r="J1688" s="351"/>
      <c r="K1688" s="69"/>
      <c r="L1688" s="1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318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116"/>
      <c r="N1691" s="319"/>
    </row>
    <row r="1692" spans="2:14" ht="15" x14ac:dyDescent="0.25">
      <c r="B1692" s="65"/>
      <c r="C1692" s="78"/>
      <c r="D1692" s="109"/>
      <c r="E1692" s="68"/>
      <c r="F1692" s="77"/>
      <c r="G1692" s="311"/>
      <c r="H1692" s="312"/>
      <c r="I1692" s="313"/>
      <c r="J1692" s="352"/>
      <c r="K1692" s="69"/>
      <c r="L1692" s="216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91"/>
      <c r="C1698" s="78"/>
      <c r="D1698" s="100"/>
      <c r="E1698" s="101"/>
      <c r="F1698" s="77"/>
      <c r="G1698" s="311"/>
      <c r="H1698" s="321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78"/>
      <c r="D1705" s="100"/>
      <c r="E1705" s="101"/>
      <c r="F1705" s="77"/>
      <c r="G1705" s="311"/>
      <c r="H1705" s="321"/>
      <c r="I1705" s="313"/>
      <c r="J1705" s="352"/>
      <c r="K1705" s="69"/>
      <c r="L1705" s="84"/>
      <c r="M1705" s="82"/>
      <c r="N1705" s="319"/>
    </row>
    <row r="1706" spans="2:14" ht="15" x14ac:dyDescent="0.25">
      <c r="B1706" s="65"/>
      <c r="C1706" s="66"/>
      <c r="D1706" s="109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84"/>
      <c r="M1707" s="82"/>
      <c r="N1707" s="319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19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313"/>
      <c r="J1712" s="352"/>
      <c r="K1712" s="69"/>
      <c r="L1712" s="322"/>
      <c r="M1712" s="82"/>
      <c r="N1712" s="323"/>
    </row>
    <row r="1713" spans="2:14" ht="15" x14ac:dyDescent="0.25">
      <c r="B1713" s="65"/>
      <c r="C1713" s="78"/>
      <c r="D1713" s="100"/>
      <c r="E1713" s="101"/>
      <c r="F1713" s="77"/>
      <c r="G1713" s="311"/>
      <c r="H1713" s="321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68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78"/>
      <c r="D1720" s="100"/>
      <c r="E1720" s="101"/>
      <c r="F1720" s="77"/>
      <c r="G1720" s="311"/>
      <c r="H1720" s="321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70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78"/>
      <c r="D1724" s="100"/>
      <c r="E1724" s="101"/>
      <c r="F1724" s="68"/>
      <c r="G1724" s="311"/>
      <c r="H1724" s="321"/>
      <c r="I1724" s="107"/>
      <c r="J1724" s="351"/>
      <c r="K1724" s="69"/>
      <c r="L1724" s="84"/>
      <c r="M1724" s="82"/>
      <c r="N1724" s="323"/>
    </row>
    <row r="1725" spans="2:14" ht="15" x14ac:dyDescent="0.25">
      <c r="B1725" s="91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322"/>
      <c r="M1725" s="82"/>
      <c r="N1725" s="323"/>
    </row>
    <row r="1726" spans="2:14" ht="15" x14ac:dyDescent="0.25">
      <c r="B1726" s="65"/>
      <c r="C1726" s="78"/>
      <c r="D1726" s="100"/>
      <c r="E1726" s="101"/>
      <c r="F1726" s="77"/>
      <c r="G1726" s="311"/>
      <c r="H1726" s="321"/>
      <c r="I1726" s="313"/>
      <c r="J1726" s="352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68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84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ht="15" x14ac:dyDescent="0.25">
      <c r="B1730" s="65"/>
      <c r="C1730" s="66"/>
      <c r="D1730" s="100"/>
      <c r="E1730" s="101"/>
      <c r="F1730" s="77"/>
      <c r="G1730" s="104"/>
      <c r="H1730" s="106"/>
      <c r="I1730" s="107"/>
      <c r="J1730" s="351"/>
      <c r="K1730" s="69"/>
      <c r="L1730" s="322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x14ac:dyDescent="0.2">
      <c r="B1732" s="65"/>
      <c r="C1732" s="78"/>
      <c r="D1732" s="100"/>
      <c r="E1732" s="101"/>
      <c r="F1732" s="77"/>
      <c r="G1732" s="311"/>
      <c r="H1732" s="321"/>
      <c r="I1732" s="324"/>
      <c r="J1732" s="354"/>
      <c r="K1732" s="69"/>
      <c r="L1732" s="84"/>
      <c r="M1732" s="82"/>
      <c r="N1732" s="323"/>
    </row>
    <row r="1733" spans="2:14" ht="15" x14ac:dyDescent="0.25">
      <c r="B1733" s="65"/>
      <c r="C1733" s="78"/>
      <c r="D1733" s="100"/>
      <c r="E1733" s="101"/>
      <c r="F1733" s="77"/>
      <c r="G1733" s="311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100"/>
      <c r="E1734" s="102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13"/>
      <c r="J1736" s="352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ht="15" x14ac:dyDescent="0.25">
      <c r="B1738" s="65"/>
      <c r="C1738" s="78"/>
      <c r="D1738" s="97"/>
      <c r="E1738" s="67"/>
      <c r="F1738" s="77"/>
      <c r="G1738" s="325"/>
      <c r="H1738" s="321"/>
      <c r="I1738" s="326"/>
      <c r="J1738" s="355"/>
      <c r="K1738" s="69"/>
      <c r="L1738" s="322"/>
      <c r="M1738" s="82"/>
      <c r="N1738" s="323"/>
    </row>
    <row r="1739" spans="2:14" x14ac:dyDescent="0.2">
      <c r="B1739" s="65"/>
      <c r="C1739" s="66"/>
      <c r="D1739" s="90"/>
      <c r="E1739" s="67"/>
      <c r="F1739" s="77"/>
      <c r="G1739" s="77"/>
      <c r="H1739" s="106"/>
      <c r="I1739" s="94"/>
      <c r="J1739" s="356"/>
      <c r="K1739" s="80"/>
      <c r="L1739" s="84"/>
      <c r="M1739" s="82"/>
      <c r="N1739" s="327"/>
    </row>
    <row r="1740" spans="2:14" ht="15" x14ac:dyDescent="0.25">
      <c r="B1740" s="65"/>
      <c r="C1740" s="78"/>
      <c r="D1740" s="90"/>
      <c r="E1740" s="67"/>
      <c r="F1740" s="77"/>
      <c r="G1740" s="328"/>
      <c r="H1740" s="321"/>
      <c r="I1740" s="326"/>
      <c r="J1740" s="355"/>
      <c r="K1740" s="69"/>
      <c r="L1740" s="322"/>
      <c r="M1740" s="82"/>
      <c r="N1740" s="327"/>
    </row>
    <row r="1741" spans="2:14" ht="15" x14ac:dyDescent="0.25">
      <c r="B1741" s="65"/>
      <c r="C1741" s="66"/>
      <c r="D1741" s="90"/>
      <c r="E1741" s="67"/>
      <c r="F1741" s="77"/>
      <c r="G1741" s="77"/>
      <c r="H1741" s="106"/>
      <c r="I1741" s="95"/>
      <c r="J1741" s="357"/>
      <c r="K1741" s="80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6"/>
      <c r="K1744" s="69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80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78"/>
      <c r="D1747" s="90"/>
      <c r="E1747" s="67"/>
      <c r="F1747" s="77"/>
      <c r="G1747" s="328"/>
      <c r="H1747" s="321"/>
      <c r="I1747" s="326"/>
      <c r="J1747" s="355"/>
      <c r="K1747" s="69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84"/>
      <c r="M1749" s="82"/>
      <c r="N1749" s="327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80"/>
      <c r="L1750" s="84"/>
      <c r="M1750" s="82"/>
      <c r="N1750" s="327"/>
    </row>
    <row r="1751" spans="2:14" x14ac:dyDescent="0.2">
      <c r="B1751" s="91"/>
      <c r="C1751" s="66"/>
      <c r="D1751" s="90"/>
      <c r="E1751" s="67"/>
      <c r="F1751" s="77"/>
      <c r="G1751" s="77"/>
      <c r="H1751" s="106"/>
      <c r="I1751" s="94"/>
      <c r="J1751" s="356"/>
      <c r="K1751" s="69"/>
      <c r="L1751" s="84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322"/>
      <c r="M1752" s="82"/>
      <c r="N1752" s="323"/>
    </row>
    <row r="1753" spans="2:14" ht="15" x14ac:dyDescent="0.25">
      <c r="B1753" s="91"/>
      <c r="C1753" s="66"/>
      <c r="D1753" s="90"/>
      <c r="E1753" s="67"/>
      <c r="F1753" s="77"/>
      <c r="G1753" s="77"/>
      <c r="H1753" s="106"/>
      <c r="I1753" s="95"/>
      <c r="J1753" s="357"/>
      <c r="K1753" s="69"/>
      <c r="L1753" s="84"/>
      <c r="M1753" s="82"/>
      <c r="N1753" s="323"/>
    </row>
    <row r="1754" spans="2:14" ht="15" x14ac:dyDescent="0.25">
      <c r="B1754" s="65"/>
      <c r="C1754" s="78"/>
      <c r="D1754" s="90"/>
      <c r="E1754" s="67"/>
      <c r="F1754" s="77"/>
      <c r="G1754" s="328"/>
      <c r="H1754" s="321"/>
      <c r="I1754" s="326"/>
      <c r="J1754" s="355"/>
      <c r="K1754" s="69"/>
      <c r="L1754" s="322"/>
      <c r="M1754" s="82"/>
      <c r="N1754" s="323"/>
    </row>
    <row r="1755" spans="2:14" ht="15" x14ac:dyDescent="0.25">
      <c r="B1755" s="37"/>
      <c r="C1755" s="52"/>
      <c r="D1755" s="24"/>
      <c r="E1755" s="25"/>
      <c r="F1755" s="26"/>
      <c r="G1755" s="26"/>
      <c r="H1755" s="329"/>
      <c r="I1755" s="41"/>
      <c r="J1755" s="358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0"/>
      <c r="C1760" s="52"/>
      <c r="D1760" s="24"/>
      <c r="E1760" s="25"/>
      <c r="F1760" s="26"/>
      <c r="G1760" s="26"/>
      <c r="H1760" s="329"/>
      <c r="I1760" s="41"/>
      <c r="J1760" s="358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31"/>
    </row>
    <row r="1763" spans="2:14" ht="15" x14ac:dyDescent="0.25">
      <c r="B1763" s="37"/>
      <c r="C1763" s="5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23"/>
      <c r="D1764" s="24"/>
      <c r="E1764" s="25"/>
      <c r="F1764" s="26"/>
      <c r="G1764" s="325"/>
      <c r="H1764" s="332"/>
      <c r="I1764" s="333"/>
      <c r="J1764" s="359"/>
      <c r="K1764" s="27"/>
      <c r="L1764" s="330"/>
      <c r="M1764" s="34"/>
      <c r="N1764" s="35"/>
    </row>
    <row r="1765" spans="2:14" ht="15" x14ac:dyDescent="0.25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60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0"/>
      <c r="M1774" s="34"/>
      <c r="N1774" s="35"/>
    </row>
    <row r="1775" spans="2:14" x14ac:dyDescent="0.2">
      <c r="B1775" s="37"/>
      <c r="C1775" s="23"/>
      <c r="D1775" s="24"/>
      <c r="E1775" s="25"/>
      <c r="F1775" s="60"/>
      <c r="G1775" s="26"/>
      <c r="H1775" s="329"/>
      <c r="I1775" s="42"/>
      <c r="J1775" s="360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60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0"/>
      <c r="C1779" s="52"/>
      <c r="D1779" s="24"/>
      <c r="E1779" s="25"/>
      <c r="F1779" s="26"/>
      <c r="G1779" s="26"/>
      <c r="H1779" s="329"/>
      <c r="I1779" s="41"/>
      <c r="J1779" s="358"/>
      <c r="K1779" s="27"/>
      <c r="L1779" s="33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5"/>
      <c r="H1782" s="332"/>
      <c r="I1782" s="333"/>
      <c r="J1782" s="359"/>
      <c r="K1782" s="27"/>
      <c r="L1782" s="330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29"/>
      <c r="I1785" s="41"/>
      <c r="J1785" s="358"/>
      <c r="K1785" s="27"/>
      <c r="L1785" s="33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26"/>
      <c r="H1790" s="329"/>
      <c r="I1790" s="41"/>
      <c r="J1790" s="358"/>
      <c r="K1790" s="36"/>
      <c r="L1790" s="33"/>
      <c r="M1790" s="34"/>
      <c r="N1790" s="35"/>
    </row>
    <row r="1791" spans="2:14" ht="15" x14ac:dyDescent="0.25">
      <c r="B1791" s="30"/>
      <c r="C1791" s="23"/>
      <c r="D1791" s="24"/>
      <c r="E1791" s="25"/>
      <c r="F1791" s="26"/>
      <c r="G1791" s="325"/>
      <c r="H1791" s="332"/>
      <c r="I1791" s="333"/>
      <c r="J1791" s="359"/>
      <c r="K1791" s="27"/>
      <c r="L1791" s="33"/>
      <c r="M1791" s="34"/>
      <c r="N1791" s="35"/>
    </row>
    <row r="1792" spans="2:14" ht="15" x14ac:dyDescent="0.25">
      <c r="B1792" s="30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60"/>
      <c r="G1794" s="26"/>
      <c r="H1794" s="329"/>
      <c r="I1794" s="41"/>
      <c r="J1794" s="358"/>
      <c r="K1794" s="27"/>
      <c r="L1794" s="33"/>
      <c r="M1794" s="34"/>
      <c r="N1794" s="35"/>
    </row>
    <row r="1795" spans="2:14" ht="15" x14ac:dyDescent="0.25">
      <c r="B1795" s="37"/>
      <c r="C1795" s="52"/>
      <c r="D1795" s="24"/>
      <c r="E1795" s="25"/>
      <c r="F1795" s="26"/>
      <c r="G1795" s="26"/>
      <c r="H1795" s="329"/>
      <c r="I1795" s="41"/>
      <c r="J1795" s="358"/>
      <c r="K1795" s="27"/>
      <c r="L1795" s="33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ht="15" x14ac:dyDescent="0.25">
      <c r="B1797" s="37"/>
      <c r="C1797" s="53"/>
      <c r="D1797" s="24"/>
      <c r="E1797" s="25"/>
      <c r="F1797" s="26"/>
      <c r="G1797" s="325"/>
      <c r="H1797" s="332"/>
      <c r="I1797" s="333"/>
      <c r="J1797" s="359"/>
      <c r="K1797" s="27"/>
      <c r="L1797" s="330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27"/>
      <c r="L1798" s="33"/>
      <c r="M1798" s="34"/>
      <c r="N1798" s="35"/>
    </row>
    <row r="1799" spans="2:14" x14ac:dyDescent="0.2">
      <c r="B1799" s="37"/>
      <c r="C1799" s="23"/>
      <c r="D1799" s="24"/>
      <c r="E1799" s="25"/>
      <c r="F1799" s="26"/>
      <c r="G1799" s="325"/>
      <c r="H1799" s="332"/>
      <c r="I1799" s="334"/>
      <c r="J1799" s="361"/>
      <c r="K1799" s="27"/>
      <c r="L1799" s="33"/>
      <c r="M1799" s="34"/>
      <c r="N1799" s="35"/>
    </row>
    <row r="1800" spans="2:14" x14ac:dyDescent="0.2">
      <c r="B1800" s="37"/>
      <c r="C1800" s="52"/>
      <c r="D1800" s="24"/>
      <c r="E1800" s="25"/>
      <c r="F1800" s="26"/>
      <c r="G1800" s="26"/>
      <c r="H1800" s="329"/>
      <c r="I1800" s="42"/>
      <c r="J1800" s="360"/>
      <c r="K1800" s="36"/>
      <c r="L1800" s="33"/>
      <c r="M1800" s="34"/>
      <c r="N1800" s="35"/>
    </row>
    <row r="1801" spans="2:14" x14ac:dyDescent="0.2">
      <c r="B1801" s="37"/>
      <c r="C1801" s="53"/>
      <c r="D1801" s="24"/>
      <c r="E1801" s="25"/>
      <c r="F1801" s="26"/>
      <c r="G1801" s="26"/>
      <c r="H1801" s="329"/>
      <c r="I1801" s="334"/>
      <c r="J1801" s="361"/>
      <c r="K1801" s="36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0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26"/>
      <c r="H1804" s="329"/>
      <c r="I1804" s="333"/>
      <c r="J1804" s="359"/>
      <c r="K1804" s="36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0"/>
      <c r="C1808" s="52"/>
      <c r="D1808" s="24"/>
      <c r="E1808" s="25"/>
      <c r="F1808" s="26"/>
      <c r="G1808" s="26"/>
      <c r="H1808" s="329"/>
      <c r="I1808" s="41"/>
      <c r="J1808" s="358"/>
      <c r="K1808" s="27"/>
      <c r="L1808" s="33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5"/>
      <c r="H1812" s="332"/>
      <c r="I1812" s="333"/>
      <c r="J1812" s="359"/>
      <c r="K1812" s="27"/>
      <c r="L1812" s="330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36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23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3"/>
      <c r="D1820" s="24"/>
      <c r="E1820" s="25"/>
      <c r="F1820" s="26"/>
      <c r="G1820" s="325"/>
      <c r="H1820" s="332"/>
      <c r="I1820" s="333"/>
      <c r="J1820" s="359"/>
      <c r="K1820" s="36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ht="15" x14ac:dyDescent="0.25">
      <c r="B1822" s="30"/>
      <c r="C1822" s="52"/>
      <c r="D1822" s="24"/>
      <c r="E1822" s="25"/>
      <c r="F1822" s="26"/>
      <c r="G1822" s="26"/>
      <c r="H1822" s="329"/>
      <c r="I1822" s="41"/>
      <c r="J1822" s="358"/>
      <c r="K1822" s="36"/>
      <c r="L1822" s="33"/>
      <c r="M1822" s="34"/>
      <c r="N1822" s="35"/>
    </row>
    <row r="1823" spans="2:14" ht="15" x14ac:dyDescent="0.25">
      <c r="B1823" s="37"/>
      <c r="C1823" s="52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23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"/>
      <c r="M1827" s="34"/>
      <c r="N1827" s="35"/>
    </row>
    <row r="1828" spans="2:14" ht="15" x14ac:dyDescent="0.25">
      <c r="B1828" s="37"/>
      <c r="C1828" s="52"/>
      <c r="D1828" s="24"/>
      <c r="E1828" s="25"/>
      <c r="F1828" s="26"/>
      <c r="G1828" s="26"/>
      <c r="H1828" s="329"/>
      <c r="I1828" s="41"/>
      <c r="J1828" s="358"/>
      <c r="K1828" s="27"/>
      <c r="L1828" s="33"/>
      <c r="M1828" s="34"/>
      <c r="N1828" s="35"/>
    </row>
    <row r="1829" spans="2:14" x14ac:dyDescent="0.2">
      <c r="B1829" s="37"/>
      <c r="C1829" s="52"/>
      <c r="D1829" s="24"/>
      <c r="E1829" s="25"/>
      <c r="F1829" s="26"/>
      <c r="G1829" s="26"/>
      <c r="H1829" s="329"/>
      <c r="I1829" s="42"/>
      <c r="J1829" s="360"/>
      <c r="K1829" s="36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0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325"/>
      <c r="H1832" s="332"/>
      <c r="I1832" s="334"/>
      <c r="J1832" s="361"/>
      <c r="K1832" s="27"/>
      <c r="L1832" s="33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2"/>
      <c r="D1835" s="24"/>
      <c r="E1835" s="25"/>
      <c r="F1835" s="26"/>
      <c r="G1835" s="26"/>
      <c r="H1835" s="329"/>
      <c r="I1835" s="41"/>
      <c r="J1835" s="358"/>
      <c r="K1835" s="27"/>
      <c r="L1835" s="33"/>
      <c r="M1835" s="34"/>
      <c r="N1835" s="35"/>
    </row>
    <row r="1836" spans="2:14" x14ac:dyDescent="0.2">
      <c r="B1836" s="37"/>
      <c r="C1836" s="23"/>
      <c r="D1836" s="24"/>
      <c r="E1836" s="25"/>
      <c r="F1836" s="26"/>
      <c r="G1836" s="325"/>
      <c r="H1836" s="332"/>
      <c r="I1836" s="334"/>
      <c r="J1836" s="361"/>
      <c r="K1836" s="27"/>
      <c r="L1836" s="33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C1840" s="53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7"/>
      <c r="D1841" s="24"/>
      <c r="E1841" s="25"/>
      <c r="F1841" s="26"/>
      <c r="G1841" s="325"/>
      <c r="H1841" s="332"/>
      <c r="I1841" s="333"/>
      <c r="J1841" s="359"/>
      <c r="K1841" s="27"/>
      <c r="L1841" s="330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27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29"/>
      <c r="I1843" s="41"/>
      <c r="J1843" s="358"/>
      <c r="K1843" s="36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29"/>
      <c r="I1847" s="42"/>
      <c r="J1847" s="360"/>
      <c r="K1847" s="36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0"/>
      <c r="C1849" s="23"/>
      <c r="D1849" s="24"/>
      <c r="E1849" s="25"/>
      <c r="F1849" s="26"/>
      <c r="G1849" s="26"/>
      <c r="H1849" s="329"/>
      <c r="I1849" s="42"/>
      <c r="J1849" s="360"/>
      <c r="K1849" s="27"/>
      <c r="L1849" s="33"/>
      <c r="M1849" s="34"/>
      <c r="N1849" s="35"/>
    </row>
    <row r="1850" spans="2:14" ht="15" x14ac:dyDescent="0.25">
      <c r="B1850" s="30"/>
      <c r="C1850" s="23"/>
      <c r="D1850" s="24"/>
      <c r="E1850" s="25"/>
      <c r="F1850" s="26"/>
      <c r="G1850" s="325"/>
      <c r="H1850" s="332"/>
      <c r="I1850" s="333"/>
      <c r="J1850" s="359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334"/>
      <c r="J1852" s="361"/>
      <c r="K1852" s="27"/>
      <c r="L1852" s="33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26"/>
      <c r="H1854" s="329"/>
      <c r="I1854" s="41"/>
      <c r="J1854" s="358"/>
      <c r="K1854" s="27"/>
      <c r="L1854" s="330"/>
      <c r="M1854" s="34"/>
      <c r="N1854" s="35"/>
    </row>
    <row r="1855" spans="2:14" x14ac:dyDescent="0.2">
      <c r="B1855" s="37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x14ac:dyDescent="0.2">
      <c r="B1856" s="30"/>
      <c r="C1856" s="23"/>
      <c r="D1856" s="24"/>
      <c r="E1856" s="25"/>
      <c r="F1856" s="26"/>
      <c r="G1856" s="26"/>
      <c r="H1856" s="329"/>
      <c r="I1856" s="42"/>
      <c r="J1856" s="360"/>
      <c r="K1856" s="27"/>
      <c r="L1856" s="33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"/>
      <c r="M1860" s="34"/>
      <c r="N1860" s="35"/>
    </row>
    <row r="1861" spans="2:14" ht="15" x14ac:dyDescent="0.25">
      <c r="B1861" s="30"/>
      <c r="C1861" s="23"/>
      <c r="D1861" s="24"/>
      <c r="E1861" s="25"/>
      <c r="F1861" s="26"/>
      <c r="G1861" s="26"/>
      <c r="H1861" s="329"/>
      <c r="I1861" s="41"/>
      <c r="J1861" s="358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325"/>
      <c r="H1864" s="332"/>
      <c r="I1864" s="333"/>
      <c r="J1864" s="359"/>
      <c r="K1864" s="27"/>
      <c r="L1864" s="330"/>
      <c r="M1864" s="34"/>
      <c r="N1864" s="35"/>
    </row>
    <row r="1865" spans="2:14" x14ac:dyDescent="0.2">
      <c r="B1865" s="30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x14ac:dyDescent="0.2">
      <c r="B1867" s="37"/>
      <c r="C1867" s="23"/>
      <c r="D1867" s="24"/>
      <c r="E1867" s="25"/>
      <c r="F1867" s="26"/>
      <c r="G1867" s="26"/>
      <c r="H1867" s="329"/>
      <c r="I1867" s="42"/>
      <c r="J1867" s="360"/>
      <c r="K1867" s="27"/>
      <c r="L1867" s="33"/>
      <c r="M1867" s="34"/>
      <c r="N1867" s="35"/>
    </row>
    <row r="1868" spans="2:14" ht="15" x14ac:dyDescent="0.25">
      <c r="B1868" s="37"/>
      <c r="C1868" s="23"/>
      <c r="D1868" s="24"/>
      <c r="E1868" s="25"/>
      <c r="F1868" s="26"/>
      <c r="G1868" s="26"/>
      <c r="H1868" s="329"/>
      <c r="I1868" s="41"/>
      <c r="J1868" s="358"/>
      <c r="K1868" s="36"/>
      <c r="L1868" s="33"/>
      <c r="M1868" s="34"/>
      <c r="N1868" s="35"/>
    </row>
  </sheetData>
  <sortState xmlns:xlrd2="http://schemas.microsoft.com/office/spreadsheetml/2017/richdata2" ref="B7:I1048576">
    <sortCondition ref="C7:C45"/>
  </sortState>
  <mergeCells count="3">
    <mergeCell ref="D1:H1"/>
    <mergeCell ref="D2:K2"/>
    <mergeCell ref="B3:F4"/>
  </mergeCells>
  <phoneticPr fontId="19" type="noConversion"/>
  <conditionalFormatting sqref="H1841:H1864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1:H1863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1:H1862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1:E1868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1:E1868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1:E1868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1:E1868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1:E1868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1:E1868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1:E1868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1:E1868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1:H1868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1:H1868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1:H1868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1:E1868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1:H1868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1:E1868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1:H1868">
    <cfRule type="iconSet" priority="282941">
      <iconSet>
        <cfvo type="percent" val="0"/>
        <cfvo type="percent" val="23"/>
        <cfvo type="percent" val="70"/>
      </iconSet>
    </cfRule>
  </conditionalFormatting>
  <conditionalFormatting sqref="H1841:H1868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1:H1868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1:H1868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1:H1868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1:E1868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1:H1868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1:H1868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1:H1868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1:H1868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1:H1868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1:E1868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1:H1868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1:H1868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1:E1868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1:E1868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1:H1868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1:H1868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1:H1868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1:E1868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1:H1868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1:H1868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1:H1868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1:H1868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1:H1868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1:H1868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1:E1868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1:H1868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1:H1868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1:H1868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1:H1868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1:H1868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1:H1868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1:E1868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1:H1868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1:E1868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1:H1868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1:E1868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1:H1868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09">
      <iconSet>
        <cfvo type="percent" val="0"/>
        <cfvo type="num" val="22"/>
        <cfvo type="num" val="26"/>
      </iconSet>
    </cfRule>
  </conditionalFormatting>
  <conditionalFormatting sqref="H1841:H1868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15">
      <iconSet>
        <cfvo type="percent" val="0"/>
        <cfvo type="num" val="21"/>
        <cfvo type="num" val="25"/>
      </iconSet>
    </cfRule>
  </conditionalFormatting>
  <conditionalFormatting sqref="H1841:H1868">
    <cfRule type="iconSet" priority="283417">
      <iconSet>
        <cfvo type="percent" val="0"/>
        <cfvo type="num" val="19"/>
        <cfvo type="num" val="23"/>
      </iconSet>
    </cfRule>
  </conditionalFormatting>
  <conditionalFormatting sqref="H1841:H1868">
    <cfRule type="iconSet" priority="283419">
      <iconSet>
        <cfvo type="percent" val="0"/>
        <cfvo type="num" val="23"/>
        <cfvo type="num" val="27"/>
      </iconSet>
    </cfRule>
  </conditionalFormatting>
  <conditionalFormatting sqref="E1755:E1757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50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9:E1178 E7:E47">
    <cfRule type="cellIs" dxfId="19" priority="170" operator="greaterThan">
      <formula>7</formula>
    </cfRule>
  </conditionalFormatting>
  <conditionalFormatting sqref="E1488:E4766">
    <cfRule type="cellIs" dxfId="18" priority="137" operator="greaterThan">
      <formula>7</formula>
    </cfRule>
  </conditionalFormatting>
  <conditionalFormatting sqref="I49:I1250 G49:G51 I7:I47">
    <cfRule type="cellIs" dxfId="17" priority="41" operator="lessThan">
      <formula>E7</formula>
    </cfRule>
  </conditionalFormatting>
  <conditionalFormatting sqref="I1841:I1868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1:I1868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1:I1868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1:I1868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1:I1868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1:I1868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1:I1868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1:I1868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1:I1868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1:I1868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1:I1868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1:I1868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1:I1868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1:I1868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L7:L1250">
    <cfRule type="top10" dxfId="16" priority="297755" rank="1"/>
  </conditionalFormatting>
  <conditionalFormatting sqref="H1437:H1474 H1261:H1435 H49:H1250 H7:H47">
    <cfRule type="cellIs" dxfId="15" priority="297758" operator="greaterThan">
      <formula>$H$48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E1755:E1757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E1735:E1754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$H$48</xm:f>
              </x14:cfvo>
              <x14:cfIcon iconSet="NoIcons" iconId="0"/>
              <x14:cfIcon iconSet="NoIcons" iconId="0"/>
              <x14:cfIcon iconSet="3Stars" iconId="2"/>
            </x14:iconSet>
          </x14:cfRule>
          <xm:sqref>H1261:H1271 H49:H1250 H7:H47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2026-02-04T07:28:02Z</cp:lastPrinted>
  <dcterms:created xsi:type="dcterms:W3CDTF">2021-05-05T13:25:05Z</dcterms:created>
  <dcterms:modified xsi:type="dcterms:W3CDTF">2026-02-04T07:29:32Z</dcterms:modified>
</cp:coreProperties>
</file>